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1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13.xml" ContentType="application/vnd.openxmlformats-officedocument.drawing+xml"/>
  <Override PartName="/xl/tables/table2.xml" ContentType="application/vnd.openxmlformats-officedocument.spreadsheetml.table+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4.xml" ContentType="application/vnd.openxmlformats-officedocument.drawing+xml"/>
  <Override PartName="/xl/comments4.xml" ContentType="application/vnd.openxmlformats-officedocument.spreadsheetml.comments+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5.xml" ContentType="application/vnd.openxmlformats-officedocument.spreadsheetml.comments+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8.xml" ContentType="application/vnd.openxmlformats-officedocument.drawing+xml"/>
  <Override PartName="/xl/comments6.xml" ContentType="application/vnd.openxmlformats-officedocument.spreadsheetml.comments+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9.xml" ContentType="application/vnd.openxmlformats-officedocument.drawing+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1.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22.xml" ContentType="application/vnd.openxmlformats-officedocument.drawing+xml"/>
  <Override PartName="/xl/charts/chart15.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3.xml" ContentType="application/vnd.openxmlformats-officedocument.drawing+xml"/>
  <Override PartName="/xl/charts/chart16.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7.xml" ContentType="application/vnd.openxmlformats-officedocument.drawingml.chart+xml"/>
  <Override PartName="/xl/charts/style14.xml" ContentType="application/vnd.ms-office.chartstyle+xml"/>
  <Override PartName="/xl/charts/colors14.xml" ContentType="application/vnd.ms-office.chartcolorstyle+xml"/>
  <Override PartName="/xl/charts/chart18.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6.xml" ContentType="application/vnd.ms-office.chartstyle+xml"/>
  <Override PartName="/xl/charts/colors16.xml" ContentType="application/vnd.ms-office.chartcolorstyle+xml"/>
  <Override PartName="/xl/charts/chart20.xml" ContentType="application/vnd.openxmlformats-officedocument.drawingml.chart+xml"/>
  <Override PartName="/xl/charts/style17.xml" ContentType="application/vnd.ms-office.chartstyle+xml"/>
  <Override PartName="/xl/charts/colors17.xml" ContentType="application/vnd.ms-office.chartcolorstyle+xml"/>
  <Override PartName="/xl/charts/chart21.xml" ContentType="application/vnd.openxmlformats-officedocument.drawingml.chart+xml"/>
  <Override PartName="/xl/charts/style18.xml" ContentType="application/vnd.ms-office.chartstyle+xml"/>
  <Override PartName="/xl/charts/colors18.xml" ContentType="application/vnd.ms-office.chartcolorstyle+xml"/>
  <Override PartName="/xl/charts/chart22.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C:\Users\Kashif\Desktop\Kali\Thermodynamics Reliability\"/>
    </mc:Choice>
  </mc:AlternateContent>
  <xr:revisionPtr revIDLastSave="0" documentId="13_ncr:1_{AD67F031-AE2B-444B-A9AB-C2F53970A3FC}" xr6:coauthVersionLast="46" xr6:coauthVersionMax="46" xr10:uidLastSave="{00000000-0000-0000-0000-000000000000}"/>
  <bookViews>
    <workbookView xWindow="-120" yWindow="-120" windowWidth="20730" windowHeight="11160" firstSheet="36" activeTab="38" xr2:uid="{00000000-000D-0000-FFFF-FFFF00000000}"/>
  </bookViews>
  <sheets>
    <sheet name="DFR Responsibilties  (2)" sheetId="19" r:id="rId1"/>
    <sheet name="DFR Responsibilties " sheetId="18" r:id="rId2"/>
    <sheet name="Reliasoft" sheetId="1" r:id="rId3"/>
    <sheet name="Fractional Failures" sheetId="2" r:id="rId4"/>
    <sheet name="Simulation worksheet" sheetId="3" r:id="rId5"/>
    <sheet name="XFMEA" sheetId="4" r:id="rId6"/>
    <sheet name="LCC" sheetId="6" r:id="rId7"/>
    <sheet name="Generating random numbers" sheetId="8" r:id="rId8"/>
    <sheet name="Median Rank Calculations" sheetId="9" r:id="rId9"/>
    <sheet name="Analyze data wo suspension" sheetId="10" r:id="rId10"/>
    <sheet name="RGA" sheetId="5" r:id="rId11"/>
    <sheet name="Benefit of HALT" sheetId="11" r:id="rId12"/>
    <sheet name="Lambda Predict" sheetId="13" r:id="rId13"/>
    <sheet name="Equation Fit Solver" sheetId="14" r:id="rId14"/>
    <sheet name="ANOVA" sheetId="15" r:id="rId15"/>
    <sheet name="Elements of Reliability" sheetId="16" r:id="rId16"/>
    <sheet name="Reliability Physics Approach" sheetId="20" r:id="rId17"/>
    <sheet name="Reliability allocation 338" sheetId="21" r:id="rId18"/>
    <sheet name="Reliability cost Model" sheetId="50" r:id="rId19"/>
    <sheet name="Relaibility allocation Feasibil" sheetId="22" r:id="rId20"/>
    <sheet name="Straight line statistics" sheetId="29" r:id="rId21"/>
    <sheet name="Straight line Fit" sheetId="27" r:id="rId22"/>
    <sheet name="Reliasoft DOE" sheetId="30" r:id="rId23"/>
    <sheet name="PSRT" sheetId="31" r:id="rId24"/>
    <sheet name="Answer Report 2" sheetId="41" r:id="rId25"/>
    <sheet name="Non-Linear Optimization " sheetId="26" r:id="rId26"/>
    <sheet name="Answer Report 1" sheetId="40" r:id="rId27"/>
    <sheet name="Linear Optimization" sheetId="32" r:id="rId28"/>
    <sheet name="Answer Report 3" sheetId="43" r:id="rId29"/>
    <sheet name="Non-linear optimization II" sheetId="42" r:id="rId30"/>
    <sheet name="Benefits reliability prediction" sheetId="44" r:id="rId31"/>
    <sheet name="Matrix Operations" sheetId="45" r:id="rId32"/>
    <sheet name="Binomial Distribution model" sheetId="46" r:id="rId33"/>
    <sheet name="Active Standby Model" sheetId="47" r:id="rId34"/>
    <sheet name="Life Cycle" sheetId="49" r:id="rId35"/>
    <sheet name="Medical Device LCC" sheetId="51" r:id="rId36"/>
    <sheet name="Medical Device LCC (2)" sheetId="53" r:id="rId37"/>
    <sheet name="IRR" sheetId="52" r:id="rId38"/>
    <sheet name="Reliability Model &amp; Costs (2)" sheetId="66" r:id="rId39"/>
    <sheet name="Reliability Model &amp; Costs" sheetId="57" r:id="rId40"/>
    <sheet name="Financial Impact of Supplier" sheetId="54" r:id="rId41"/>
    <sheet name="Reliability Capital Investment" sheetId="55" r:id="rId42"/>
    <sheet name="DFR Survey Score" sheetId="56" r:id="rId43"/>
    <sheet name="Optimum overhaul" sheetId="58" r:id="rId44"/>
    <sheet name="Non-failure rate DPMO" sheetId="59" r:id="rId45"/>
    <sheet name="Logarithmic Plot" sheetId="60" r:id="rId46"/>
    <sheet name="Supplier Qualification Matrix" sheetId="61" r:id="rId47"/>
    <sheet name="Reliability Improvement Program" sheetId="64" r:id="rId48"/>
    <sheet name="Risk Management Activity" sheetId="65" r:id="rId49"/>
    <sheet name="Bacteria concentration" sheetId="67" r:id="rId50"/>
    <sheet name="Reliability critical items list" sheetId="68" r:id="rId51"/>
    <sheet name="Wind Turbine Failure Rate" sheetId="69" r:id="rId52"/>
  </sheets>
  <definedNames>
    <definedName name="solver_adj" localSheetId="27" hidden="1">'Linear Optimization'!$E$10</definedName>
    <definedName name="solver_adj" localSheetId="25" hidden="1">'Non-Linear Optimization '!$B$1:$B$2</definedName>
    <definedName name="solver_adj" localSheetId="29" hidden="1">'Non-linear optimization II'!$B$2</definedName>
    <definedName name="solver_cvg" localSheetId="27" hidden="1">0.0001</definedName>
    <definedName name="solver_cvg" localSheetId="25" hidden="1">0.0001</definedName>
    <definedName name="solver_cvg" localSheetId="29" hidden="1">0.0001</definedName>
    <definedName name="solver_drv" localSheetId="27" hidden="1">1</definedName>
    <definedName name="solver_drv" localSheetId="25" hidden="1">1</definedName>
    <definedName name="solver_drv" localSheetId="29" hidden="1">1</definedName>
    <definedName name="solver_eng" localSheetId="13" hidden="1">1</definedName>
    <definedName name="solver_eng" localSheetId="27" hidden="1">1</definedName>
    <definedName name="solver_eng" localSheetId="25" hidden="1">1</definedName>
    <definedName name="solver_eng" localSheetId="29" hidden="1">1</definedName>
    <definedName name="solver_eng" localSheetId="19" hidden="1">1</definedName>
    <definedName name="solver_est" localSheetId="27" hidden="1">1</definedName>
    <definedName name="solver_est" localSheetId="25" hidden="1">1</definedName>
    <definedName name="solver_est" localSheetId="29" hidden="1">1</definedName>
    <definedName name="solver_itr" localSheetId="27" hidden="1">2147483647</definedName>
    <definedName name="solver_itr" localSheetId="25" hidden="1">2147483647</definedName>
    <definedName name="solver_itr" localSheetId="29" hidden="1">2147483647</definedName>
    <definedName name="solver_lhs1" localSheetId="27" hidden="1">'Linear Optimization'!$E$10</definedName>
    <definedName name="solver_lhs1" localSheetId="25" hidden="1">'Non-Linear Optimization '!$B$1</definedName>
    <definedName name="solver_lhs1" localSheetId="29" hidden="1">'Non-linear optimization II'!$B$2</definedName>
    <definedName name="solver_lhs2" localSheetId="27" hidden="1">'Linear Optimization'!$E$7</definedName>
    <definedName name="solver_lhs2" localSheetId="25" hidden="1">'Non-Linear Optimization '!$B$2</definedName>
    <definedName name="solver_lhs2" localSheetId="29" hidden="1">'Non-linear optimization II'!$B$3</definedName>
    <definedName name="solver_lhs3" localSheetId="27" hidden="1">'Linear Optimization'!$E$7</definedName>
    <definedName name="solver_lhs3" localSheetId="25" hidden="1">'Non-Linear Optimization '!$B$6</definedName>
    <definedName name="solver_lhs3" localSheetId="29" hidden="1">'Non-linear optimization II'!$B$7</definedName>
    <definedName name="solver_lhs4" localSheetId="27" hidden="1">'Linear Optimization'!$E$8</definedName>
    <definedName name="solver_lhs4" localSheetId="25" hidden="1">'Non-Linear Optimization '!$B$7</definedName>
    <definedName name="solver_mip" localSheetId="27" hidden="1">2147483647</definedName>
    <definedName name="solver_mip" localSheetId="25" hidden="1">2147483647</definedName>
    <definedName name="solver_mip" localSheetId="29" hidden="1">2147483647</definedName>
    <definedName name="solver_mni" localSheetId="27" hidden="1">30</definedName>
    <definedName name="solver_mni" localSheetId="25" hidden="1">30</definedName>
    <definedName name="solver_mni" localSheetId="29" hidden="1">30</definedName>
    <definedName name="solver_mrt" localSheetId="27" hidden="1">0.075</definedName>
    <definedName name="solver_mrt" localSheetId="25" hidden="1">0.075</definedName>
    <definedName name="solver_mrt" localSheetId="29" hidden="1">0.075</definedName>
    <definedName name="solver_msl" localSheetId="27" hidden="1">2</definedName>
    <definedName name="solver_msl" localSheetId="25" hidden="1">2</definedName>
    <definedName name="solver_msl" localSheetId="29" hidden="1">2</definedName>
    <definedName name="solver_neg" localSheetId="13" hidden="1">1</definedName>
    <definedName name="solver_neg" localSheetId="27" hidden="1">1</definedName>
    <definedName name="solver_neg" localSheetId="25" hidden="1">1</definedName>
    <definedName name="solver_neg" localSheetId="29" hidden="1">1</definedName>
    <definedName name="solver_neg" localSheetId="19" hidden="1">1</definedName>
    <definedName name="solver_nod" localSheetId="27" hidden="1">2147483647</definedName>
    <definedName name="solver_nod" localSheetId="25" hidden="1">2147483647</definedName>
    <definedName name="solver_nod" localSheetId="29" hidden="1">2147483647</definedName>
    <definedName name="solver_num" localSheetId="13" hidden="1">0</definedName>
    <definedName name="solver_num" localSheetId="27" hidden="1">1</definedName>
    <definedName name="solver_num" localSheetId="25" hidden="1">4</definedName>
    <definedName name="solver_num" localSheetId="29" hidden="1">3</definedName>
    <definedName name="solver_num" localSheetId="19" hidden="1">0</definedName>
    <definedName name="solver_nwt" localSheetId="27" hidden="1">1</definedName>
    <definedName name="solver_nwt" localSheetId="25" hidden="1">1</definedName>
    <definedName name="solver_nwt" localSheetId="29" hidden="1">1</definedName>
    <definedName name="solver_opt" localSheetId="13" hidden="1">'Equation Fit Solver'!$A$1</definedName>
    <definedName name="solver_opt" localSheetId="27" hidden="1">'Linear Optimization'!$Q$12</definedName>
    <definedName name="solver_opt" localSheetId="25" hidden="1">'Non-Linear Optimization '!$B$4</definedName>
    <definedName name="solver_opt" localSheetId="29" hidden="1">'Non-linear optimization II'!$B$5</definedName>
    <definedName name="solver_opt" localSheetId="19" hidden="1">'Relaibility allocation Feasibil'!$G$19</definedName>
    <definedName name="solver_pre" localSheetId="27" hidden="1">0.000001</definedName>
    <definedName name="solver_pre" localSheetId="25" hidden="1">0.000001</definedName>
    <definedName name="solver_pre" localSheetId="29" hidden="1">0.000001</definedName>
    <definedName name="solver_rbv" localSheetId="27" hidden="1">1</definedName>
    <definedName name="solver_rbv" localSheetId="25" hidden="1">1</definedName>
    <definedName name="solver_rbv" localSheetId="29" hidden="1">1</definedName>
    <definedName name="solver_rel1" localSheetId="27" hidden="1">1</definedName>
    <definedName name="solver_rel1" localSheetId="25" hidden="1">3</definedName>
    <definedName name="solver_rel1" localSheetId="29" hidden="1">3</definedName>
    <definedName name="solver_rel2" localSheetId="27" hidden="1">3</definedName>
    <definedName name="solver_rel2" localSheetId="25" hidden="1">3</definedName>
    <definedName name="solver_rel2" localSheetId="29" hidden="1">3</definedName>
    <definedName name="solver_rel3" localSheetId="27" hidden="1">3</definedName>
    <definedName name="solver_rel3" localSheetId="25" hidden="1">3</definedName>
    <definedName name="solver_rel3" localSheetId="29" hidden="1">3</definedName>
    <definedName name="solver_rel4" localSheetId="27" hidden="1">1</definedName>
    <definedName name="solver_rel4" localSheetId="25" hidden="1">1</definedName>
    <definedName name="solver_rhs1" localSheetId="27" hidden="1">'Linear Optimization'!$E$10</definedName>
    <definedName name="solver_rhs1" localSheetId="25" hidden="1">0</definedName>
    <definedName name="solver_rhs1" localSheetId="29" hidden="1">0</definedName>
    <definedName name="solver_rhs2" localSheetId="27" hidden="1">1000</definedName>
    <definedName name="solver_rhs2" localSheetId="25" hidden="1">0</definedName>
    <definedName name="solver_rhs2" localSheetId="29" hidden="1">0</definedName>
    <definedName name="solver_rhs3" localSheetId="27" hidden="1">1000</definedName>
    <definedName name="solver_rhs3" localSheetId="25" hidden="1">10</definedName>
    <definedName name="solver_rhs3" localSheetId="29" hidden="1">12</definedName>
    <definedName name="solver_rhs4" localSheetId="27" hidden="1">8000</definedName>
    <definedName name="solver_rhs4" localSheetId="25" hidden="1">1.25</definedName>
    <definedName name="solver_rlx" localSheetId="27" hidden="1">2</definedName>
    <definedName name="solver_rlx" localSheetId="25" hidden="1">2</definedName>
    <definedName name="solver_rlx" localSheetId="29" hidden="1">2</definedName>
    <definedName name="solver_rsd" localSheetId="27" hidden="1">0</definedName>
    <definedName name="solver_rsd" localSheetId="25" hidden="1">0</definedName>
    <definedName name="solver_rsd" localSheetId="29" hidden="1">0</definedName>
    <definedName name="solver_scl" localSheetId="27" hidden="1">1</definedName>
    <definedName name="solver_scl" localSheetId="25" hidden="1">1</definedName>
    <definedName name="solver_scl" localSheetId="29" hidden="1">1</definedName>
    <definedName name="solver_sho" localSheetId="27" hidden="1">2</definedName>
    <definedName name="solver_sho" localSheetId="25" hidden="1">2</definedName>
    <definedName name="solver_sho" localSheetId="29" hidden="1">2</definedName>
    <definedName name="solver_ssz" localSheetId="27" hidden="1">100</definedName>
    <definedName name="solver_ssz" localSheetId="25" hidden="1">100</definedName>
    <definedName name="solver_ssz" localSheetId="29" hidden="1">100</definedName>
    <definedName name="solver_tim" localSheetId="27" hidden="1">2147483647</definedName>
    <definedName name="solver_tim" localSheetId="25" hidden="1">2147483647</definedName>
    <definedName name="solver_tim" localSheetId="29" hidden="1">2147483647</definedName>
    <definedName name="solver_tol" localSheetId="27" hidden="1">0.01</definedName>
    <definedName name="solver_tol" localSheetId="25" hidden="1">0.01</definedName>
    <definedName name="solver_tol" localSheetId="29" hidden="1">0.01</definedName>
    <definedName name="solver_typ" localSheetId="13" hidden="1">1</definedName>
    <definedName name="solver_typ" localSheetId="27" hidden="1">1</definedName>
    <definedName name="solver_typ" localSheetId="25" hidden="1">2</definedName>
    <definedName name="solver_typ" localSheetId="29" hidden="1">2</definedName>
    <definedName name="solver_typ" localSheetId="19" hidden="1">1</definedName>
    <definedName name="solver_val" localSheetId="13" hidden="1">0</definedName>
    <definedName name="solver_val" localSheetId="27" hidden="1">0</definedName>
    <definedName name="solver_val" localSheetId="25" hidden="1">0</definedName>
    <definedName name="solver_val" localSheetId="29" hidden="1">0</definedName>
    <definedName name="solver_val" localSheetId="19" hidden="1">0</definedName>
    <definedName name="solver_ver" localSheetId="13" hidden="1">3</definedName>
    <definedName name="solver_ver" localSheetId="27" hidden="1">3</definedName>
    <definedName name="solver_ver" localSheetId="25" hidden="1">3</definedName>
    <definedName name="solver_ver" localSheetId="29" hidden="1">3</definedName>
    <definedName name="solver_ver" localSheetId="19" hidden="1">3</definedName>
    <definedName name="SystemA" localSheetId="38">'Reliability Model &amp; Costs (2)'!$D$14:$D$27</definedName>
    <definedName name="SystemA">'Reliability Model &amp; Costs'!$D$13:$D$24</definedName>
    <definedName name="SystemB" localSheetId="38">'Reliability Model &amp; Costs (2)'!$F$14:$F$27</definedName>
    <definedName name="SystemB">'Reliability Model &amp; Costs'!$F$13:$F$24</definedName>
    <definedName name="SystemC" localSheetId="38">'Reliability Model &amp; Costs (2)'!$H$14:$H$27</definedName>
    <definedName name="SystemC">'Reliability Model &amp; Costs'!$H$13:$H$24</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2" i="69" l="1"/>
  <c r="D11" i="69"/>
  <c r="D10" i="69"/>
  <c r="D9" i="69"/>
  <c r="D8" i="69"/>
  <c r="D7" i="69"/>
  <c r="D6" i="69"/>
  <c r="D5" i="69"/>
  <c r="D4" i="69"/>
  <c r="D3" i="69"/>
  <c r="C12" i="69"/>
  <c r="E12" i="69" s="1"/>
  <c r="C11" i="69"/>
  <c r="E11" i="69" s="1"/>
  <c r="C10" i="69"/>
  <c r="E10" i="69" s="1"/>
  <c r="C9" i="69"/>
  <c r="E9" i="69" s="1"/>
  <c r="C8" i="69"/>
  <c r="E8" i="69" s="1"/>
  <c r="C7" i="69"/>
  <c r="E7" i="69" s="1"/>
  <c r="C6" i="69"/>
  <c r="E6" i="69" s="1"/>
  <c r="C5" i="69"/>
  <c r="E5" i="69" s="1"/>
  <c r="C4" i="69"/>
  <c r="E4" i="69" s="1"/>
  <c r="C3" i="69"/>
  <c r="E3" i="69" s="1"/>
  <c r="E13" i="69" s="1"/>
  <c r="F100" i="11" l="1"/>
  <c r="C24" i="67" l="1"/>
  <c r="C23" i="67"/>
  <c r="C20" i="67"/>
  <c r="C19" i="67"/>
  <c r="C13" i="67"/>
  <c r="G13" i="67" s="1"/>
  <c r="C12" i="67"/>
  <c r="G12" i="67" s="1"/>
  <c r="C11" i="67"/>
  <c r="G11" i="67" s="1"/>
  <c r="C10" i="67"/>
  <c r="G10" i="67" s="1"/>
  <c r="C9" i="67"/>
  <c r="G9" i="67" s="1"/>
  <c r="C8" i="67"/>
  <c r="G8" i="67" s="1"/>
  <c r="C7" i="67"/>
  <c r="G7" i="67" s="1"/>
  <c r="C6" i="67"/>
  <c r="G6" i="67" s="1"/>
  <c r="C5" i="67"/>
  <c r="G5" i="67" s="1"/>
  <c r="C4" i="67"/>
  <c r="G4" i="67" s="1"/>
  <c r="C3" i="67"/>
  <c r="G3" i="67" s="1"/>
  <c r="B3" i="67"/>
  <c r="F19" i="67" s="1"/>
  <c r="F3" i="67" l="1"/>
  <c r="J3" i="67" s="1"/>
  <c r="D3" i="67"/>
  <c r="D4" i="67"/>
  <c r="B4" i="67"/>
  <c r="K3" i="67"/>
  <c r="E25" i="66"/>
  <c r="G25" i="66" s="1"/>
  <c r="C25" i="66"/>
  <c r="C24" i="66"/>
  <c r="E24" i="66" s="1"/>
  <c r="G24" i="66" s="1"/>
  <c r="H27" i="66"/>
  <c r="F27" i="66"/>
  <c r="D27" i="66"/>
  <c r="G22" i="66"/>
  <c r="E22" i="66"/>
  <c r="C22" i="66"/>
  <c r="G21" i="66"/>
  <c r="E21" i="66"/>
  <c r="C21" i="66"/>
  <c r="G20" i="66"/>
  <c r="E20" i="66"/>
  <c r="C20" i="66"/>
  <c r="G15" i="66"/>
  <c r="G16" i="66" s="1"/>
  <c r="E15" i="66"/>
  <c r="E16" i="66" s="1"/>
  <c r="C15" i="66"/>
  <c r="C16" i="66" s="1"/>
  <c r="H14" i="66"/>
  <c r="F14" i="66"/>
  <c r="C9" i="66"/>
  <c r="C8" i="66"/>
  <c r="D14" i="66" s="1"/>
  <c r="C7" i="66"/>
  <c r="J78" i="5"/>
  <c r="J79" i="5" s="1"/>
  <c r="H3" i="67" l="1"/>
  <c r="F20" i="67"/>
  <c r="B5" i="67"/>
  <c r="F4" i="67"/>
  <c r="K4" i="67"/>
  <c r="D21" i="66"/>
  <c r="F21" i="66"/>
  <c r="D23" i="66"/>
  <c r="H21" i="66"/>
  <c r="F23" i="66"/>
  <c r="C17" i="66"/>
  <c r="H23" i="66"/>
  <c r="E17" i="66"/>
  <c r="G17" i="66"/>
  <c r="J80" i="5"/>
  <c r="F18" i="66" l="1"/>
  <c r="F26" i="66"/>
  <c r="D18" i="66"/>
  <c r="D26" i="66"/>
  <c r="J4" i="67"/>
  <c r="H4" i="67"/>
  <c r="H18" i="66"/>
  <c r="H26" i="66"/>
  <c r="F5" i="67"/>
  <c r="F21" i="67"/>
  <c r="B6" i="67"/>
  <c r="D5" i="67"/>
  <c r="K5" i="67"/>
  <c r="F28" i="66"/>
  <c r="B7" i="67" l="1"/>
  <c r="F22" i="67"/>
  <c r="F6" i="67"/>
  <c r="D6" i="67"/>
  <c r="K6" i="67"/>
  <c r="J5" i="67"/>
  <c r="H5" i="67"/>
  <c r="H28" i="66"/>
  <c r="D28" i="66"/>
  <c r="E41" i="21"/>
  <c r="D41" i="21"/>
  <c r="C41" i="21"/>
  <c r="E30" i="21"/>
  <c r="F30" i="21" s="1"/>
  <c r="E31" i="21"/>
  <c r="F31" i="21" s="1"/>
  <c r="E32" i="21"/>
  <c r="F32" i="21" s="1"/>
  <c r="E29" i="21"/>
  <c r="F29" i="21" s="1"/>
  <c r="C30" i="21"/>
  <c r="C31" i="21"/>
  <c r="C32" i="21"/>
  <c r="C29" i="21"/>
  <c r="D30" i="21"/>
  <c r="D32" i="21"/>
  <c r="D31" i="21"/>
  <c r="D29" i="21"/>
  <c r="H6" i="67" l="1"/>
  <c r="J6" i="67"/>
  <c r="B8" i="67"/>
  <c r="F7" i="67"/>
  <c r="F23" i="67"/>
  <c r="D7" i="67"/>
  <c r="K7" i="67"/>
  <c r="F33" i="21"/>
  <c r="H3" i="15"/>
  <c r="E4" i="15"/>
  <c r="E5" i="15"/>
  <c r="E6" i="15" s="1"/>
  <c r="E3" i="15"/>
  <c r="D5" i="15"/>
  <c r="G5" i="15" s="1"/>
  <c r="D4" i="15"/>
  <c r="F4" i="15" s="1"/>
  <c r="J7" i="67" l="1"/>
  <c r="H7" i="67"/>
  <c r="B9" i="67"/>
  <c r="F24" i="67"/>
  <c r="F8" i="67"/>
  <c r="K8" i="67"/>
  <c r="D8" i="67"/>
  <c r="G4" i="15"/>
  <c r="F5" i="15"/>
  <c r="D3" i="15"/>
  <c r="J8" i="67" l="1"/>
  <c r="H8" i="67"/>
  <c r="B10" i="67"/>
  <c r="F9" i="67"/>
  <c r="F25" i="67"/>
  <c r="D9" i="67"/>
  <c r="K9" i="67"/>
  <c r="G3" i="15"/>
  <c r="G6" i="15" s="1"/>
  <c r="D6" i="15"/>
  <c r="F3" i="15"/>
  <c r="F18" i="64"/>
  <c r="G9" i="64"/>
  <c r="H9" i="64"/>
  <c r="I9" i="64"/>
  <c r="J9" i="64"/>
  <c r="K9" i="64"/>
  <c r="F9" i="64"/>
  <c r="F19" i="64" s="1"/>
  <c r="G18" i="64"/>
  <c r="K18" i="64"/>
  <c r="J18" i="64"/>
  <c r="K19" i="64" s="1"/>
  <c r="I18" i="64"/>
  <c r="H18" i="64"/>
  <c r="I19" i="64" s="1"/>
  <c r="K16" i="64"/>
  <c r="G15" i="64"/>
  <c r="H15" i="64"/>
  <c r="I15" i="64"/>
  <c r="J15" i="64"/>
  <c r="K15" i="64"/>
  <c r="F15" i="64"/>
  <c r="K12" i="64"/>
  <c r="J12" i="64"/>
  <c r="I12" i="64"/>
  <c r="H12" i="64"/>
  <c r="G12" i="64"/>
  <c r="F12" i="64"/>
  <c r="K11" i="64"/>
  <c r="J11" i="64"/>
  <c r="J16" i="64" s="1"/>
  <c r="I11" i="64"/>
  <c r="I16" i="64" s="1"/>
  <c r="H11" i="64"/>
  <c r="H16" i="64" s="1"/>
  <c r="G11" i="64"/>
  <c r="G16" i="64" s="1"/>
  <c r="F11" i="64"/>
  <c r="F16" i="64" s="1"/>
  <c r="H17" i="64" l="1"/>
  <c r="J9" i="67"/>
  <c r="H9" i="67"/>
  <c r="J19" i="64"/>
  <c r="B11" i="67"/>
  <c r="F26" i="67"/>
  <c r="F10" i="67"/>
  <c r="D10" i="67"/>
  <c r="K10" i="67"/>
  <c r="J17" i="64"/>
  <c r="F17" i="64"/>
  <c r="K17" i="64"/>
  <c r="G17" i="64"/>
  <c r="G19" i="64"/>
  <c r="I17" i="64"/>
  <c r="H19" i="64"/>
  <c r="K10" i="64"/>
  <c r="J10" i="64"/>
  <c r="I10" i="64"/>
  <c r="H10" i="64"/>
  <c r="G10" i="64"/>
  <c r="F10" i="64"/>
  <c r="K8" i="64"/>
  <c r="J8" i="64"/>
  <c r="H8" i="64"/>
  <c r="G8" i="64"/>
  <c r="F8" i="64"/>
  <c r="H10" i="67" l="1"/>
  <c r="J10" i="67"/>
  <c r="F11" i="67"/>
  <c r="B12" i="67"/>
  <c r="F27" i="67"/>
  <c r="D11" i="67"/>
  <c r="K11" i="67"/>
  <c r="B20" i="60"/>
  <c r="B21" i="60" s="1"/>
  <c r="B22" i="60" s="1"/>
  <c r="B23" i="60" s="1"/>
  <c r="B24" i="60" s="1"/>
  <c r="B25" i="60" s="1"/>
  <c r="B26" i="60" s="1"/>
  <c r="B27" i="60" s="1"/>
  <c r="B28" i="60" s="1"/>
  <c r="B29" i="60" s="1"/>
  <c r="B30" i="60" s="1"/>
  <c r="C30" i="60" s="1"/>
  <c r="B6" i="60"/>
  <c r="B7" i="60" s="1"/>
  <c r="B8" i="60" s="1"/>
  <c r="B9" i="60" s="1"/>
  <c r="B10" i="60" s="1"/>
  <c r="B11" i="60" s="1"/>
  <c r="B12" i="60" s="1"/>
  <c r="B13" i="60" s="1"/>
  <c r="B14" i="60" s="1"/>
  <c r="B15" i="60" s="1"/>
  <c r="B16" i="60" s="1"/>
  <c r="F28" i="67" l="1"/>
  <c r="F12" i="67"/>
  <c r="B13" i="67"/>
  <c r="K12" i="67"/>
  <c r="D12" i="67"/>
  <c r="J11" i="67"/>
  <c r="H11" i="67"/>
  <c r="C28" i="60"/>
  <c r="D20" i="60"/>
  <c r="D23" i="60"/>
  <c r="C20" i="60"/>
  <c r="C23" i="60"/>
  <c r="D26" i="60"/>
  <c r="C29" i="60"/>
  <c r="C25" i="60"/>
  <c r="C21" i="60"/>
  <c r="D28" i="60"/>
  <c r="D24" i="60"/>
  <c r="C24" i="60"/>
  <c r="D27" i="60"/>
  <c r="C27" i="60"/>
  <c r="D30" i="60"/>
  <c r="D22" i="60"/>
  <c r="C26" i="60"/>
  <c r="C22" i="60"/>
  <c r="D29" i="60"/>
  <c r="D25" i="60"/>
  <c r="D21" i="60"/>
  <c r="D12" i="59"/>
  <c r="E12" i="59" s="1"/>
  <c r="E13" i="59" s="1"/>
  <c r="D8" i="59"/>
  <c r="D9" i="59" s="1"/>
  <c r="J12" i="67" l="1"/>
  <c r="H12" i="67"/>
  <c r="F13" i="67"/>
  <c r="F29" i="67"/>
  <c r="K13" i="67"/>
  <c r="D13" i="67"/>
  <c r="G19" i="57"/>
  <c r="G14" i="57"/>
  <c r="G15" i="57" s="1"/>
  <c r="H13" i="57"/>
  <c r="H23" i="57"/>
  <c r="G21" i="57"/>
  <c r="G20" i="57"/>
  <c r="H20" i="57" s="1"/>
  <c r="E21" i="57"/>
  <c r="E20" i="57"/>
  <c r="F20" i="57" s="1"/>
  <c r="E19" i="57"/>
  <c r="E14" i="57"/>
  <c r="E16" i="57" s="1"/>
  <c r="F23" i="57"/>
  <c r="F13" i="57"/>
  <c r="D23" i="57"/>
  <c r="C21" i="57"/>
  <c r="D22" i="57" s="1"/>
  <c r="C20" i="57"/>
  <c r="C19" i="57"/>
  <c r="C9" i="57"/>
  <c r="C8" i="57"/>
  <c r="D13" i="57" s="1"/>
  <c r="C7" i="57"/>
  <c r="H22" i="57" s="1"/>
  <c r="C14" i="57"/>
  <c r="C16" i="57" s="1"/>
  <c r="D5" i="53"/>
  <c r="D6" i="53" s="1"/>
  <c r="D7" i="53" s="1"/>
  <c r="D8" i="53" s="1"/>
  <c r="D9" i="53" s="1"/>
  <c r="D10" i="53" s="1"/>
  <c r="D11" i="53" s="1"/>
  <c r="D12" i="53" s="1"/>
  <c r="D13" i="53" s="1"/>
  <c r="D14" i="53" s="1"/>
  <c r="F5" i="53"/>
  <c r="G5" i="53"/>
  <c r="F6" i="53"/>
  <c r="F7" i="53" s="1"/>
  <c r="F9" i="53" s="1"/>
  <c r="G6" i="53"/>
  <c r="G7" i="53" s="1"/>
  <c r="F10" i="53"/>
  <c r="G10" i="53"/>
  <c r="F11" i="53"/>
  <c r="G11" i="53"/>
  <c r="F12" i="53"/>
  <c r="G12" i="53"/>
  <c r="F13" i="53"/>
  <c r="G13" i="53"/>
  <c r="D20" i="57" l="1"/>
  <c r="F22" i="57"/>
  <c r="J13" i="67"/>
  <c r="H13" i="67"/>
  <c r="F14" i="53"/>
  <c r="C15" i="57"/>
  <c r="F17" i="57"/>
  <c r="F25" i="57" s="1"/>
  <c r="D17" i="57"/>
  <c r="D25" i="57" s="1"/>
  <c r="G16" i="57"/>
  <c r="H17" i="57" s="1"/>
  <c r="H25" i="57" s="1"/>
  <c r="E15" i="57"/>
  <c r="G14" i="53"/>
  <c r="G9" i="53"/>
  <c r="G8" i="53"/>
  <c r="F8" i="53"/>
  <c r="C69" i="5" l="1"/>
  <c r="C10" i="56" l="1"/>
  <c r="C9" i="56"/>
  <c r="C8" i="56"/>
  <c r="C7" i="56"/>
  <c r="C6" i="56"/>
  <c r="C5" i="56"/>
  <c r="C4" i="56"/>
  <c r="B4" i="56"/>
  <c r="B6" i="56"/>
  <c r="B7" i="56"/>
  <c r="B9" i="56"/>
  <c r="B5" i="56"/>
  <c r="B10" i="56"/>
  <c r="B8" i="56"/>
  <c r="B3" i="56"/>
  <c r="C13" i="55" l="1"/>
  <c r="C12" i="55"/>
  <c r="C11" i="55"/>
  <c r="C10" i="55"/>
  <c r="C9" i="55"/>
  <c r="C8" i="55"/>
  <c r="C7" i="55"/>
  <c r="C6" i="55"/>
  <c r="D16" i="55"/>
  <c r="E19" i="55"/>
  <c r="E22" i="55"/>
  <c r="C16" i="55" l="1"/>
  <c r="C19" i="55"/>
  <c r="D22" i="55"/>
  <c r="D28" i="55" s="1"/>
  <c r="D25" i="55"/>
  <c r="D31" i="55" s="1"/>
  <c r="D11" i="54"/>
  <c r="E11" i="54" s="1"/>
  <c r="E5" i="54"/>
  <c r="E4" i="54"/>
  <c r="D10" i="54"/>
  <c r="E10" i="54" s="1"/>
  <c r="H13" i="51" l="1"/>
  <c r="G13" i="51"/>
  <c r="F13" i="51"/>
  <c r="H12" i="51"/>
  <c r="G12" i="51"/>
  <c r="F12" i="51"/>
  <c r="H11" i="51"/>
  <c r="G11" i="51"/>
  <c r="F11" i="51"/>
  <c r="H10" i="51"/>
  <c r="G10" i="51"/>
  <c r="F10" i="51"/>
  <c r="H6" i="51"/>
  <c r="H7" i="51" s="1"/>
  <c r="H8" i="51" s="1"/>
  <c r="G6" i="51"/>
  <c r="F6" i="51"/>
  <c r="H5" i="51"/>
  <c r="G5" i="51"/>
  <c r="B29" i="51" s="1"/>
  <c r="F5" i="51"/>
  <c r="B19" i="51" s="1"/>
  <c r="F39" i="51"/>
  <c r="G39" i="51" s="1"/>
  <c r="H39" i="51" s="1"/>
  <c r="I39" i="51" s="1"/>
  <c r="J39" i="51" s="1"/>
  <c r="K39" i="51" s="1"/>
  <c r="L39" i="51" s="1"/>
  <c r="B32" i="53"/>
  <c r="B31" i="53"/>
  <c r="B21" i="53"/>
  <c r="B20" i="53"/>
  <c r="B35" i="53"/>
  <c r="B34" i="53"/>
  <c r="F29" i="53"/>
  <c r="G29" i="53" s="1"/>
  <c r="H29" i="53" s="1"/>
  <c r="I29" i="53" s="1"/>
  <c r="J29" i="53" s="1"/>
  <c r="K29" i="53" s="1"/>
  <c r="L29" i="53" s="1"/>
  <c r="M29" i="53" s="1"/>
  <c r="N29" i="53" s="1"/>
  <c r="O29" i="53" s="1"/>
  <c r="P29" i="53" s="1"/>
  <c r="Q29" i="53" s="1"/>
  <c r="B24" i="53"/>
  <c r="B23" i="53"/>
  <c r="B19" i="53"/>
  <c r="F18" i="53"/>
  <c r="G18" i="53" s="1"/>
  <c r="H18" i="53" s="1"/>
  <c r="I18" i="53" s="1"/>
  <c r="J18" i="53" s="1"/>
  <c r="B33" i="53"/>
  <c r="B30" i="53"/>
  <c r="B33" i="51"/>
  <c r="B32" i="51"/>
  <c r="F28" i="51"/>
  <c r="G28" i="51" s="1"/>
  <c r="H28" i="51" s="1"/>
  <c r="I28" i="51" s="1"/>
  <c r="J28" i="51" s="1"/>
  <c r="K28" i="51" s="1"/>
  <c r="L28" i="51" s="1"/>
  <c r="B23" i="51"/>
  <c r="B22" i="51"/>
  <c r="B19" i="52"/>
  <c r="B18" i="52"/>
  <c r="B17" i="52"/>
  <c r="B16" i="52"/>
  <c r="B15" i="52"/>
  <c r="B14" i="52"/>
  <c r="B13" i="52"/>
  <c r="B12" i="52"/>
  <c r="C9" i="52"/>
  <c r="C8" i="52"/>
  <c r="C7" i="52"/>
  <c r="C6" i="52"/>
  <c r="C5" i="52"/>
  <c r="C4" i="52"/>
  <c r="C3" i="52"/>
  <c r="B3" i="52"/>
  <c r="B4" i="52" s="1"/>
  <c r="B5" i="52" s="1"/>
  <c r="B6" i="52" s="1"/>
  <c r="B7" i="52" s="1"/>
  <c r="B8" i="52" s="1"/>
  <c r="B9" i="52" s="1"/>
  <c r="D5" i="51"/>
  <c r="D6" i="51" s="1"/>
  <c r="D7" i="51" s="1"/>
  <c r="D8" i="51" s="1"/>
  <c r="D9" i="51" s="1"/>
  <c r="D10" i="51" s="1"/>
  <c r="D11" i="51" s="1"/>
  <c r="D12" i="51" s="1"/>
  <c r="D13" i="51" s="1"/>
  <c r="D14" i="51" s="1"/>
  <c r="F18" i="51"/>
  <c r="G18" i="51" s="1"/>
  <c r="C14" i="52" l="1"/>
  <c r="C18" i="52"/>
  <c r="C12" i="52"/>
  <c r="C16" i="52"/>
  <c r="C15" i="52"/>
  <c r="C13" i="52"/>
  <c r="C17" i="52"/>
  <c r="F42" i="51"/>
  <c r="C19" i="52"/>
  <c r="F20" i="53"/>
  <c r="F21" i="53" s="1"/>
  <c r="B36" i="53"/>
  <c r="C42" i="51"/>
  <c r="G42" i="51"/>
  <c r="D42" i="51"/>
  <c r="E42" i="51"/>
  <c r="H9" i="51"/>
  <c r="H14" i="51"/>
  <c r="E20" i="53"/>
  <c r="E21" i="53" s="1"/>
  <c r="H20" i="53"/>
  <c r="H21" i="53" s="1"/>
  <c r="B22" i="53"/>
  <c r="B25" i="53" s="1"/>
  <c r="C20" i="53"/>
  <c r="C21" i="53" s="1"/>
  <c r="G20" i="53"/>
  <c r="G21" i="53" s="1"/>
  <c r="I20" i="53"/>
  <c r="I21" i="53" s="1"/>
  <c r="D20" i="53"/>
  <c r="D21" i="53" s="1"/>
  <c r="J20" i="53"/>
  <c r="J21" i="53" s="1"/>
  <c r="J33" i="53"/>
  <c r="J22" i="53"/>
  <c r="K18" i="53"/>
  <c r="L18" i="53" s="1"/>
  <c r="M18" i="53" s="1"/>
  <c r="N18" i="53" s="1"/>
  <c r="N20" i="53" s="1"/>
  <c r="N21" i="53" s="1"/>
  <c r="F22" i="53"/>
  <c r="F35" i="53" s="1"/>
  <c r="F33" i="53"/>
  <c r="C22" i="53"/>
  <c r="C24" i="53" s="1"/>
  <c r="G22" i="53"/>
  <c r="G24" i="53" s="1"/>
  <c r="C33" i="53"/>
  <c r="G33" i="53"/>
  <c r="D22" i="53"/>
  <c r="D35" i="53" s="1"/>
  <c r="H22" i="53"/>
  <c r="H24" i="53" s="1"/>
  <c r="D33" i="53"/>
  <c r="H33" i="53"/>
  <c r="E22" i="53"/>
  <c r="E24" i="53" s="1"/>
  <c r="I22" i="53"/>
  <c r="I24" i="53" s="1"/>
  <c r="E33" i="53"/>
  <c r="I33" i="53"/>
  <c r="E21" i="51"/>
  <c r="G31" i="51"/>
  <c r="C31" i="51"/>
  <c r="G21" i="51"/>
  <c r="D21" i="51"/>
  <c r="B21" i="51"/>
  <c r="B24" i="51" s="1"/>
  <c r="F21" i="51"/>
  <c r="F31" i="51"/>
  <c r="B31" i="51"/>
  <c r="B34" i="51" s="1"/>
  <c r="C21" i="51"/>
  <c r="E31" i="51"/>
  <c r="D31" i="51"/>
  <c r="F7" i="51"/>
  <c r="F9" i="51" s="1"/>
  <c r="G14" i="51"/>
  <c r="G7" i="51"/>
  <c r="G9" i="51" s="1"/>
  <c r="F14" i="51"/>
  <c r="H18" i="51"/>
  <c r="H21" i="51" s="1"/>
  <c r="D23" i="53" l="1"/>
  <c r="C23" i="53"/>
  <c r="H35" i="53"/>
  <c r="H42" i="51"/>
  <c r="I41" i="51"/>
  <c r="E41" i="51"/>
  <c r="F30" i="51"/>
  <c r="F43" i="51" s="1"/>
  <c r="J30" i="51"/>
  <c r="C30" i="51"/>
  <c r="C32" i="51" s="1"/>
  <c r="L41" i="51"/>
  <c r="H41" i="51"/>
  <c r="D41" i="51"/>
  <c r="G30" i="51"/>
  <c r="G43" i="51" s="1"/>
  <c r="K30" i="51"/>
  <c r="K41" i="51"/>
  <c r="G41" i="51"/>
  <c r="C41" i="51"/>
  <c r="D30" i="51"/>
  <c r="D32" i="51" s="1"/>
  <c r="H30" i="51"/>
  <c r="H32" i="51" s="1"/>
  <c r="L30" i="51"/>
  <c r="J41" i="51"/>
  <c r="F41" i="51"/>
  <c r="E30" i="51"/>
  <c r="E32" i="51" s="1"/>
  <c r="I30" i="51"/>
  <c r="H33" i="51"/>
  <c r="H44" i="51"/>
  <c r="D44" i="51"/>
  <c r="D33" i="51"/>
  <c r="E33" i="51"/>
  <c r="E44" i="51"/>
  <c r="F23" i="51"/>
  <c r="F44" i="51"/>
  <c r="F33" i="51"/>
  <c r="C23" i="51"/>
  <c r="C33" i="51"/>
  <c r="C44" i="51"/>
  <c r="G32" i="51"/>
  <c r="G33" i="51"/>
  <c r="G44" i="51"/>
  <c r="L20" i="53"/>
  <c r="L21" i="53" s="1"/>
  <c r="E23" i="53"/>
  <c r="E25" i="53" s="1"/>
  <c r="M22" i="53"/>
  <c r="M24" i="53" s="1"/>
  <c r="C35" i="53"/>
  <c r="J35" i="53"/>
  <c r="J24" i="53"/>
  <c r="J23" i="53"/>
  <c r="I23" i="53"/>
  <c r="I25" i="53" s="1"/>
  <c r="K20" i="53"/>
  <c r="K21" i="53" s="1"/>
  <c r="E31" i="53"/>
  <c r="E32" i="53" s="1"/>
  <c r="E34" i="53" s="1"/>
  <c r="I31" i="53"/>
  <c r="I32" i="53" s="1"/>
  <c r="I34" i="53" s="1"/>
  <c r="M31" i="53"/>
  <c r="M32" i="53" s="1"/>
  <c r="G31" i="53"/>
  <c r="G32" i="53" s="1"/>
  <c r="G34" i="53" s="1"/>
  <c r="D31" i="53"/>
  <c r="D32" i="53" s="1"/>
  <c r="D34" i="53" s="1"/>
  <c r="D36" i="53" s="1"/>
  <c r="L31" i="53"/>
  <c r="L32" i="53" s="1"/>
  <c r="F31" i="53"/>
  <c r="F32" i="53" s="1"/>
  <c r="F34" i="53" s="1"/>
  <c r="F36" i="53" s="1"/>
  <c r="J31" i="53"/>
  <c r="J32" i="53" s="1"/>
  <c r="J34" i="53" s="1"/>
  <c r="J36" i="53" s="1"/>
  <c r="N31" i="53"/>
  <c r="N32" i="53" s="1"/>
  <c r="C31" i="53"/>
  <c r="C32" i="53" s="1"/>
  <c r="C34" i="53" s="1"/>
  <c r="K31" i="53"/>
  <c r="K32" i="53" s="1"/>
  <c r="H31" i="53"/>
  <c r="H32" i="53" s="1"/>
  <c r="H34" i="53" s="1"/>
  <c r="M20" i="53"/>
  <c r="M21" i="53" s="1"/>
  <c r="M33" i="53"/>
  <c r="E35" i="53"/>
  <c r="G23" i="53"/>
  <c r="G25" i="53" s="1"/>
  <c r="L33" i="53"/>
  <c r="L22" i="53"/>
  <c r="K33" i="53"/>
  <c r="K22" i="53"/>
  <c r="K24" i="53" s="1"/>
  <c r="H23" i="53"/>
  <c r="H25" i="53" s="1"/>
  <c r="F23" i="53"/>
  <c r="D24" i="53"/>
  <c r="F24" i="53"/>
  <c r="N22" i="53"/>
  <c r="N23" i="53" s="1"/>
  <c r="N33" i="53"/>
  <c r="O18" i="53"/>
  <c r="O20" i="53" s="1"/>
  <c r="O21" i="53" s="1"/>
  <c r="G35" i="53"/>
  <c r="I35" i="53"/>
  <c r="H31" i="51"/>
  <c r="F8" i="51"/>
  <c r="H23" i="51"/>
  <c r="D23" i="51"/>
  <c r="E23" i="51"/>
  <c r="G8" i="51"/>
  <c r="G23" i="51"/>
  <c r="D20" i="51"/>
  <c r="H20" i="51"/>
  <c r="L20" i="51"/>
  <c r="E20" i="51"/>
  <c r="I20" i="51"/>
  <c r="F20" i="51"/>
  <c r="J20" i="51"/>
  <c r="K20" i="51"/>
  <c r="C20" i="51"/>
  <c r="G20" i="51"/>
  <c r="I18" i="51"/>
  <c r="I42" i="51" s="1"/>
  <c r="E36" i="53" l="1"/>
  <c r="F32" i="51"/>
  <c r="J25" i="53"/>
  <c r="H36" i="53"/>
  <c r="G36" i="53"/>
  <c r="K35" i="53"/>
  <c r="M23" i="53"/>
  <c r="M25" i="53" s="1"/>
  <c r="N34" i="53"/>
  <c r="K34" i="53"/>
  <c r="K23" i="53"/>
  <c r="K25" i="53" s="1"/>
  <c r="L23" i="53"/>
  <c r="O31" i="53"/>
  <c r="O32" i="53" s="1"/>
  <c r="L34" i="53"/>
  <c r="M34" i="53"/>
  <c r="E43" i="51"/>
  <c r="E45" i="51" s="1"/>
  <c r="H43" i="51"/>
  <c r="G45" i="51"/>
  <c r="C43" i="51"/>
  <c r="C45" i="51" s="1"/>
  <c r="D43" i="51"/>
  <c r="D45" i="51" s="1"/>
  <c r="H45" i="51"/>
  <c r="F45" i="51"/>
  <c r="L35" i="53"/>
  <c r="L24" i="53"/>
  <c r="M35" i="53"/>
  <c r="I36" i="53"/>
  <c r="C36" i="53"/>
  <c r="F25" i="53"/>
  <c r="N35" i="53"/>
  <c r="N24" i="53"/>
  <c r="N25" i="53" s="1"/>
  <c r="C25" i="53"/>
  <c r="D25" i="53"/>
  <c r="P18" i="53"/>
  <c r="O22" i="53"/>
  <c r="O23" i="53" s="1"/>
  <c r="O33" i="53"/>
  <c r="C34" i="51"/>
  <c r="C22" i="51"/>
  <c r="D22" i="51"/>
  <c r="D24" i="51" s="1"/>
  <c r="D34" i="51"/>
  <c r="I31" i="51"/>
  <c r="I21" i="51"/>
  <c r="G34" i="51"/>
  <c r="G22" i="51"/>
  <c r="G24" i="51" s="1"/>
  <c r="F34" i="51"/>
  <c r="F22" i="51"/>
  <c r="F24" i="51" s="1"/>
  <c r="E22" i="51"/>
  <c r="E24" i="51" s="1"/>
  <c r="E34" i="51"/>
  <c r="H22" i="51"/>
  <c r="H24" i="51" s="1"/>
  <c r="H34" i="51"/>
  <c r="J18" i="51"/>
  <c r="J42" i="51" s="1"/>
  <c r="M36" i="53" l="1"/>
  <c r="L36" i="53"/>
  <c r="K36" i="53"/>
  <c r="L25" i="53"/>
  <c r="O34" i="53"/>
  <c r="I43" i="51"/>
  <c r="I33" i="51"/>
  <c r="I44" i="51"/>
  <c r="I32" i="51"/>
  <c r="P20" i="53"/>
  <c r="P21" i="53" s="1"/>
  <c r="P31" i="53"/>
  <c r="P32" i="53" s="1"/>
  <c r="O24" i="53"/>
  <c r="O35" i="53"/>
  <c r="Q18" i="53"/>
  <c r="P22" i="53"/>
  <c r="P33" i="53"/>
  <c r="N36" i="53"/>
  <c r="I23" i="51"/>
  <c r="I22" i="51"/>
  <c r="J21" i="51"/>
  <c r="J31" i="51"/>
  <c r="C24" i="51"/>
  <c r="K18" i="51"/>
  <c r="K42" i="51" s="1"/>
  <c r="I34" i="51" l="1"/>
  <c r="P34" i="53"/>
  <c r="P23" i="53"/>
  <c r="J44" i="51"/>
  <c r="J32" i="51"/>
  <c r="J33" i="51"/>
  <c r="J43" i="51"/>
  <c r="I45" i="51"/>
  <c r="Q20" i="53"/>
  <c r="Q21" i="53" s="1"/>
  <c r="Q31" i="53"/>
  <c r="Q32" i="53" s="1"/>
  <c r="Q33" i="53"/>
  <c r="Q22" i="53"/>
  <c r="O36" i="53"/>
  <c r="P35" i="53"/>
  <c r="P24" i="53"/>
  <c r="O25" i="53"/>
  <c r="K31" i="51"/>
  <c r="K21" i="51"/>
  <c r="J23" i="51"/>
  <c r="J22" i="51"/>
  <c r="I24" i="51"/>
  <c r="L18" i="51"/>
  <c r="L42" i="51" s="1"/>
  <c r="Q34" i="53" l="1"/>
  <c r="R34" i="53" s="1"/>
  <c r="K32" i="51"/>
  <c r="K43" i="51"/>
  <c r="K33" i="51"/>
  <c r="K44" i="51"/>
  <c r="J45" i="51"/>
  <c r="Q23" i="53"/>
  <c r="Q24" i="53"/>
  <c r="R24" i="53" s="1"/>
  <c r="Q35" i="53"/>
  <c r="R35" i="53" s="1"/>
  <c r="P36" i="53"/>
  <c r="P25" i="53"/>
  <c r="J34" i="51"/>
  <c r="K23" i="51"/>
  <c r="K22" i="51"/>
  <c r="L21" i="51"/>
  <c r="L31" i="51"/>
  <c r="J24" i="51"/>
  <c r="L43" i="51" l="1"/>
  <c r="L33" i="51"/>
  <c r="L44" i="51"/>
  <c r="L32" i="51"/>
  <c r="K45" i="51"/>
  <c r="Q36" i="53"/>
  <c r="B38" i="53" s="1"/>
  <c r="Q25" i="53"/>
  <c r="B26" i="53" s="1"/>
  <c r="R23" i="53"/>
  <c r="K24" i="51"/>
  <c r="L23" i="51"/>
  <c r="L22" i="51"/>
  <c r="K34" i="51"/>
  <c r="L45" i="51" l="1"/>
  <c r="B37" i="53"/>
  <c r="B27" i="53"/>
  <c r="L34" i="51"/>
  <c r="L24" i="51"/>
  <c r="N17" i="49" l="1"/>
  <c r="N18" i="49"/>
  <c r="N19" i="49"/>
  <c r="N20" i="49"/>
  <c r="N16" i="49"/>
  <c r="I8" i="49" l="1"/>
  <c r="K9" i="49"/>
  <c r="K10" i="49" s="1"/>
  <c r="E7" i="49"/>
  <c r="E10" i="49" s="1"/>
  <c r="D7" i="49"/>
  <c r="D8" i="49" s="1"/>
  <c r="D9" i="49" s="1"/>
  <c r="D10" i="49" s="1"/>
  <c r="D11" i="49" s="1"/>
  <c r="D12" i="49" s="1"/>
  <c r="E2" i="49"/>
  <c r="E4" i="49"/>
  <c r="E3" i="49"/>
  <c r="F10" i="49" l="1"/>
  <c r="M33" i="51"/>
  <c r="M32" i="51"/>
  <c r="M44" i="51"/>
  <c r="M23" i="51"/>
  <c r="F7" i="49"/>
  <c r="G11" i="49"/>
  <c r="G10" i="49"/>
  <c r="E11" i="49"/>
  <c r="F11" i="49" s="1"/>
  <c r="G7" i="49"/>
  <c r="I7" i="49" s="1"/>
  <c r="I9" i="49" s="1"/>
  <c r="G9" i="49"/>
  <c r="E9" i="49"/>
  <c r="F9" i="49" s="1"/>
  <c r="E12" i="49"/>
  <c r="F12" i="49" s="1"/>
  <c r="G12" i="49"/>
  <c r="G8" i="49"/>
  <c r="E8" i="49"/>
  <c r="F8" i="49" s="1"/>
  <c r="M43" i="51" l="1"/>
  <c r="B35" i="51"/>
  <c r="M22" i="51"/>
  <c r="B36" i="51"/>
  <c r="D37" i="53" s="1"/>
  <c r="C8" i="47"/>
  <c r="C5" i="47"/>
  <c r="C4" i="47"/>
  <c r="B46" i="51" l="1"/>
  <c r="B47" i="51"/>
  <c r="B25" i="51"/>
  <c r="B26" i="51"/>
  <c r="D26" i="53" s="1"/>
  <c r="H13" i="47"/>
  <c r="H14" i="47" s="1"/>
  <c r="H12" i="47"/>
  <c r="H15" i="47" s="1"/>
  <c r="C9" i="47"/>
  <c r="C13" i="47" s="1"/>
  <c r="C7" i="47"/>
  <c r="C12" i="47"/>
  <c r="D9" i="46"/>
  <c r="D8" i="46"/>
  <c r="D14" i="46" s="1"/>
  <c r="D3" i="46"/>
  <c r="E14" i="46"/>
  <c r="D13" i="47"/>
  <c r="E15" i="46"/>
  <c r="E17" i="46"/>
  <c r="D12" i="47"/>
  <c r="E13" i="46"/>
  <c r="D14" i="47"/>
  <c r="E19" i="46"/>
  <c r="E15" i="47"/>
  <c r="E18" i="46"/>
  <c r="D18" i="46" l="1"/>
  <c r="H16" i="47"/>
  <c r="C14" i="47"/>
  <c r="D15" i="47" s="1"/>
  <c r="C6" i="47"/>
  <c r="D15" i="46"/>
  <c r="D19" i="46" s="1"/>
  <c r="D13" i="46"/>
  <c r="D17" i="46" s="1"/>
  <c r="D20" i="46" l="1"/>
  <c r="D27" i="45"/>
  <c r="D26" i="45"/>
  <c r="D25" i="45"/>
  <c r="D24" i="45"/>
  <c r="D23" i="45"/>
  <c r="D22" i="45"/>
  <c r="D21" i="45"/>
  <c r="C27" i="45"/>
  <c r="C26" i="45"/>
  <c r="C25" i="45"/>
  <c r="C24" i="45"/>
  <c r="C23" i="45"/>
  <c r="C22" i="45"/>
  <c r="C21" i="45"/>
  <c r="B27" i="45"/>
  <c r="B26" i="45"/>
  <c r="B25" i="45"/>
  <c r="B24" i="45"/>
  <c r="B23" i="45"/>
  <c r="B22" i="45"/>
  <c r="B21" i="45"/>
  <c r="G15" i="45"/>
  <c r="F15" i="45"/>
  <c r="G14" i="45"/>
  <c r="F14" i="45"/>
  <c r="C15" i="45"/>
  <c r="C14" i="45"/>
  <c r="B15" i="45"/>
  <c r="B14" i="45"/>
  <c r="G5" i="45"/>
  <c r="G4" i="45"/>
  <c r="F5" i="45"/>
  <c r="F4" i="45"/>
  <c r="C5" i="45"/>
  <c r="C4" i="45"/>
  <c r="B5" i="45"/>
  <c r="B4" i="45"/>
  <c r="B10" i="45" l="1" a="1"/>
  <c r="C10" i="45" s="1"/>
  <c r="B17" i="45" a="1"/>
  <c r="B17" i="45" s="1"/>
  <c r="B29" i="45"/>
  <c r="E25" i="45"/>
  <c r="F7" i="45" a="1"/>
  <c r="G7" i="45" s="1"/>
  <c r="E22" i="45"/>
  <c r="E26" i="45"/>
  <c r="C29" i="45"/>
  <c r="E21" i="45"/>
  <c r="E23" i="45"/>
  <c r="E27" i="45"/>
  <c r="B10" i="45"/>
  <c r="C11" i="45"/>
  <c r="C17" i="45"/>
  <c r="E24" i="45"/>
  <c r="D29" i="45"/>
  <c r="G23" i="45" s="1"/>
  <c r="B7" i="45" a="1"/>
  <c r="B7" i="45" s="1"/>
  <c r="B18" i="45"/>
  <c r="B11" i="45"/>
  <c r="G8" i="45"/>
  <c r="F8" i="45"/>
  <c r="C18" i="45" l="1"/>
  <c r="F7" i="45"/>
  <c r="C7" i="45"/>
  <c r="G22" i="45"/>
  <c r="G25" i="45"/>
  <c r="C8" i="45"/>
  <c r="E29" i="45"/>
  <c r="G21" i="45"/>
  <c r="G24" i="45"/>
  <c r="B8" i="45"/>
  <c r="G26" i="45"/>
  <c r="G27" i="45"/>
  <c r="B3" i="42"/>
  <c r="B7" i="42" s="1"/>
  <c r="B7" i="26"/>
  <c r="B6" i="26"/>
  <c r="B4" i="26"/>
  <c r="E8" i="32"/>
  <c r="E7" i="32"/>
  <c r="E6" i="32"/>
  <c r="B5" i="42" l="1"/>
  <c r="F26" i="45"/>
  <c r="F27" i="45"/>
  <c r="F25" i="45"/>
  <c r="F22" i="45"/>
  <c r="F21" i="45"/>
  <c r="F23" i="45"/>
  <c r="F24" i="45"/>
  <c r="G9" i="31"/>
  <c r="G10" i="31"/>
  <c r="G8" i="31"/>
  <c r="F8" i="31"/>
  <c r="E8" i="31"/>
  <c r="D2" i="31"/>
  <c r="C14" i="31"/>
  <c r="C13" i="31"/>
  <c r="C12" i="31"/>
  <c r="C11" i="31"/>
  <c r="C10" i="31"/>
  <c r="C9" i="31"/>
  <c r="C8" i="31"/>
  <c r="B9" i="31"/>
  <c r="B10" i="31" s="1"/>
  <c r="B11" i="31" s="1"/>
  <c r="B12" i="31" s="1"/>
  <c r="B13" i="31" s="1"/>
  <c r="B14" i="31" s="1"/>
  <c r="G14" i="31" s="1"/>
  <c r="F9" i="31" l="1"/>
  <c r="E14" i="31"/>
  <c r="E10" i="31"/>
  <c r="F13" i="31"/>
  <c r="G11" i="31"/>
  <c r="E13" i="31"/>
  <c r="E9" i="31"/>
  <c r="F12" i="31"/>
  <c r="G12" i="31"/>
  <c r="E12" i="31"/>
  <c r="F11" i="31"/>
  <c r="G13" i="31"/>
  <c r="D8" i="31"/>
  <c r="D9" i="31" s="1"/>
  <c r="D10" i="31" s="1"/>
  <c r="D11" i="31" s="1"/>
  <c r="D12" i="31" s="1"/>
  <c r="D13" i="31" s="1"/>
  <c r="D14" i="31" s="1"/>
  <c r="E11" i="31"/>
  <c r="F14" i="31"/>
  <c r="F10" i="31"/>
  <c r="H13" i="22" l="1"/>
  <c r="G13" i="22"/>
  <c r="H12" i="22"/>
  <c r="G12" i="22"/>
  <c r="H11" i="22"/>
  <c r="G11" i="22"/>
  <c r="H10" i="22"/>
  <c r="G10" i="22"/>
  <c r="H9" i="22"/>
  <c r="G9" i="22"/>
  <c r="H8" i="22"/>
  <c r="G8" i="22"/>
  <c r="C4" i="22"/>
  <c r="C2" i="22"/>
  <c r="C5" i="22" s="1"/>
  <c r="O25" i="21"/>
  <c r="I25" i="21"/>
  <c r="G25" i="21"/>
  <c r="H25" i="21" s="1"/>
  <c r="O24" i="21"/>
  <c r="I24" i="21"/>
  <c r="G24" i="21"/>
  <c r="H24" i="21" s="1"/>
  <c r="O23" i="21"/>
  <c r="I23" i="21"/>
  <c r="G23" i="21"/>
  <c r="H23" i="21" s="1"/>
  <c r="O22" i="21"/>
  <c r="F22" i="21"/>
  <c r="E22" i="21"/>
  <c r="O21" i="21"/>
  <c r="I21" i="21"/>
  <c r="G21" i="21"/>
  <c r="H21" i="21" s="1"/>
  <c r="O20" i="21"/>
  <c r="F20" i="21"/>
  <c r="E20" i="21"/>
  <c r="D20" i="21"/>
  <c r="C20" i="21"/>
  <c r="I20" i="21" s="1"/>
  <c r="A20" i="21"/>
  <c r="A21" i="21" s="1"/>
  <c r="A22" i="21" s="1"/>
  <c r="A23" i="21" s="1"/>
  <c r="A24" i="21" s="1"/>
  <c r="A25" i="21" s="1"/>
  <c r="H14" i="21"/>
  <c r="G14" i="21"/>
  <c r="H13" i="21"/>
  <c r="G13" i="21"/>
  <c r="H12" i="21"/>
  <c r="G12" i="21"/>
  <c r="H11" i="21"/>
  <c r="G11" i="21"/>
  <c r="H10" i="21"/>
  <c r="G10" i="21"/>
  <c r="H9" i="21"/>
  <c r="H15" i="21" s="1"/>
  <c r="G9" i="21"/>
  <c r="A9" i="21"/>
  <c r="A10" i="21" s="1"/>
  <c r="A11" i="21" s="1"/>
  <c r="A12" i="21" s="1"/>
  <c r="A13" i="21" s="1"/>
  <c r="A14" i="21" s="1"/>
  <c r="F3" i="21"/>
  <c r="C3" i="21"/>
  <c r="F2" i="21"/>
  <c r="C2" i="21"/>
  <c r="D23" i="20"/>
  <c r="D22" i="20"/>
  <c r="D21" i="20"/>
  <c r="C142" i="11"/>
  <c r="D105" i="11"/>
  <c r="D106" i="11" s="1"/>
  <c r="F101" i="11"/>
  <c r="F97" i="11"/>
  <c r="D108" i="5"/>
  <c r="D101" i="5"/>
  <c r="D102" i="5" s="1"/>
  <c r="D99" i="5"/>
  <c r="D92" i="5" s="1"/>
  <c r="D93" i="5" s="1"/>
  <c r="C71" i="5"/>
  <c r="C70" i="5"/>
  <c r="I44" i="9"/>
  <c r="D44" i="9"/>
  <c r="J40" i="9"/>
  <c r="E40" i="9"/>
  <c r="J39" i="9"/>
  <c r="E39" i="9"/>
  <c r="E83" i="2"/>
  <c r="E81" i="2"/>
  <c r="E79" i="2"/>
  <c r="F79" i="2" s="1"/>
  <c r="C79" i="2"/>
  <c r="C80" i="2" s="1"/>
  <c r="C81" i="2" s="1"/>
  <c r="C82" i="2" s="1"/>
  <c r="C83" i="2" s="1"/>
  <c r="D66" i="2"/>
  <c r="B66" i="2"/>
  <c r="D65" i="2"/>
  <c r="B65" i="2"/>
  <c r="D64" i="2"/>
  <c r="B64" i="2"/>
  <c r="D62" i="2"/>
  <c r="D63" i="2" s="1"/>
  <c r="B62" i="2"/>
  <c r="B63" i="2" s="1"/>
  <c r="D61" i="2"/>
  <c r="B61" i="2"/>
  <c r="D60" i="2"/>
  <c r="B60" i="2"/>
  <c r="D59" i="2"/>
  <c r="B59" i="2"/>
  <c r="D58" i="2"/>
  <c r="E57" i="2"/>
  <c r="D57" i="2"/>
  <c r="B57" i="2"/>
  <c r="B58" i="2" s="1"/>
  <c r="G56" i="2"/>
  <c r="F56" i="2"/>
  <c r="E56" i="2"/>
  <c r="D56" i="2"/>
  <c r="E41" i="2"/>
  <c r="F41" i="2" s="1"/>
  <c r="E40" i="2"/>
  <c r="F40" i="2" s="1"/>
  <c r="E39" i="2"/>
  <c r="F38" i="2"/>
  <c r="E38" i="2"/>
  <c r="D38" i="2"/>
  <c r="E31" i="2"/>
  <c r="G30" i="2"/>
  <c r="F30" i="2"/>
  <c r="F31" i="2" s="1"/>
  <c r="E30" i="2"/>
  <c r="G16" i="18"/>
  <c r="D16" i="18"/>
  <c r="C16" i="18"/>
  <c r="G15" i="18"/>
  <c r="D15" i="18"/>
  <c r="C15" i="18"/>
  <c r="G14" i="18"/>
  <c r="F14" i="18"/>
  <c r="E14" i="18"/>
  <c r="D14" i="18"/>
  <c r="C14" i="18"/>
  <c r="G13" i="18"/>
  <c r="F13" i="18"/>
  <c r="E13" i="18"/>
  <c r="D13" i="18"/>
  <c r="C13" i="18"/>
  <c r="G12" i="18"/>
  <c r="F12" i="18"/>
  <c r="E12" i="18"/>
  <c r="D12" i="18"/>
  <c r="C12" i="18"/>
  <c r="G11" i="18"/>
  <c r="F11" i="18"/>
  <c r="E11" i="18"/>
  <c r="D11" i="18"/>
  <c r="C11" i="18"/>
  <c r="G10" i="18"/>
  <c r="F10" i="18"/>
  <c r="E10" i="18"/>
  <c r="D10" i="18"/>
  <c r="C10" i="18"/>
  <c r="F9" i="18"/>
  <c r="E9" i="18"/>
  <c r="D9" i="18"/>
  <c r="C9" i="18"/>
  <c r="F8" i="18"/>
  <c r="E8" i="18"/>
  <c r="D8" i="18"/>
  <c r="C8" i="18"/>
  <c r="G7" i="18"/>
  <c r="F7" i="18"/>
  <c r="E7" i="18"/>
  <c r="D7" i="18"/>
  <c r="C7" i="18"/>
  <c r="G6" i="18"/>
  <c r="F6" i="18"/>
  <c r="E6" i="18"/>
  <c r="D6" i="18"/>
  <c r="C6" i="18"/>
  <c r="H5" i="18"/>
  <c r="I5" i="18" s="1"/>
  <c r="A5" i="18"/>
  <c r="A6" i="18" s="1"/>
  <c r="A7" i="18" s="1"/>
  <c r="A8" i="18" s="1"/>
  <c r="A9" i="18" s="1"/>
  <c r="A10" i="18" s="1"/>
  <c r="A11" i="18" s="1"/>
  <c r="A12" i="18" s="1"/>
  <c r="A13" i="18" s="1"/>
  <c r="A14" i="18" s="1"/>
  <c r="A15" i="18" s="1"/>
  <c r="A16" i="18" s="1"/>
  <c r="H4" i="18"/>
  <c r="C20" i="19"/>
  <c r="C19" i="19"/>
  <c r="C21" i="19" s="1"/>
  <c r="A5" i="19"/>
  <c r="A6" i="19" s="1"/>
  <c r="A7" i="19" s="1"/>
  <c r="A8" i="19" s="1"/>
  <c r="A9" i="19" s="1"/>
  <c r="A10" i="19" s="1"/>
  <c r="A11" i="19" s="1"/>
  <c r="A12" i="19" s="1"/>
  <c r="A13" i="19" s="1"/>
  <c r="A14" i="19" s="1"/>
  <c r="A15" i="19" s="1"/>
  <c r="A16" i="19" s="1"/>
  <c r="E44" i="9"/>
  <c r="H32" i="2"/>
  <c r="G40" i="2"/>
  <c r="J44" i="9"/>
  <c r="E116" i="11"/>
  <c r="D72" i="5"/>
  <c r="E45" i="9"/>
  <c r="G100" i="11"/>
  <c r="D73" i="5"/>
  <c r="D142" i="11"/>
  <c r="J45" i="9"/>
  <c r="Q24" i="21" l="1"/>
  <c r="M34" i="21" s="1"/>
  <c r="C72" i="5"/>
  <c r="C73" i="5" s="1"/>
  <c r="Q25" i="21"/>
  <c r="M35" i="21" s="1"/>
  <c r="Q23" i="21"/>
  <c r="M33" i="21" s="1"/>
  <c r="D45" i="9"/>
  <c r="I11" i="18"/>
  <c r="I12" i="18"/>
  <c r="D24" i="20"/>
  <c r="D26" i="20" s="1"/>
  <c r="D32" i="20" s="1"/>
  <c r="D33" i="20" s="1"/>
  <c r="F4" i="21"/>
  <c r="C24" i="19"/>
  <c r="I45" i="9"/>
  <c r="D116" i="11"/>
  <c r="D145" i="11" s="1"/>
  <c r="I22" i="21"/>
  <c r="I26" i="21" s="1"/>
  <c r="F17" i="18"/>
  <c r="I8" i="18"/>
  <c r="I9" i="18"/>
  <c r="I10" i="18"/>
  <c r="I14" i="18"/>
  <c r="I16" i="18"/>
  <c r="F57" i="2"/>
  <c r="E58" i="2" s="1"/>
  <c r="F59" i="2" s="1"/>
  <c r="G59" i="2" s="1"/>
  <c r="C4" i="21"/>
  <c r="Q22" i="21"/>
  <c r="M32" i="21" s="1"/>
  <c r="C3" i="22"/>
  <c r="I13" i="18"/>
  <c r="Q21" i="21"/>
  <c r="M31" i="21" s="1"/>
  <c r="I4" i="18"/>
  <c r="H17" i="18"/>
  <c r="E32" i="2"/>
  <c r="F33" i="2"/>
  <c r="G31" i="2"/>
  <c r="D95" i="5"/>
  <c r="D94" i="5"/>
  <c r="D17" i="18"/>
  <c r="E17" i="18"/>
  <c r="G79" i="2"/>
  <c r="F81" i="2"/>
  <c r="I13" i="21"/>
  <c r="I9" i="21"/>
  <c r="I11" i="21"/>
  <c r="I10" i="21"/>
  <c r="I14" i="21"/>
  <c r="J14" i="21" s="1"/>
  <c r="K14" i="21" s="1"/>
  <c r="I7" i="18"/>
  <c r="G22" i="21"/>
  <c r="H22" i="21" s="1"/>
  <c r="C17" i="18"/>
  <c r="I6" i="18"/>
  <c r="G17" i="18"/>
  <c r="C21" i="18" s="1"/>
  <c r="G57" i="2"/>
  <c r="I12" i="21"/>
  <c r="G20" i="21"/>
  <c r="H20" i="21" s="1"/>
  <c r="C23" i="19"/>
  <c r="C25" i="19" s="1"/>
  <c r="I15" i="18"/>
  <c r="Q20" i="21"/>
  <c r="O26" i="21"/>
  <c r="H14" i="22"/>
  <c r="I10" i="22" s="1"/>
  <c r="J10" i="22" s="1"/>
  <c r="K10" i="22" s="1"/>
  <c r="F60" i="2" l="1"/>
  <c r="J11" i="21"/>
  <c r="K11" i="21" s="1"/>
  <c r="J24" i="21"/>
  <c r="K24" i="21" s="1"/>
  <c r="M24" i="21" s="1"/>
  <c r="P24" i="21" s="1"/>
  <c r="J25" i="21"/>
  <c r="K25" i="21" s="1"/>
  <c r="M25" i="21" s="1"/>
  <c r="P25" i="21" s="1"/>
  <c r="J20" i="21"/>
  <c r="K20" i="21" s="1"/>
  <c r="J10" i="21"/>
  <c r="K10" i="21" s="1"/>
  <c r="J13" i="21"/>
  <c r="K13" i="21" s="1"/>
  <c r="J12" i="21"/>
  <c r="K12" i="21" s="1"/>
  <c r="I12" i="22"/>
  <c r="J12" i="22" s="1"/>
  <c r="K12" i="22" s="1"/>
  <c r="I13" i="22"/>
  <c r="J13" i="22" s="1"/>
  <c r="K13" i="22" s="1"/>
  <c r="D106" i="5"/>
  <c r="D103" i="5"/>
  <c r="D107" i="5"/>
  <c r="D109" i="5" s="1"/>
  <c r="D110" i="5" s="1"/>
  <c r="F34" i="2"/>
  <c r="G33" i="2"/>
  <c r="I9" i="22"/>
  <c r="J9" i="22" s="1"/>
  <c r="K9" i="22" s="1"/>
  <c r="L25" i="21"/>
  <c r="L35" i="21" s="1"/>
  <c r="N35" i="21" s="1"/>
  <c r="J21" i="21"/>
  <c r="K21" i="21" s="1"/>
  <c r="J23" i="21"/>
  <c r="K23" i="21" s="1"/>
  <c r="F83" i="2"/>
  <c r="G83" i="2" s="1"/>
  <c r="G81" i="2"/>
  <c r="I11" i="22"/>
  <c r="J11" i="22" s="1"/>
  <c r="K11" i="22" s="1"/>
  <c r="G60" i="2"/>
  <c r="F61" i="2"/>
  <c r="Q26" i="21"/>
  <c r="M30" i="21"/>
  <c r="M36" i="21" s="1"/>
  <c r="J22" i="21"/>
  <c r="K22" i="21" s="1"/>
  <c r="I8" i="22"/>
  <c r="J8" i="22" s="1"/>
  <c r="K8" i="22" s="1"/>
  <c r="C20" i="18"/>
  <c r="I15" i="21"/>
  <c r="J9" i="21"/>
  <c r="D96" i="5"/>
  <c r="I17" i="18"/>
  <c r="J4" i="18" s="1"/>
  <c r="L24" i="21" l="1"/>
  <c r="L34" i="21" s="1"/>
  <c r="N34" i="21" s="1"/>
  <c r="J26" i="21"/>
  <c r="K26" i="21" s="1"/>
  <c r="J5" i="18"/>
  <c r="J16" i="18"/>
  <c r="J14" i="18"/>
  <c r="J8" i="18"/>
  <c r="J13" i="18"/>
  <c r="J11" i="18"/>
  <c r="J9" i="18"/>
  <c r="J12" i="18"/>
  <c r="J10" i="18"/>
  <c r="J7" i="18"/>
  <c r="L22" i="21"/>
  <c r="L32" i="21" s="1"/>
  <c r="N32" i="21" s="1"/>
  <c r="M22" i="21"/>
  <c r="P22" i="21" s="1"/>
  <c r="G61" i="2"/>
  <c r="F62" i="2"/>
  <c r="C22" i="18"/>
  <c r="C25" i="18" s="1"/>
  <c r="J6" i="18"/>
  <c r="M23" i="21"/>
  <c r="P23" i="21" s="1"/>
  <c r="L23" i="21"/>
  <c r="L33" i="21" s="1"/>
  <c r="N33" i="21" s="1"/>
  <c r="K9" i="21"/>
  <c r="J15" i="21"/>
  <c r="J15" i="18"/>
  <c r="M21" i="21"/>
  <c r="P21" i="21" s="1"/>
  <c r="L21" i="21"/>
  <c r="L31" i="21" s="1"/>
  <c r="N31" i="21" s="1"/>
  <c r="F35" i="2"/>
  <c r="G35" i="2" s="1"/>
  <c r="G34" i="2"/>
  <c r="L20" i="21"/>
  <c r="M20" i="21"/>
  <c r="P20" i="21" s="1"/>
  <c r="M26" i="21"/>
  <c r="J17" i="18" l="1"/>
  <c r="G62" i="2"/>
  <c r="E63" i="2"/>
  <c r="F64" i="2"/>
  <c r="L26" i="21"/>
  <c r="L30" i="21"/>
  <c r="C24" i="18"/>
  <c r="C26" i="18" s="1"/>
  <c r="G64" i="2" l="1"/>
  <c r="F65" i="2"/>
  <c r="L36" i="21"/>
  <c r="N30" i="21"/>
  <c r="G65" i="2" l="1"/>
  <c r="F66" i="2"/>
  <c r="G6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 Kashif (GE Oil &amp; Gas)</author>
  </authors>
  <commentList>
    <comment ref="M9" authorId="0" shapeId="0" xr:uid="{00000000-0006-0000-0600-000001000000}">
      <text>
        <r>
          <rPr>
            <b/>
            <sz val="9"/>
            <color indexed="81"/>
            <rFont val="Tahoma"/>
            <family val="2"/>
          </rPr>
          <t>Cost should be $59,034??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 Kashif (GE Oil &amp; Gas)</author>
  </authors>
  <commentList>
    <comment ref="K8" authorId="0" shapeId="0" xr:uid="{6061A673-8E77-469C-9E81-13D14D603E10}">
      <text>
        <r>
          <rPr>
            <b/>
            <sz val="9"/>
            <color indexed="81"/>
            <rFont val="Tahoma"/>
            <family val="2"/>
          </rPr>
          <t>Ali, Kashif (GE Oil &amp; Gas):</t>
        </r>
        <r>
          <rPr>
            <sz val="9"/>
            <color indexed="81"/>
            <rFont val="Tahoma"/>
            <family val="2"/>
          </rPr>
          <t xml:space="preserve">
Baseline Reliability model in Blocksim with failure rates</t>
        </r>
      </text>
    </comment>
    <comment ref="H19" authorId="0" shapeId="0" xr:uid="{A7B71138-71D4-4B30-A176-1364FC795C6E}">
      <text>
        <r>
          <rPr>
            <b/>
            <sz val="9"/>
            <color indexed="81"/>
            <rFont val="Tahoma"/>
            <family val="2"/>
          </rPr>
          <t>Ali, Kashif (GE Oil &amp; Gas):</t>
        </r>
        <r>
          <rPr>
            <sz val="9"/>
            <color indexed="81"/>
            <rFont val="Tahoma"/>
            <family val="2"/>
          </rPr>
          <t xml:space="preserve">
Use SV in Blocksim</t>
        </r>
      </text>
    </comment>
    <comment ref="M19" authorId="0" shapeId="0" xr:uid="{50C75D84-074D-47E7-937D-A48780672019}">
      <text>
        <r>
          <rPr>
            <b/>
            <sz val="9"/>
            <color indexed="81"/>
            <rFont val="Tahoma"/>
            <family val="2"/>
          </rPr>
          <t>Ali, Kashif (GE Oil &amp; Gas):</t>
        </r>
        <r>
          <rPr>
            <sz val="9"/>
            <color indexed="81"/>
            <rFont val="Tahoma"/>
            <family val="2"/>
          </rPr>
          <t xml:space="preserve">
Allocated failure rate to be compared with reliability allocation in Blocksim using SV in Blocksim cost optimization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 Kashif (GE Oil &amp; Gas)</author>
  </authors>
  <commentList>
    <comment ref="G7" authorId="0" shapeId="0" xr:uid="{D8BBF75B-F27C-4A37-B853-CCB295C743CE}">
      <text>
        <r>
          <rPr>
            <b/>
            <sz val="9"/>
            <color indexed="81"/>
            <rFont val="Tahoma"/>
            <family val="2"/>
          </rPr>
          <t>Ali, Kashif (GE Oil &amp; Gas):</t>
        </r>
        <r>
          <rPr>
            <sz val="9"/>
            <color indexed="81"/>
            <rFont val="Tahoma"/>
            <family val="2"/>
          </rPr>
          <t xml:space="preserve">
Average rating to be sliding value in Blocksim Reliability allocation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Ali, Kashif (BHGE)</author>
  </authors>
  <commentList>
    <comment ref="F7" authorId="0" shapeId="0" xr:uid="{FCF4CA91-1096-4141-BEE5-8D77AB75E936}">
      <text>
        <r>
          <rPr>
            <b/>
            <sz val="9"/>
            <color indexed="81"/>
            <rFont val="Tahoma"/>
            <family val="2"/>
          </rPr>
          <t>Adjust negative values to zero</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 Kashif (BHGE)</author>
  </authors>
  <commentList>
    <comment ref="B17" authorId="0" shapeId="0" xr:uid="{F058BC61-3650-4310-8F3D-96E92A0D623A}">
      <text>
        <r>
          <rPr>
            <b/>
            <sz val="9"/>
            <color indexed="81"/>
            <rFont val="Tahoma"/>
            <family val="2"/>
          </rPr>
          <t>Based on failure rate</t>
        </r>
      </text>
    </comment>
    <comment ref="B27" authorId="0" shapeId="0" xr:uid="{591DD66B-6FFE-4A44-AB7F-36D0AB081E58}">
      <text>
        <r>
          <rPr>
            <b/>
            <sz val="9"/>
            <color indexed="81"/>
            <rFont val="Tahoma"/>
            <family val="2"/>
          </rPr>
          <t>Based on failure rate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 Kashif (BHGE)</author>
  </authors>
  <commentList>
    <comment ref="B17" authorId="0" shapeId="0" xr:uid="{D5F235E2-D671-4C02-980F-DFCAD2787960}">
      <text>
        <r>
          <rPr>
            <b/>
            <sz val="9"/>
            <color indexed="81"/>
            <rFont val="Tahoma"/>
            <family val="2"/>
          </rPr>
          <t>Based on failure rate</t>
        </r>
      </text>
    </comment>
    <comment ref="B28" authorId="0" shapeId="0" xr:uid="{6D29BD8F-4C16-4D34-8AAB-6105AAF637AB}">
      <text>
        <r>
          <rPr>
            <b/>
            <sz val="9"/>
            <color indexed="81"/>
            <rFont val="Tahoma"/>
            <family val="2"/>
          </rPr>
          <t>Based on failure rate</t>
        </r>
      </text>
    </comment>
  </commentList>
</comments>
</file>

<file path=xl/sharedStrings.xml><?xml version="1.0" encoding="utf-8"?>
<sst xmlns="http://schemas.openxmlformats.org/spreadsheetml/2006/main" count="1618" uniqueCount="1241">
  <si>
    <t>Lambda Predict</t>
  </si>
  <si>
    <t>Baseline Reliability Prediction at the Early Product Design Stage</t>
  </si>
  <si>
    <t>Reliability Allocation Using Lambda Predict</t>
  </si>
  <si>
    <t>FIDES Reliability Prediction</t>
  </si>
  <si>
    <t>Reno</t>
  </si>
  <si>
    <t>A Case Study Using Monte Carlo Simulation for Risk Analysis</t>
  </si>
  <si>
    <t>Blocksim</t>
  </si>
  <si>
    <t>Weibull++</t>
  </si>
  <si>
    <t>ALTA</t>
  </si>
  <si>
    <t>RGA</t>
  </si>
  <si>
    <t>DOE++</t>
  </si>
  <si>
    <t>XFMEA / RCM++</t>
  </si>
  <si>
    <t>Reliability prediction for supplier provided data as an external component</t>
  </si>
  <si>
    <t>Solving complex probabilstic  problems through simulation [Reliability edge V6 I2]</t>
  </si>
  <si>
    <t>Critical examination of a common assumption in system availability computations [Reliability edge Volume 3 issue 2]</t>
  </si>
  <si>
    <t>Guidelines for burn in justification &amp; burn in time determination [Reliability edge Volume 7 Issue 2]</t>
  </si>
  <si>
    <t>Reliability prediction for components in fatigue [Reliability edge Volume 8 issue 2]</t>
  </si>
  <si>
    <t>Accelerated life test planning</t>
  </si>
  <si>
    <t>Reliability Growth Planning (RGP) [RGA reference &amp;  Dr. Larry Crow ARS 2012 turorial]</t>
  </si>
  <si>
    <t>DFR Topics</t>
  </si>
  <si>
    <t>Characterising the Reliability of a Blower System for Medical Devices</t>
  </si>
  <si>
    <t>Evaluation of Life Test Plans with Different Censoring Schemes</t>
  </si>
  <si>
    <t>Destructive degradation analysis</t>
  </si>
  <si>
    <t>Modeling a Ring Network Topology in BlockSim</t>
  </si>
  <si>
    <t>Modeling Specific Functions of a Ring Network Topology in BlockSim</t>
  </si>
  <si>
    <t>Sensitivity Analysis Using Simulation Worksheets in BlockSim and DOE++</t>
  </si>
  <si>
    <t>Life Cycle Cost Analysis</t>
  </si>
  <si>
    <t>Using Markov Diagrams in BlockSim for Availability Analysis</t>
  </si>
  <si>
    <t>Median Ranks Calculation for Fractional Failures</t>
  </si>
  <si>
    <t xml:space="preserve">fractional failure analysis </t>
  </si>
  <si>
    <t>A Simple Method for Analyzing a Data Set with Unknown Suspension Times</t>
  </si>
  <si>
    <t>Determine Lab Test Target Based on Warranty Reliability Requirement</t>
  </si>
  <si>
    <t>Quantifying Optimum Burn-in Period</t>
  </si>
  <si>
    <t>Reliability Allocation and Optimization using BlockSim</t>
  </si>
  <si>
    <t>Operational Mission Profile Testing</t>
  </si>
  <si>
    <t>Conditional reliability of a system</t>
  </si>
  <si>
    <t>Number in state</t>
  </si>
  <si>
    <t>State (F/S)</t>
  </si>
  <si>
    <t>State End time (Hr)</t>
  </si>
  <si>
    <t>F</t>
  </si>
  <si>
    <t>In this case a design change has been implemented &amp; is assumed to be 60% effective</t>
  </si>
  <si>
    <t>S</t>
  </si>
  <si>
    <t>Median Order Number (MON)</t>
  </si>
  <si>
    <t>Median Rank</t>
  </si>
  <si>
    <t>Incement</t>
  </si>
  <si>
    <t>State</t>
  </si>
  <si>
    <t>Time to failure</t>
  </si>
  <si>
    <t>Increment</t>
  </si>
  <si>
    <t>MON</t>
  </si>
  <si>
    <t>Prior to computing MON, the data points are arranged in ascending order. The MON for each failure is calculated as:</t>
  </si>
  <si>
    <r>
      <t>where, </t>
    </r>
    <r>
      <rPr>
        <i/>
        <sz val="12"/>
        <color rgb="FF000000"/>
        <rFont val="Trebuchet MS"/>
        <family val="2"/>
      </rPr>
      <t>j</t>
    </r>
    <r>
      <rPr>
        <sz val="12"/>
        <color rgb="FF000000"/>
        <rFont val="Trebuchet MS"/>
        <family val="2"/>
      </rPr>
      <t> is the </t>
    </r>
    <r>
      <rPr>
        <i/>
        <sz val="12"/>
        <color rgb="FF000000"/>
        <rFont val="Trebuchet MS"/>
        <family val="2"/>
      </rPr>
      <t>j</t>
    </r>
    <r>
      <rPr>
        <i/>
        <vertAlign val="superscript"/>
        <sz val="12"/>
        <color rgb="FF000000"/>
        <rFont val="Trebuchet MS"/>
        <family val="2"/>
      </rPr>
      <t>th</t>
    </r>
    <r>
      <rPr>
        <sz val="12"/>
        <color rgb="FF000000"/>
        <rFont val="Trebuchet MS"/>
        <family val="2"/>
      </rPr>
      <t> failure item and </t>
    </r>
    <r>
      <rPr>
        <i/>
        <sz val="12"/>
        <color rgb="FF000000"/>
        <rFont val="Trebuchet MS"/>
        <family val="2"/>
      </rPr>
      <t>I</t>
    </r>
    <r>
      <rPr>
        <i/>
        <vertAlign val="subscript"/>
        <sz val="12"/>
        <color rgb="FF000000"/>
        <rFont val="Trebuchet MS"/>
        <family val="2"/>
      </rPr>
      <t>j</t>
    </r>
    <r>
      <rPr>
        <sz val="12"/>
        <color rgb="FF000000"/>
        <rFont val="Trebuchet MS"/>
        <family val="2"/>
      </rPr>
      <t> is the increment.</t>
    </r>
  </si>
  <si>
    <r>
      <t>The increment, </t>
    </r>
    <r>
      <rPr>
        <i/>
        <sz val="12"/>
        <color rgb="FF000000"/>
        <rFont val="Trebuchet MS"/>
        <family val="2"/>
      </rPr>
      <t>I</t>
    </r>
    <r>
      <rPr>
        <sz val="12"/>
        <color rgb="FF000000"/>
        <rFont val="Trebuchet MS"/>
        <family val="2"/>
      </rPr>
      <t>, is defined by:</t>
    </r>
  </si>
  <si>
    <t>where:</t>
  </si>
  <si>
    <r>
      <t>N</t>
    </r>
    <r>
      <rPr>
        <sz val="12"/>
        <color rgb="FF000000"/>
        <rFont val="Trebuchet MS"/>
        <family val="2"/>
      </rPr>
      <t> is the sample size, or total number of items in the test</t>
    </r>
  </si>
  <si>
    <r>
      <t>PMON</t>
    </r>
    <r>
      <rPr>
        <sz val="12"/>
        <color rgb="FF000000"/>
        <rFont val="Trebuchet MS"/>
        <family val="2"/>
      </rPr>
      <t> is the previous mean order number</t>
    </r>
  </si>
  <si>
    <r>
      <t>NIBPSS</t>
    </r>
    <r>
      <rPr>
        <sz val="12"/>
        <color rgb="FF000000"/>
        <rFont val="Trebuchet MS"/>
        <family val="2"/>
      </rPr>
      <t> is the number of items beyond the present suspended set</t>
    </r>
  </si>
  <si>
    <t xml:space="preserve">To use the MON calculation for fractional failures, the equation should be adjusted to include the partial failure of an item. </t>
  </si>
  <si>
    <t>The adjusted equation can be expressed as:</t>
  </si>
  <si>
    <t>T1</t>
  </si>
  <si>
    <t>T2</t>
  </si>
  <si>
    <t>T3</t>
  </si>
  <si>
    <t>T4</t>
  </si>
  <si>
    <t>Failures</t>
  </si>
  <si>
    <t>Suspensions</t>
  </si>
  <si>
    <t>Time to failures or suspensions</t>
  </si>
  <si>
    <t>Fractional Failure Analysis in Weibull++</t>
  </si>
  <si>
    <t>Reliasoft Hotwire: Sensitivity Analysis Using Simulation Worksheets in BlockSim and DOE++</t>
  </si>
  <si>
    <t>Reliasoft Hotwire: Median Ranks Calculation for Fractional Failures</t>
  </si>
  <si>
    <t>Reliasoft Hotwire: Fractional Failure Analysis in Weibull++</t>
  </si>
  <si>
    <t xml:space="preserve">Create RBD in Blocksim </t>
  </si>
  <si>
    <t>Open project in DOE ++ and create design. Transfer to simulation worksheet</t>
  </si>
  <si>
    <t>Click refresh button and simulation worksheet from DOE++ will be transferred to Blocksim</t>
  </si>
  <si>
    <t>Adjusted Ranking if Suspensions in Data Set</t>
  </si>
  <si>
    <t>Item Number</t>
  </si>
  <si>
    <t>Time (hours)</t>
  </si>
  <si>
    <t>Fail or Suspend</t>
  </si>
  <si>
    <r>
      <t>N</t>
    </r>
    <r>
      <rPr>
        <vertAlign val="subscript"/>
        <sz val="11"/>
        <color theme="1"/>
        <rFont val="GE Inspira Book"/>
        <family val="2"/>
      </rPr>
      <t>i</t>
    </r>
  </si>
  <si>
    <r>
      <t>r</t>
    </r>
    <r>
      <rPr>
        <vertAlign val="subscript"/>
        <sz val="11"/>
        <color theme="1"/>
        <rFont val="GE Inspira Book"/>
        <family val="2"/>
      </rPr>
      <t>ti</t>
    </r>
  </si>
  <si>
    <t>Failure 1</t>
  </si>
  <si>
    <t>Failure 2</t>
  </si>
  <si>
    <t>Failure 3</t>
  </si>
  <si>
    <t>Suspended</t>
  </si>
  <si>
    <r>
      <t>i</t>
    </r>
    <r>
      <rPr>
        <vertAlign val="subscript"/>
        <sz val="11"/>
        <color theme="1"/>
        <rFont val="GE Inspira Book"/>
        <family val="2"/>
      </rPr>
      <t>ti (Mean Order Number)</t>
    </r>
  </si>
  <si>
    <t>NA</t>
  </si>
  <si>
    <t>In a reliability growth test, failures are classified into two types: A (not fixed) and B (fixed). The B type is further divided into two subtypes: BC (fixed during the test) and BD (fixed after the test). In general, based on these failure classifications, there are three different types of reliability growth test:</t>
  </si>
  <si>
    <t>there is no reliability growth during the test (i.e., the analysis assumes that beta = 1). Reliability growth occurs at the end of the test when all the found failure modes are fixed.</t>
  </si>
  <si>
    <t>The following plot shows the MTBF that was demonstrated at the end of the test (blue line), and that is expected to be achieved after implementing all the fixes (red point).and fixed).</t>
  </si>
  <si>
    <t xml:space="preserve"> It also shows the maximum reliability that can be achieved with the current management strategy (i.e., if all B failure modes are discovered </t>
  </si>
  <si>
    <t xml:space="preserve">Life cycle cost analysis </t>
  </si>
  <si>
    <t>A life cycle cost analysis involves the analysis of the costs of a system or a component over its life span</t>
  </si>
  <si>
    <t>Typical costs for a system may include:</t>
  </si>
  <si>
    <t>Acquisition costs (or design &amp; development costs)</t>
  </si>
  <si>
    <t>Operating costs:</t>
  </si>
  <si>
    <t>Cost of failures</t>
  </si>
  <si>
    <t>Cost of repairs</t>
  </si>
  <si>
    <t>Cost for spares</t>
  </si>
  <si>
    <t>Downtime costs</t>
  </si>
  <si>
    <t>Loss of production</t>
  </si>
  <si>
    <t>System Cost Summary</t>
  </si>
  <si>
    <t>Corrective</t>
  </si>
  <si>
    <t>Misc. Corrective Costs:</t>
  </si>
  <si>
    <t>Costs for Parts (CM):</t>
  </si>
  <si>
    <t>Costs for Crews (CM):</t>
  </si>
  <si>
    <t>Total CM Costs:</t>
  </si>
  <si>
    <t>Preventive</t>
  </si>
  <si>
    <t>Misc. Preventive Costs:</t>
  </si>
  <si>
    <t>Costs for Parts (PM):</t>
  </si>
  <si>
    <t>Costs for Crews (PM):</t>
  </si>
  <si>
    <t>Total PM Costs:</t>
  </si>
  <si>
    <t>On Condition</t>
  </si>
  <si>
    <t>Misc. On Condition Costs:</t>
  </si>
  <si>
    <t>Costs for Parts (OC):</t>
  </si>
  <si>
    <t>Costs for Crews (OC):</t>
  </si>
  <si>
    <t>Total OC Costs:</t>
  </si>
  <si>
    <t>Inspection</t>
  </si>
  <si>
    <t>Misc. Inspection Costs:</t>
  </si>
  <si>
    <t>Costs for Crews (IN):</t>
  </si>
  <si>
    <t>Total Inspection Costs:</t>
  </si>
  <si>
    <t>Block Consequential Costs</t>
  </si>
  <si>
    <t>Total Block Consequential Costs:</t>
  </si>
  <si>
    <t>Indirect Pool Costs</t>
  </si>
  <si>
    <t>Total Pool Holding Costs:</t>
  </si>
  <si>
    <t>Additional System Level Costs</t>
  </si>
  <si>
    <t>System Level Failure Cost (CM):</t>
  </si>
  <si>
    <t>System Level Downtime Costs (CM):</t>
  </si>
  <si>
    <t>System Level Total Costs (CM):</t>
  </si>
  <si>
    <t>System Level Failure Cost (Total):</t>
  </si>
  <si>
    <t>System Level Downtime Cost (Total):</t>
  </si>
  <si>
    <t>System Level Total Costs (Total):</t>
  </si>
  <si>
    <t>Total Costs</t>
  </si>
  <si>
    <t>Total Costs:</t>
  </si>
  <si>
    <t>Opportunity Costs</t>
  </si>
  <si>
    <t>Opportunity Cost (CM):</t>
  </si>
  <si>
    <t>N/A</t>
  </si>
  <si>
    <t>Opportunity Cost(Total):</t>
  </si>
  <si>
    <t>System Revenue Summary</t>
  </si>
  <si>
    <t>Uptime Revenue:</t>
  </si>
  <si>
    <t>Throughput Revenue:</t>
  </si>
  <si>
    <t>Total Revenue:</t>
  </si>
  <si>
    <t>Related Topics and Links:</t>
  </si>
  <si>
    <t>Monte Carlo and SimuMatic</t>
  </si>
  <si>
    <t>In general, you can produce a data set in just a few steps:</t>
  </si>
  <si>
    <t>1. Use the Main tab of the setup window to specify the distribution/model and its parameter values.</t>
  </si>
  <si>
    <t>2. Use the Censoring tab of the setup window to specify the censoring type.</t>
  </si>
  <si>
    <t>3. Use the Settings tab of the setup window to specify the number of data points to generate.</t>
  </si>
  <si>
    <t>4. In ALTA, additional steps are required:</t>
  </si>
  <si>
    <t>To learn more, the following sections provide complete descriptions of all available options in the utility.  </t>
  </si>
  <si>
    <t>Main Tab</t>
  </si>
  <si>
    <t>The Main tab of the setup window allows you to select a distribution/model, enter its required parameter values and select the time or usage units (e.g., hours) for the failures/suspensions in the data set.</t>
  </si>
  <si>
    <t>If the estimated values of the distribution parameters are not available, you can use the Quick Parameter Estimator button to solve for them.</t>
  </si>
  <si>
    <t>If you select the mixed Weibull distribution, you will need to specify parameters for each subpopulation. The Portion field is for the percentage entered as a decimal of the total data set represented by the selected subpopulation. Thus, the sum of the portion values for all subpopulations must be equal to 1.</t>
  </si>
  <si>
    <t>If you select the User-Defined distribution, you can manually enter an equation that relates different random variables. (See User-Defined Equations.)</t>
  </si>
  <si>
    <t>If you select the cumulative damage (CD) model, you must assign time-dependent stress profiles  to the stress columns in the data sheet.</t>
  </si>
  <si>
    <t>. To edit an existing profile, choose it from the drop-down list and then click the icon.</t>
  </si>
  <si>
    <t>Censoring Tab</t>
  </si>
  <si>
    <t>Right censoring after specific number of failures: You specify the number of failures, n, that the generated data set will contain. After the data are generated, they are sorted. The first n data points will be marked as failures while the remaining data points will be marked as suspensions at a time equal to the time of the nth failure. When used with SimuMatic, this option allows you to simulate a failure-terminated test (i.e., a test that ends after a specified number of failures occur).</t>
  </si>
  <si>
    <t>Right censoring after a specific time: You specify a duration in the Time field. All simulated values that do not exceed this time will be marked as failure times. Values that exceed this time will be considered suspensions at the specified time (i.e., units that had not failed by the end of the test). When used with SimuMatic, this option allows you to simulate a time-terminated test (i.e., a test that ends after a specified time).</t>
  </si>
  <si>
    <t>For example, the settings in following picture shows that the software will generate a set of data points, where 20% of the data are right censored, 20% are interval censored, 20% are left censored and the remaining 40% are complete data (i.e., exact failure times).</t>
  </si>
  <si>
    <t>Note: With random censoring, the software will censor your data using a uniform distribution. If this option is used to generate multiple data sets in SimuMatic, the percentages you enter will apply to the total number of generated data points, not the number of data points within each data set. Thus, if you select to have 50% of your generated data consist of suspensions (right censored data), half of all your data points will be suspensions, though some data sets may still contain more suspensions than others.</t>
  </si>
  <si>
    <t>Settings Tab</t>
  </si>
  <si>
    <t>The Settings tab of the setup window allows you to specify how you want to generate the data set and where you want the data to be stored:</t>
  </si>
  <si>
    <t>Test Results</t>
  </si>
  <si>
    <t>Unit</t>
  </si>
  <si>
    <t>Low</t>
  </si>
  <si>
    <t>Median</t>
  </si>
  <si>
    <t>High</t>
  </si>
  <si>
    <t>User Input</t>
  </si>
  <si>
    <t>Distribution</t>
  </si>
  <si>
    <t>2P-Weibull</t>
  </si>
  <si>
    <t/>
  </si>
  <si>
    <t>Sample Size</t>
  </si>
  <si>
    <t>Confidence Level</t>
  </si>
  <si>
    <t>Acceleration Factor</t>
  </si>
  <si>
    <t>Beta=1.8, Eta=500</t>
  </si>
  <si>
    <t>β</t>
  </si>
  <si>
    <t>η</t>
  </si>
  <si>
    <t>Common complaint about FMEAs</t>
  </si>
  <si>
    <t>FMEAs have many well-known benefits, when done properly. One of the challenges for FMEA teams is to conduct their assigned FMEAs within the time available during the product development process. FMEA is a team-based activity, and subject matter experts have many tasks competing for their limited time.</t>
  </si>
  <si>
    <t>One of the most common complaints about FMEAs is that they can take a long time to do. Most companies realize the importance of FMEAs and are committed to implementing FMEAs. However, time considerations are often paramount.</t>
  </si>
  <si>
    <t>It is essential for successful FMEA implementation to ensure the in-meeting time that involves the subject matter experts is utilized in the most efficient and effective manner, with no time wasted. Techniques to reduce in-meeting time, while improving quality of results, should be pursued. </t>
  </si>
  <si>
    <t>What are some strategies to reduce FMEA in-meeting time?</t>
  </si>
  <si>
    <t>Over the years, many excellent strategies have been used to keep FMEA in-meeting time as short as possible, without reducing the quality of results. In fact, many of these strategies, if properly applied, will improve the FMEA outcomes. The following is a partial list of such strategies.</t>
  </si>
  <si>
    <t>1. Make sure the FMEA team fully understands the definitions and concepts of FMEAs</t>
  </si>
  <si>
    <t>There is no substitute for learning and applying the fundamental concepts and definitions of FMEA. Even the most experienced FMEA practitioners should continue to improve their understanding of the basics. FMEA teams that that are led by someone who has a rock-solid grasp of fundamentals will avoid lengthy discussions on trivial topics and wrong procedures. </t>
  </si>
  <si>
    <t>2. Improve FMEA facilitation skills</t>
  </si>
  <si>
    <t>FMEA facilitation is a different subject than FMEA methodology. Poorly led FMEA teams will not achieve excellent results. To be successful, FMEA leaders need to develop expert facilitation skills. FMEA teams that are led by a skilled facilitator will keep meeting discussions on topic and drive through the FMEA process without wasting time.</t>
  </si>
  <si>
    <t>3. Use relational database software</t>
  </si>
  <si>
    <t>Good relational database software, such as Xfmea, can reduce overall FMEA time, both in-meeting and out-of-meeting. It can accomplish this by providing instant retrieval of past FMEAs, easy access to a library of failure modes and other FMEA information, transfer of FMEA data to and from other applications, and simple entry screens that aid in real-time data entry during FMEA meetings.</t>
  </si>
  <si>
    <t>4. Consider use of "Generic" FMEAs</t>
  </si>
  <si>
    <t>Generic FMEAs contain up to 80% or more of anticipated and known failure modes, effects, causes and controls. This can save considerable time when a new or modified design or process is based on current design or process. Change point analysis identifies the nature of the changes and the FMEA team conducts the FMEA procedure on the changes to the generic FMEA.</t>
  </si>
  <si>
    <t>5. Limit in-meeting discussion to areas of concern</t>
  </si>
  <si>
    <t>It’s a good practice to limit failure modes to those of concern to at least one member of a properly constituted FMEA team. If one person has a concern, the issue is taken up by the team. But if no team member has a concern, the issue is not entered into the FMEA. This avoids in-meeting time on low-risk issues.</t>
  </si>
  <si>
    <t>6. Do a thorough job of pre-meeting preparation</t>
  </si>
  <si>
    <t>Preparation tasks include defining the scope of the FMEA project, making the scope visible (FMEA Block Diagram, P-Diagram, etc.), establishing the correct cross-functional team, identifying relevant assumptions and gathering all needed information. If any of these preparation tasks are missing, valuable in-meeting time will be wasted. </t>
  </si>
  <si>
    <t>7. Control in-meeting discussion</t>
  </si>
  <si>
    <t>This is really a subset of the facilitation skills. One of the most common problems that team leaders have is keeping the discussion on topic and focused on risk, and limiting off-topic conversations. FMEA team leaders need to intervene when there are side discussions, or when the discussion is not beneficial to the objective.</t>
  </si>
  <si>
    <t>8. Use sticky notes when brainstorming for new ideas</t>
  </si>
  <si>
    <t>One way to harness the creative energy of the FMEA team is to use "sticky notes" at the beginning of the FMEA analysis in order to save valuable time spent in meetings. For each item’s function, ask the FMEA team to write sticky notes for the primary concerns they have, not emphasizing if the concern is worded as a failure mode, effect or cause. The writing of the notes is done concurrently and placed on a wall, easily visible to the FMEA team and organized into similar groupings.</t>
  </si>
  <si>
    <t>9. Use pre-population, in selected circumstances</t>
  </si>
  <si>
    <t>The FMEA Corner article in Issue 177 of Hotwire is titled "Discussing the Controversial Issue of FMEA Pre-population." As covered in this article:</t>
  </si>
  <si>
    <t>Care must be exercised when considering pre-populating any portion of the FMEA. There are potential benefits and potential downsides to pre-population, and the team should be fully aware of the benefits and downsides.</t>
  </si>
  <si>
    <t>Selective use of pre-population can speed up the in-meeting time. The referenced article discusses which portions of the FMEA can be pre-populated, and how to avoid the shortcomings.</t>
  </si>
  <si>
    <t>Summarizing, the best FMEA facilitators use strategies like the above to reduce in-meeting time. The long-term success or failure of FMEAs in a company can depend in part on the perceived value the FMEA compared to the investment of the in-meeting time of the participants</t>
  </si>
  <si>
    <t>Fielded Component Failure Time Data Set</t>
  </si>
  <si>
    <t>Component Failure Times (hours)</t>
  </si>
  <si>
    <r>
      <t xml:space="preserve">Home &gt; Simulation  &gt; </t>
    </r>
    <r>
      <rPr>
        <sz val="8"/>
        <color rgb="FF000000"/>
        <rFont val="GE Inspira Sans"/>
        <family val="2"/>
      </rPr>
      <t>Mont</t>
    </r>
    <r>
      <rPr>
        <sz val="8"/>
        <color rgb="FF5E7CA8"/>
        <rFont val="GE Inspira Sans"/>
        <family val="2"/>
      </rPr>
      <t xml:space="preserve">e </t>
    </r>
    <r>
      <rPr>
        <sz val="8"/>
        <color rgb="FF000000"/>
        <rFont val="GE Inspira Sans"/>
        <family val="2"/>
      </rPr>
      <t>Carlo</t>
    </r>
    <r>
      <rPr>
        <sz val="8"/>
        <color rgb="FF5E7CA8"/>
        <rFont val="GE Inspira Sans"/>
        <family val="2"/>
      </rPr>
      <t xml:space="preserve"> and SimuMatic  &gt; </t>
    </r>
    <r>
      <rPr>
        <sz val="8"/>
        <color rgb="FF000000"/>
        <rFont val="GE Inspira Sans"/>
        <family val="2"/>
      </rPr>
      <t>Mont</t>
    </r>
    <r>
      <rPr>
        <sz val="8"/>
        <color rgb="FF5E7CA8"/>
        <rFont val="GE Inspira Sans"/>
        <family val="2"/>
      </rPr>
      <t xml:space="preserve">e </t>
    </r>
    <r>
      <rPr>
        <sz val="8"/>
        <color rgb="FF000000"/>
        <rFont val="GE Inspira Sans"/>
        <family val="2"/>
      </rPr>
      <t>Carlo</t>
    </r>
    <r>
      <rPr>
        <sz val="8"/>
        <color rgb="FF5E7CA8"/>
        <rFont val="GE Inspira Sans"/>
        <family val="2"/>
      </rPr>
      <t xml:space="preserve"> Utility</t>
    </r>
  </si>
  <si>
    <r>
      <t>Mont</t>
    </r>
    <r>
      <rPr>
        <b/>
        <sz val="18"/>
        <color rgb="FF25397D"/>
        <rFont val="GE Inspira Sans"/>
        <family val="2"/>
      </rPr>
      <t xml:space="preserve">e </t>
    </r>
    <r>
      <rPr>
        <b/>
        <sz val="18"/>
        <color rgb="FF000000"/>
        <rFont val="GE Inspira Sans"/>
        <family val="2"/>
      </rPr>
      <t>Carlo</t>
    </r>
    <r>
      <rPr>
        <b/>
        <sz val="18"/>
        <color rgb="FF25397D"/>
        <rFont val="GE Inspira Sans"/>
        <family val="2"/>
      </rPr>
      <t xml:space="preserve"> Utility</t>
    </r>
  </si>
  <si>
    <r>
      <t xml:space="preserve">The </t>
    </r>
    <r>
      <rPr>
        <sz val="12"/>
        <color rgb="FF000000"/>
        <rFont val="GE Inspira Sans"/>
        <family val="2"/>
      </rPr>
      <t>Mont</t>
    </r>
    <r>
      <rPr>
        <sz val="12"/>
        <color theme="1"/>
        <rFont val="GE Inspira Sans"/>
        <family val="2"/>
      </rPr>
      <t xml:space="preserve">e </t>
    </r>
    <r>
      <rPr>
        <sz val="12"/>
        <color rgb="FF000000"/>
        <rFont val="GE Inspira Sans"/>
        <family val="2"/>
      </rPr>
      <t>Carlo</t>
    </r>
    <r>
      <rPr>
        <sz val="12"/>
        <color theme="1"/>
        <rFont val="GE Inspira Sans"/>
        <family val="2"/>
      </rPr>
      <t xml:space="preserve"> utility uses </t>
    </r>
    <r>
      <rPr>
        <sz val="12"/>
        <color rgb="FF000000"/>
        <rFont val="GE Inspira Sans"/>
        <family val="2"/>
      </rPr>
      <t>Mont</t>
    </r>
    <r>
      <rPr>
        <sz val="12"/>
        <color theme="1"/>
        <rFont val="GE Inspira Sans"/>
        <family val="2"/>
      </rPr>
      <t xml:space="preserve">e </t>
    </r>
    <r>
      <rPr>
        <sz val="12"/>
        <color rgb="FF000000"/>
        <rFont val="GE Inspira Sans"/>
        <family val="2"/>
      </rPr>
      <t>Carlo</t>
    </r>
    <r>
      <rPr>
        <sz val="12"/>
        <color theme="1"/>
        <rFont val="GE Inspira Sans"/>
        <family val="2"/>
      </rPr>
      <t xml:space="preserve"> simulation to generate a single data set containing values that are distributed according to a specified model. The software uses the </t>
    </r>
    <r>
      <rPr>
        <i/>
        <sz val="12"/>
        <color theme="1"/>
        <rFont val="GE Inspira Sans"/>
        <family val="2"/>
      </rPr>
      <t>cdf</t>
    </r>
    <r>
      <rPr>
        <sz val="12"/>
        <color theme="1"/>
        <rFont val="GE Inspira Sans"/>
        <family val="2"/>
      </rPr>
      <t xml:space="preserve"> (cumulative distribution function) of the relevant distribution to solve for time given an unreliability value chosen from a uniform random distribution. The process is repeated with new random unreliability values until the desired number of data points is obtained. The data set is then automatically placed in a life data folio (Weibull++) or life-</t>
    </r>
    <r>
      <rPr>
        <sz val="12"/>
        <color rgb="FF000000"/>
        <rFont val="GE Inspira Sans"/>
        <family val="2"/>
      </rPr>
      <t>stres</t>
    </r>
    <r>
      <rPr>
        <sz val="12"/>
        <color theme="1"/>
        <rFont val="GE Inspira Sans"/>
        <family val="2"/>
      </rPr>
      <t>s data folio (ALTA), where it can be analyzed like any other data set.</t>
    </r>
  </si>
  <si>
    <r>
      <t xml:space="preserve">To access the </t>
    </r>
    <r>
      <rPr>
        <sz val="12"/>
        <color rgb="FF000000"/>
        <rFont val="GE Inspira Sans"/>
        <family val="2"/>
      </rPr>
      <t>Mont</t>
    </r>
    <r>
      <rPr>
        <sz val="12"/>
        <color theme="1"/>
        <rFont val="GE Inspira Sans"/>
        <family val="2"/>
      </rPr>
      <t xml:space="preserve">e </t>
    </r>
    <r>
      <rPr>
        <sz val="12"/>
        <color rgb="FF000000"/>
        <rFont val="GE Inspira Sans"/>
        <family val="2"/>
      </rPr>
      <t>Carlo</t>
    </r>
    <r>
      <rPr>
        <sz val="12"/>
        <color theme="1"/>
        <rFont val="GE Inspira Sans"/>
        <family val="2"/>
      </rPr>
      <t xml:space="preserve"> utility, choose </t>
    </r>
    <r>
      <rPr>
        <b/>
        <sz val="12"/>
        <color theme="1"/>
        <rFont val="GE Inspira Sans"/>
        <family val="2"/>
      </rPr>
      <t xml:space="preserve">Insert &gt; Simulation &gt; </t>
    </r>
    <r>
      <rPr>
        <b/>
        <sz val="12"/>
        <color rgb="FF000000"/>
        <rFont val="GE Inspira Sans"/>
        <family val="2"/>
      </rPr>
      <t>Mont</t>
    </r>
    <r>
      <rPr>
        <b/>
        <sz val="12"/>
        <color theme="1"/>
        <rFont val="GE Inspira Sans"/>
        <family val="2"/>
      </rPr>
      <t xml:space="preserve">e </t>
    </r>
    <r>
      <rPr>
        <b/>
        <sz val="12"/>
        <color rgb="FF000000"/>
        <rFont val="GE Inspira Sans"/>
        <family val="2"/>
      </rPr>
      <t>Carlo</t>
    </r>
    <r>
      <rPr>
        <sz val="12"/>
        <color theme="1"/>
        <rFont val="GE Inspira Sans"/>
        <family val="2"/>
      </rPr>
      <t xml:space="preserve">. If you have both Weibull++ and ALTA activated on your computer, you will be offered a choice between the </t>
    </r>
    <r>
      <rPr>
        <b/>
        <sz val="12"/>
        <color rgb="FF000000"/>
        <rFont val="GE Inspira Sans"/>
        <family val="2"/>
      </rPr>
      <t>Mont</t>
    </r>
    <r>
      <rPr>
        <b/>
        <sz val="12"/>
        <color theme="1"/>
        <rFont val="GE Inspira Sans"/>
        <family val="2"/>
      </rPr>
      <t xml:space="preserve">e </t>
    </r>
    <r>
      <rPr>
        <b/>
        <sz val="12"/>
        <color rgb="FF000000"/>
        <rFont val="GE Inspira Sans"/>
        <family val="2"/>
      </rPr>
      <t>Carlo</t>
    </r>
    <r>
      <rPr>
        <sz val="12"/>
        <color theme="1"/>
        <rFont val="GE Inspira Sans"/>
        <family val="2"/>
      </rPr>
      <t xml:space="preserve">  or </t>
    </r>
    <r>
      <rPr>
        <b/>
        <sz val="12"/>
        <color rgb="FF000000"/>
        <rFont val="GE Inspira Sans"/>
        <family val="2"/>
      </rPr>
      <t>Stres</t>
    </r>
    <r>
      <rPr>
        <b/>
        <sz val="12"/>
        <color theme="1"/>
        <rFont val="GE Inspira Sans"/>
        <family val="2"/>
      </rPr>
      <t>s-</t>
    </r>
    <r>
      <rPr>
        <b/>
        <sz val="12"/>
        <color rgb="FF000000"/>
        <rFont val="GE Inspira Sans"/>
        <family val="2"/>
      </rPr>
      <t>Dependent</t>
    </r>
    <r>
      <rPr>
        <b/>
        <sz val="12"/>
        <color theme="1"/>
        <rFont val="GE Inspira Sans"/>
        <family val="2"/>
      </rPr>
      <t xml:space="preserve"> </t>
    </r>
    <r>
      <rPr>
        <b/>
        <sz val="12"/>
        <color rgb="FF000000"/>
        <rFont val="GE Inspira Sans"/>
        <family val="2"/>
      </rPr>
      <t>Mont</t>
    </r>
    <r>
      <rPr>
        <b/>
        <sz val="12"/>
        <color theme="1"/>
        <rFont val="GE Inspira Sans"/>
        <family val="2"/>
      </rPr>
      <t xml:space="preserve">e </t>
    </r>
    <r>
      <rPr>
        <b/>
        <sz val="12"/>
        <color rgb="FF000000"/>
        <rFont val="GE Inspira Sans"/>
        <family val="2"/>
      </rPr>
      <t>Carlo</t>
    </r>
    <r>
      <rPr>
        <sz val="12"/>
        <color theme="1"/>
        <rFont val="GE Inspira Sans"/>
        <family val="2"/>
      </rPr>
      <t xml:space="preserve"> utility.</t>
    </r>
  </si>
  <si>
    <r>
      <t xml:space="preserve">Use the </t>
    </r>
    <r>
      <rPr>
        <sz val="12"/>
        <color rgb="FF000000"/>
        <rFont val="GE Inspira Sans"/>
        <family val="2"/>
      </rPr>
      <t>Stres</t>
    </r>
    <r>
      <rPr>
        <sz val="12"/>
        <color theme="1"/>
        <rFont val="GE Inspira Sans"/>
        <family val="2"/>
      </rPr>
      <t xml:space="preserve">s tab of the setup window to specify an appropriate use level and transformation (if applicable) for each </t>
    </r>
    <r>
      <rPr>
        <sz val="12"/>
        <color rgb="FF000000"/>
        <rFont val="GE Inspira Sans"/>
        <family val="2"/>
      </rPr>
      <t>stres</t>
    </r>
    <r>
      <rPr>
        <sz val="12"/>
        <color theme="1"/>
        <rFont val="GE Inspira Sans"/>
        <family val="2"/>
      </rPr>
      <t>s.</t>
    </r>
  </si>
  <si>
    <r>
      <t xml:space="preserve">Use the data sheet on the right side of the setup window to specify the </t>
    </r>
    <r>
      <rPr>
        <sz val="12"/>
        <color rgb="FF000000"/>
        <rFont val="GE Inspira Sans"/>
        <family val="2"/>
      </rPr>
      <t>stres</t>
    </r>
    <r>
      <rPr>
        <sz val="12"/>
        <color theme="1"/>
        <rFont val="GE Inspira Sans"/>
        <family val="2"/>
      </rPr>
      <t xml:space="preserve">s levels and the number of data points to generate for each </t>
    </r>
    <r>
      <rPr>
        <sz val="12"/>
        <color rgb="FF000000"/>
        <rFont val="GE Inspira Sans"/>
        <family val="2"/>
      </rPr>
      <t>stres</t>
    </r>
    <r>
      <rPr>
        <sz val="12"/>
        <color theme="1"/>
        <rFont val="GE Inspira Sans"/>
        <family val="2"/>
      </rPr>
      <t>s level.</t>
    </r>
  </si>
  <si>
    <r>
      <t xml:space="preserve">For Weibull++'s </t>
    </r>
    <r>
      <rPr>
        <b/>
        <sz val="12"/>
        <color rgb="FF000000"/>
        <rFont val="GE Inspira Sans"/>
        <family val="2"/>
      </rPr>
      <t>Mont</t>
    </r>
    <r>
      <rPr>
        <b/>
        <sz val="12"/>
        <color theme="1"/>
        <rFont val="GE Inspira Sans"/>
        <family val="2"/>
      </rPr>
      <t xml:space="preserve">e </t>
    </r>
    <r>
      <rPr>
        <b/>
        <sz val="12"/>
        <color rgb="FF000000"/>
        <rFont val="GE Inspira Sans"/>
        <family val="2"/>
      </rPr>
      <t>Carlo</t>
    </r>
    <r>
      <rPr>
        <b/>
        <sz val="12"/>
        <color theme="1"/>
        <rFont val="GE Inspira Sans"/>
        <family val="2"/>
      </rPr>
      <t xml:space="preserve"> utility:</t>
    </r>
  </si>
  <si>
    <r>
      <t xml:space="preserve">If you select the normal, logistic or generalized gamma distributions, the </t>
    </r>
    <r>
      <rPr>
        <b/>
        <sz val="12"/>
        <color theme="1"/>
        <rFont val="GE Inspira Sans"/>
        <family val="2"/>
      </rPr>
      <t>Allow Negative Values</t>
    </r>
    <r>
      <rPr>
        <sz val="12"/>
        <color theme="1"/>
        <rFont val="GE Inspira Sans"/>
        <family val="2"/>
      </rPr>
      <t xml:space="preserve"> check box will be available. When generating data to simulate a test, negative failure times can be used to simulate failures that occur before a unit's testing period begins, such as failures due to manufacturing defects or damage that is incurred during shipping.</t>
    </r>
  </si>
  <si>
    <r>
      <t xml:space="preserve">In the </t>
    </r>
    <r>
      <rPr>
        <b/>
        <sz val="12"/>
        <color theme="1"/>
        <rFont val="GE Inspira Sans"/>
        <family val="2"/>
      </rPr>
      <t>Equation</t>
    </r>
    <r>
      <rPr>
        <sz val="12"/>
        <color theme="1"/>
        <rFont val="GE Inspira Sans"/>
        <family val="2"/>
      </rPr>
      <t xml:space="preserve"> area, use </t>
    </r>
    <r>
      <rPr>
        <i/>
        <sz val="12"/>
        <color theme="1"/>
        <rFont val="GE Inspira Sans"/>
        <family val="2"/>
      </rPr>
      <t>R</t>
    </r>
    <r>
      <rPr>
        <sz val="12"/>
        <color theme="1"/>
        <rFont val="GE Inspira Sans"/>
        <family val="2"/>
      </rPr>
      <t xml:space="preserve"> to insert a uniform random variable.</t>
    </r>
  </si>
  <si>
    <r>
      <t xml:space="preserve">Click the </t>
    </r>
    <r>
      <rPr>
        <b/>
        <sz val="12"/>
        <color theme="1"/>
        <rFont val="GE Inspira Sans"/>
        <family val="2"/>
      </rPr>
      <t>Insert Data Source</t>
    </r>
    <r>
      <rPr>
        <sz val="12"/>
        <color theme="1"/>
        <rFont val="GE Inspira Sans"/>
        <family val="2"/>
      </rPr>
      <t xml:space="preserve"> button if you wish to generate simulated values based on distributions calculated from a folio in the project.</t>
    </r>
  </si>
  <si>
    <r>
      <t xml:space="preserve">For ALTA's </t>
    </r>
    <r>
      <rPr>
        <b/>
        <sz val="12"/>
        <color rgb="FF000000"/>
        <rFont val="GE Inspira Sans"/>
        <family val="2"/>
      </rPr>
      <t>Stres</t>
    </r>
    <r>
      <rPr>
        <b/>
        <sz val="12"/>
        <color theme="1"/>
        <rFont val="GE Inspira Sans"/>
        <family val="2"/>
      </rPr>
      <t>s-</t>
    </r>
    <r>
      <rPr>
        <b/>
        <sz val="12"/>
        <color rgb="FF000000"/>
        <rFont val="GE Inspira Sans"/>
        <family val="2"/>
      </rPr>
      <t>Dependent</t>
    </r>
    <r>
      <rPr>
        <b/>
        <sz val="12"/>
        <color theme="1"/>
        <rFont val="GE Inspira Sans"/>
        <family val="2"/>
      </rPr>
      <t xml:space="preserve"> </t>
    </r>
    <r>
      <rPr>
        <b/>
        <sz val="12"/>
        <color rgb="FF000000"/>
        <rFont val="GE Inspira Sans"/>
        <family val="2"/>
      </rPr>
      <t>Mont</t>
    </r>
    <r>
      <rPr>
        <b/>
        <sz val="12"/>
        <color theme="1"/>
        <rFont val="GE Inspira Sans"/>
        <family val="2"/>
      </rPr>
      <t xml:space="preserve">e </t>
    </r>
    <r>
      <rPr>
        <b/>
        <sz val="12"/>
        <color rgb="FF000000"/>
        <rFont val="GE Inspira Sans"/>
        <family val="2"/>
      </rPr>
      <t>Carlo</t>
    </r>
    <r>
      <rPr>
        <b/>
        <sz val="12"/>
        <color theme="1"/>
        <rFont val="GE Inspira Sans"/>
        <family val="2"/>
      </rPr>
      <t xml:space="preserve"> utility:</t>
    </r>
  </si>
  <si>
    <r>
      <t xml:space="preserve">If you select the proportional hazards (PPH), general log-linear (GLL) or cumulative damage (CD) model, the </t>
    </r>
    <r>
      <rPr>
        <b/>
        <sz val="12"/>
        <color theme="1"/>
        <rFont val="GE Inspira Sans"/>
        <family val="2"/>
      </rPr>
      <t xml:space="preserve">Number of </t>
    </r>
    <r>
      <rPr>
        <b/>
        <sz val="12"/>
        <color rgb="FF000000"/>
        <rFont val="GE Inspira Sans"/>
        <family val="2"/>
      </rPr>
      <t>Stres</t>
    </r>
    <r>
      <rPr>
        <b/>
        <sz val="12"/>
        <color theme="1"/>
        <rFont val="GE Inspira Sans"/>
        <family val="2"/>
      </rPr>
      <t>s Columns</t>
    </r>
    <r>
      <rPr>
        <sz val="12"/>
        <color theme="1"/>
        <rFont val="GE Inspira Sans"/>
        <family val="2"/>
      </rPr>
      <t xml:space="preserve">  area will be enabled. It allows you to add </t>
    </r>
    <r>
      <rPr>
        <sz val="12"/>
        <color rgb="FF000000"/>
        <rFont val="GE Inspira Sans"/>
        <family val="2"/>
      </rPr>
      <t>stres</t>
    </r>
    <r>
      <rPr>
        <sz val="12"/>
        <color theme="1"/>
        <rFont val="GE Inspira Sans"/>
        <family val="2"/>
      </rPr>
      <t xml:space="preserve">s columns to the data sheet on the right side of the window. In the data sheet, specify the value of each </t>
    </r>
    <r>
      <rPr>
        <sz val="12"/>
        <color rgb="FF000000"/>
        <rFont val="GE Inspira Sans"/>
        <family val="2"/>
      </rPr>
      <t>stres</t>
    </r>
    <r>
      <rPr>
        <sz val="12"/>
        <color theme="1"/>
        <rFont val="GE Inspira Sans"/>
        <family val="2"/>
      </rPr>
      <t xml:space="preserve">s level and how many data points you want generated for each </t>
    </r>
    <r>
      <rPr>
        <sz val="12"/>
        <color rgb="FF000000"/>
        <rFont val="GE Inspira Sans"/>
        <family val="2"/>
      </rPr>
      <t>stres</t>
    </r>
    <r>
      <rPr>
        <sz val="12"/>
        <color theme="1"/>
        <rFont val="GE Inspira Sans"/>
        <family val="2"/>
      </rPr>
      <t>s level.</t>
    </r>
  </si>
  <si>
    <r>
      <t xml:space="preserve">To create a new profile, choose </t>
    </r>
    <r>
      <rPr>
        <b/>
        <sz val="12"/>
        <color theme="1"/>
        <rFont val="GE Inspira Sans"/>
        <family val="2"/>
      </rPr>
      <t>&lt;Add New&gt;</t>
    </r>
    <r>
      <rPr>
        <sz val="12"/>
        <color theme="1"/>
        <rFont val="GE Inspira Sans"/>
        <family val="2"/>
      </rPr>
      <t xml:space="preserve"> from the </t>
    </r>
    <r>
      <rPr>
        <b/>
        <sz val="12"/>
        <color theme="1"/>
        <rFont val="GE Inspira Sans"/>
        <family val="2"/>
      </rPr>
      <t xml:space="preserve">Edit </t>
    </r>
    <r>
      <rPr>
        <b/>
        <sz val="12"/>
        <color rgb="FF000000"/>
        <rFont val="GE Inspira Sans"/>
        <family val="2"/>
      </rPr>
      <t>Stres</t>
    </r>
    <r>
      <rPr>
        <b/>
        <sz val="12"/>
        <color theme="1"/>
        <rFont val="GE Inspira Sans"/>
        <family val="2"/>
      </rPr>
      <t>s Profiles</t>
    </r>
    <r>
      <rPr>
        <sz val="12"/>
        <color theme="1"/>
        <rFont val="GE Inspira Sans"/>
        <family val="2"/>
      </rPr>
      <t xml:space="preserve"> drop-down list and then click the </t>
    </r>
    <r>
      <rPr>
        <b/>
        <sz val="12"/>
        <color theme="1"/>
        <rFont val="GE Inspira Sans"/>
        <family val="2"/>
      </rPr>
      <t>Create/View Profile</t>
    </r>
    <r>
      <rPr>
        <sz val="12"/>
        <color theme="1"/>
        <rFont val="GE Inspira Sans"/>
        <family val="2"/>
      </rPr>
      <t xml:space="preserve"> icon</t>
    </r>
  </si>
  <si>
    <r>
      <t>Stres</t>
    </r>
    <r>
      <rPr>
        <b/>
        <sz val="14"/>
        <color rgb="FF3D63A0"/>
        <rFont val="GE Inspira Sans"/>
        <family val="2"/>
      </rPr>
      <t>s Tab (ALTA Only)</t>
    </r>
  </si>
  <si>
    <r>
      <t xml:space="preserve">The </t>
    </r>
    <r>
      <rPr>
        <sz val="12"/>
        <color rgb="FF000000"/>
        <rFont val="GE Inspira Sans"/>
        <family val="2"/>
      </rPr>
      <t>Stres</t>
    </r>
    <r>
      <rPr>
        <sz val="12"/>
        <color theme="1"/>
        <rFont val="GE Inspira Sans"/>
        <family val="2"/>
      </rPr>
      <t xml:space="preserve">s tab of the setup window applies to the </t>
    </r>
    <r>
      <rPr>
        <sz val="12"/>
        <color rgb="FF000000"/>
        <rFont val="GE Inspira Sans"/>
        <family val="2"/>
      </rPr>
      <t>Stres</t>
    </r>
    <r>
      <rPr>
        <sz val="12"/>
        <color theme="1"/>
        <rFont val="GE Inspira Sans"/>
        <family val="2"/>
      </rPr>
      <t>s-</t>
    </r>
    <r>
      <rPr>
        <sz val="12"/>
        <color rgb="FF000000"/>
        <rFont val="GE Inspira Sans"/>
        <family val="2"/>
      </rPr>
      <t>Dependent</t>
    </r>
    <r>
      <rPr>
        <sz val="12"/>
        <color theme="1"/>
        <rFont val="GE Inspira Sans"/>
        <family val="2"/>
      </rPr>
      <t xml:space="preserve"> </t>
    </r>
    <r>
      <rPr>
        <sz val="12"/>
        <color rgb="FF000000"/>
        <rFont val="GE Inspira Sans"/>
        <family val="2"/>
      </rPr>
      <t>Mont</t>
    </r>
    <r>
      <rPr>
        <sz val="12"/>
        <color theme="1"/>
        <rFont val="GE Inspira Sans"/>
        <family val="2"/>
      </rPr>
      <t xml:space="preserve">e </t>
    </r>
    <r>
      <rPr>
        <sz val="12"/>
        <color rgb="FF000000"/>
        <rFont val="GE Inspira Sans"/>
        <family val="2"/>
      </rPr>
      <t>Carlo</t>
    </r>
    <r>
      <rPr>
        <sz val="12"/>
        <color theme="1"/>
        <rFont val="GE Inspira Sans"/>
        <family val="2"/>
      </rPr>
      <t xml:space="preserve"> utility only. It allows you to specify a use level for each </t>
    </r>
    <r>
      <rPr>
        <sz val="12"/>
        <color rgb="FF000000"/>
        <rFont val="GE Inspira Sans"/>
        <family val="2"/>
      </rPr>
      <t>stres</t>
    </r>
    <r>
      <rPr>
        <sz val="12"/>
        <color theme="1"/>
        <rFont val="GE Inspira Sans"/>
        <family val="2"/>
      </rPr>
      <t xml:space="preserve">s type. There will be a separate input box for each </t>
    </r>
    <r>
      <rPr>
        <sz val="12"/>
        <color rgb="FF000000"/>
        <rFont val="GE Inspira Sans"/>
        <family val="2"/>
      </rPr>
      <t>stres</t>
    </r>
    <r>
      <rPr>
        <sz val="12"/>
        <color theme="1"/>
        <rFont val="GE Inspira Sans"/>
        <family val="2"/>
      </rPr>
      <t>s column in the data sheet.</t>
    </r>
  </si>
  <si>
    <r>
      <t xml:space="preserve">If you have selected the general log-linear (GLL) or cumulative damage (CD) model, you must also select an appropriate </t>
    </r>
    <r>
      <rPr>
        <b/>
        <sz val="12"/>
        <color theme="1"/>
        <rFont val="GE Inspira Sans"/>
        <family val="2"/>
      </rPr>
      <t>Transformation</t>
    </r>
    <r>
      <rPr>
        <sz val="12"/>
        <color theme="1"/>
        <rFont val="GE Inspira Sans"/>
        <family val="2"/>
      </rPr>
      <t xml:space="preserve">  for each </t>
    </r>
    <r>
      <rPr>
        <sz val="12"/>
        <color rgb="FF000000"/>
        <rFont val="GE Inspira Sans"/>
        <family val="2"/>
      </rPr>
      <t>stres</t>
    </r>
    <r>
      <rPr>
        <sz val="12"/>
        <color theme="1"/>
        <rFont val="GE Inspira Sans"/>
        <family val="2"/>
      </rPr>
      <t>s:</t>
    </r>
  </si>
  <si>
    <r>
      <t>None X=V</t>
    </r>
    <r>
      <rPr>
        <sz val="12"/>
        <color theme="1"/>
        <rFont val="GE Inspira Sans"/>
        <family val="2"/>
      </rPr>
      <t xml:space="preserve">  is for </t>
    </r>
    <r>
      <rPr>
        <sz val="12"/>
        <color rgb="FF000000"/>
        <rFont val="GE Inspira Sans"/>
        <family val="2"/>
      </rPr>
      <t>stres</t>
    </r>
    <r>
      <rPr>
        <sz val="12"/>
        <color theme="1"/>
        <rFont val="GE Inspira Sans"/>
        <family val="2"/>
      </rPr>
      <t>s types associated with the exponential life-</t>
    </r>
    <r>
      <rPr>
        <sz val="12"/>
        <color rgb="FF000000"/>
        <rFont val="GE Inspira Sans"/>
        <family val="2"/>
      </rPr>
      <t>stres</t>
    </r>
    <r>
      <rPr>
        <sz val="12"/>
        <color theme="1"/>
        <rFont val="GE Inspira Sans"/>
        <family val="2"/>
      </rPr>
      <t>s relationship (LSR). This transformation is commonly used for indicator variables (e.g., 0 = on/off and 1 = continuous operation).</t>
    </r>
  </si>
  <si>
    <r>
      <t>Reciprocal X=1/V</t>
    </r>
    <r>
      <rPr>
        <sz val="12"/>
        <color theme="1"/>
        <rFont val="GE Inspira Sans"/>
        <family val="2"/>
      </rPr>
      <t xml:space="preserve">  is for </t>
    </r>
    <r>
      <rPr>
        <sz val="12"/>
        <color rgb="FF000000"/>
        <rFont val="GE Inspira Sans"/>
        <family val="2"/>
      </rPr>
      <t>stres</t>
    </r>
    <r>
      <rPr>
        <sz val="12"/>
        <color theme="1"/>
        <rFont val="GE Inspira Sans"/>
        <family val="2"/>
      </rPr>
      <t xml:space="preserve">s types associated with the Arrhenius LSR. This transformation is commonly used for thermal </t>
    </r>
    <r>
      <rPr>
        <sz val="12"/>
        <color rgb="FF000000"/>
        <rFont val="GE Inspira Sans"/>
        <family val="2"/>
      </rPr>
      <t>stres</t>
    </r>
    <r>
      <rPr>
        <sz val="12"/>
        <color theme="1"/>
        <rFont val="GE Inspira Sans"/>
        <family val="2"/>
      </rPr>
      <t>ses.</t>
    </r>
  </si>
  <si>
    <r>
      <t>Logarithmic X=ln[V]</t>
    </r>
    <r>
      <rPr>
        <sz val="12"/>
        <color theme="1"/>
        <rFont val="GE Inspira Sans"/>
        <family val="2"/>
      </rPr>
      <t xml:space="preserve">  is for </t>
    </r>
    <r>
      <rPr>
        <sz val="12"/>
        <color rgb="FF000000"/>
        <rFont val="GE Inspira Sans"/>
        <family val="2"/>
      </rPr>
      <t>stres</t>
    </r>
    <r>
      <rPr>
        <sz val="12"/>
        <color theme="1"/>
        <rFont val="GE Inspira Sans"/>
        <family val="2"/>
      </rPr>
      <t xml:space="preserve">s types associated with the inverse power law LSR. This transformation is commonly used for non-thermal </t>
    </r>
    <r>
      <rPr>
        <sz val="12"/>
        <color rgb="FF000000"/>
        <rFont val="GE Inspira Sans"/>
        <family val="2"/>
      </rPr>
      <t>stres</t>
    </r>
    <r>
      <rPr>
        <sz val="12"/>
        <color theme="1"/>
        <rFont val="GE Inspira Sans"/>
        <family val="2"/>
      </rPr>
      <t>ses.</t>
    </r>
  </si>
  <si>
    <r>
      <t>No censoring</t>
    </r>
    <r>
      <rPr>
        <sz val="12"/>
        <color theme="1"/>
        <rFont val="GE Inspira Sans"/>
        <family val="2"/>
      </rPr>
      <t>: The generated data set will contain only exact failure times (i.e., it will contain no right censored, interval or left censored data).</t>
    </r>
  </si>
  <si>
    <r>
      <t>Note:</t>
    </r>
    <r>
      <rPr>
        <sz val="11"/>
        <color theme="1"/>
        <rFont val="GE Inspira Sans"/>
        <family val="2"/>
      </rPr>
      <t xml:space="preserve">  To illustrate how this censoring is performed in the </t>
    </r>
    <r>
      <rPr>
        <sz val="11"/>
        <color rgb="FF000000"/>
        <rFont val="GE Inspira Sans"/>
        <family val="2"/>
      </rPr>
      <t>Stres</t>
    </r>
    <r>
      <rPr>
        <sz val="11"/>
        <color theme="1"/>
        <rFont val="GE Inspira Sans"/>
        <family val="2"/>
      </rPr>
      <t>s-</t>
    </r>
    <r>
      <rPr>
        <sz val="11"/>
        <color rgb="FF000000"/>
        <rFont val="GE Inspira Sans"/>
        <family val="2"/>
      </rPr>
      <t>Dependent</t>
    </r>
    <r>
      <rPr>
        <sz val="11"/>
        <color theme="1"/>
        <rFont val="GE Inspira Sans"/>
        <family val="2"/>
      </rPr>
      <t xml:space="preserve"> </t>
    </r>
    <r>
      <rPr>
        <sz val="11"/>
        <color rgb="FF000000"/>
        <rFont val="GE Inspira Sans"/>
        <family val="2"/>
      </rPr>
      <t>Mont</t>
    </r>
    <r>
      <rPr>
        <sz val="11"/>
        <color theme="1"/>
        <rFont val="GE Inspira Sans"/>
        <family val="2"/>
      </rPr>
      <t xml:space="preserve">e </t>
    </r>
    <r>
      <rPr>
        <sz val="11"/>
        <color rgb="FF000000"/>
        <rFont val="GE Inspira Sans"/>
        <family val="2"/>
      </rPr>
      <t>Carlo</t>
    </r>
    <r>
      <rPr>
        <sz val="11"/>
        <color theme="1"/>
        <rFont val="GE Inspira Sans"/>
        <family val="2"/>
      </rPr>
      <t xml:space="preserve"> utility, suppose you chose to generate 20 data points (e.g., 10 at one </t>
    </r>
    <r>
      <rPr>
        <sz val="11"/>
        <color rgb="FF000000"/>
        <rFont val="GE Inspira Sans"/>
        <family val="2"/>
      </rPr>
      <t>stres</t>
    </r>
    <r>
      <rPr>
        <sz val="11"/>
        <color theme="1"/>
        <rFont val="GE Inspira Sans"/>
        <family val="2"/>
      </rPr>
      <t xml:space="preserve">s level and 10 at another) and entered </t>
    </r>
    <r>
      <rPr>
        <b/>
        <sz val="11"/>
        <color theme="1"/>
        <rFont val="GE Inspira Sans"/>
        <family val="2"/>
      </rPr>
      <t>10</t>
    </r>
    <r>
      <rPr>
        <sz val="11"/>
        <color theme="1"/>
        <rFont val="GE Inspira Sans"/>
        <family val="2"/>
      </rPr>
      <t xml:space="preserve"> in the </t>
    </r>
    <r>
      <rPr>
        <b/>
        <sz val="11"/>
        <color theme="1"/>
        <rFont val="GE Inspira Sans"/>
        <family val="2"/>
      </rPr>
      <t>Number of Failures</t>
    </r>
    <r>
      <rPr>
        <sz val="11"/>
        <color theme="1"/>
        <rFont val="GE Inspira Sans"/>
        <family val="2"/>
      </rPr>
      <t xml:space="preserve"> field. The software would first generate 20 time values. Then the lowest 10 values across all the </t>
    </r>
    <r>
      <rPr>
        <sz val="11"/>
        <color rgb="FF000000"/>
        <rFont val="GE Inspira Sans"/>
        <family val="2"/>
      </rPr>
      <t>stres</t>
    </r>
    <r>
      <rPr>
        <sz val="11"/>
        <color theme="1"/>
        <rFont val="GE Inspira Sans"/>
        <family val="2"/>
      </rPr>
      <t>s levels would be marked as failure times. The remaining 10 values would be marked as suspensions.</t>
    </r>
  </si>
  <si>
    <r>
      <t>Random censoring</t>
    </r>
    <r>
      <rPr>
        <sz val="12"/>
        <color theme="1"/>
        <rFont val="GE Inspira Sans"/>
        <family val="2"/>
      </rPr>
      <t xml:space="preserve"> (available in Weibull++ only): You provide percentages to specify what proportions of your total data points will consist of right censored, interval and left censored data. The remaining data points will be exact failure times. Thus, the sum of the three percentages entered cannot exceed 100%. This option can be useful for exploring how different kinds of uncertainty in your data can influence the results of an analysis.</t>
    </r>
  </si>
  <si>
    <r>
      <t>Use Seed</t>
    </r>
    <r>
      <rPr>
        <sz val="12"/>
        <color theme="1"/>
        <rFont val="GE Inspira Sans"/>
        <family val="2"/>
      </rPr>
      <t xml:space="preserve"> allows you to set a consistent starting point from which the random numbers will be generated. Using the same seed value and keeping all other settings the same will allow you to replicate your results.</t>
    </r>
  </si>
  <si>
    <r>
      <t>Math Precision</t>
    </r>
    <r>
      <rPr>
        <sz val="12"/>
        <color theme="1"/>
        <rFont val="GE Inspira Sans"/>
        <family val="2"/>
      </rPr>
      <t xml:space="preserve"> allows you to specify the number of decimal places to use for each simulated data point.</t>
    </r>
  </si>
  <si>
    <r>
      <t>Data Points</t>
    </r>
    <r>
      <rPr>
        <sz val="12"/>
        <color theme="1"/>
        <rFont val="GE Inspira Sans"/>
        <family val="2"/>
      </rPr>
      <t xml:space="preserve"> sets the number of data points you wish to generate.</t>
    </r>
  </si>
  <si>
    <r>
      <t xml:space="preserve">For Weibull++'s </t>
    </r>
    <r>
      <rPr>
        <sz val="12"/>
        <color rgb="FF000000"/>
        <rFont val="GE Inspira Sans"/>
        <family val="2"/>
      </rPr>
      <t>Mont</t>
    </r>
    <r>
      <rPr>
        <sz val="12"/>
        <color theme="1"/>
        <rFont val="GE Inspira Sans"/>
        <family val="2"/>
      </rPr>
      <t xml:space="preserve">e </t>
    </r>
    <r>
      <rPr>
        <sz val="12"/>
        <color rgb="FF000000"/>
        <rFont val="GE Inspira Sans"/>
        <family val="2"/>
      </rPr>
      <t>Carlo</t>
    </r>
    <r>
      <rPr>
        <sz val="12"/>
        <color theme="1"/>
        <rFont val="GE Inspira Sans"/>
        <family val="2"/>
      </rPr>
      <t xml:space="preserve"> utility, use the </t>
    </r>
    <r>
      <rPr>
        <b/>
        <sz val="12"/>
        <color theme="1"/>
        <rFont val="GE Inspira Sans"/>
        <family val="2"/>
      </rPr>
      <t>Number of points</t>
    </r>
    <r>
      <rPr>
        <sz val="12"/>
        <color theme="1"/>
        <rFont val="GE Inspira Sans"/>
        <family val="2"/>
      </rPr>
      <t xml:space="preserve"> field</t>
    </r>
  </si>
  <si>
    <r>
      <t xml:space="preserve">For ALTA's </t>
    </r>
    <r>
      <rPr>
        <sz val="12"/>
        <color rgb="FF000000"/>
        <rFont val="GE Inspira Sans"/>
        <family val="2"/>
      </rPr>
      <t>Stres</t>
    </r>
    <r>
      <rPr>
        <sz val="12"/>
        <color theme="1"/>
        <rFont val="GE Inspira Sans"/>
        <family val="2"/>
      </rPr>
      <t>s-</t>
    </r>
    <r>
      <rPr>
        <sz val="12"/>
        <color rgb="FF000000"/>
        <rFont val="GE Inspira Sans"/>
        <family val="2"/>
      </rPr>
      <t>Dependent</t>
    </r>
    <r>
      <rPr>
        <sz val="12"/>
        <color theme="1"/>
        <rFont val="GE Inspira Sans"/>
        <family val="2"/>
      </rPr>
      <t xml:space="preserve"> </t>
    </r>
    <r>
      <rPr>
        <sz val="12"/>
        <color rgb="FF000000"/>
        <rFont val="GE Inspira Sans"/>
        <family val="2"/>
      </rPr>
      <t>Mont</t>
    </r>
    <r>
      <rPr>
        <sz val="12"/>
        <color theme="1"/>
        <rFont val="GE Inspira Sans"/>
        <family val="2"/>
      </rPr>
      <t xml:space="preserve">e </t>
    </r>
    <r>
      <rPr>
        <sz val="12"/>
        <color rgb="FF000000"/>
        <rFont val="GE Inspira Sans"/>
        <family val="2"/>
      </rPr>
      <t>Carlo</t>
    </r>
    <r>
      <rPr>
        <sz val="12"/>
        <color theme="1"/>
        <rFont val="GE Inspira Sans"/>
        <family val="2"/>
      </rPr>
      <t xml:space="preserve"> utility, use the data sheet on the right side of the window. For example, if you have selected a multi-</t>
    </r>
    <r>
      <rPr>
        <sz val="12"/>
        <color rgb="FF000000"/>
        <rFont val="GE Inspira Sans"/>
        <family val="2"/>
      </rPr>
      <t>stres</t>
    </r>
    <r>
      <rPr>
        <sz val="12"/>
        <color theme="1"/>
        <rFont val="GE Inspira Sans"/>
        <family val="2"/>
      </rPr>
      <t xml:space="preserve">s model, the following settings would generate 10 data points for </t>
    </r>
    <r>
      <rPr>
        <sz val="12"/>
        <color rgb="FF000000"/>
        <rFont val="GE Inspira Sans"/>
        <family val="2"/>
      </rPr>
      <t>Stres</t>
    </r>
    <r>
      <rPr>
        <sz val="12"/>
        <color theme="1"/>
        <rFont val="GE Inspira Sans"/>
        <family val="2"/>
      </rPr>
      <t xml:space="preserve">s 1 = 348 and </t>
    </r>
    <r>
      <rPr>
        <sz val="12"/>
        <color rgb="FF000000"/>
        <rFont val="GE Inspira Sans"/>
        <family val="2"/>
      </rPr>
      <t>Stres</t>
    </r>
    <r>
      <rPr>
        <sz val="12"/>
        <color theme="1"/>
        <rFont val="GE Inspira Sans"/>
        <family val="2"/>
      </rPr>
      <t xml:space="preserve">s 2 = 3, 10 data points for </t>
    </r>
    <r>
      <rPr>
        <sz val="12"/>
        <color rgb="FF000000"/>
        <rFont val="GE Inspira Sans"/>
        <family val="2"/>
      </rPr>
      <t>Stres</t>
    </r>
    <r>
      <rPr>
        <sz val="12"/>
        <color theme="1"/>
        <rFont val="GE Inspira Sans"/>
        <family val="2"/>
      </rPr>
      <t xml:space="preserve">s 1 = 378 and </t>
    </r>
    <r>
      <rPr>
        <sz val="12"/>
        <color rgb="FF000000"/>
        <rFont val="GE Inspira Sans"/>
        <family val="2"/>
      </rPr>
      <t>Stres</t>
    </r>
    <r>
      <rPr>
        <sz val="12"/>
        <color theme="1"/>
        <rFont val="GE Inspira Sans"/>
        <family val="2"/>
      </rPr>
      <t xml:space="preserve">s 2 = 3, and 10 data points for </t>
    </r>
    <r>
      <rPr>
        <sz val="12"/>
        <color rgb="FF000000"/>
        <rFont val="GE Inspira Sans"/>
        <family val="2"/>
      </rPr>
      <t>Stres</t>
    </r>
    <r>
      <rPr>
        <sz val="12"/>
        <color theme="1"/>
        <rFont val="GE Inspira Sans"/>
        <family val="2"/>
      </rPr>
      <t xml:space="preserve">s 1 = 378 and </t>
    </r>
    <r>
      <rPr>
        <sz val="12"/>
        <color rgb="FF000000"/>
        <rFont val="GE Inspira Sans"/>
        <family val="2"/>
      </rPr>
      <t>Stres</t>
    </r>
    <r>
      <rPr>
        <sz val="12"/>
        <color theme="1"/>
        <rFont val="GE Inspira Sans"/>
        <family val="2"/>
      </rPr>
      <t>s 2 = 5.</t>
    </r>
  </si>
  <si>
    <r>
      <t>Generate Data in Specified Folio and Data Sheet</t>
    </r>
    <r>
      <rPr>
        <sz val="12"/>
        <color theme="1"/>
        <rFont val="GE Inspira Sans"/>
        <family val="2"/>
      </rPr>
      <t xml:space="preserve"> allows you to choose where to put the simulated data. Click the </t>
    </r>
    <r>
      <rPr>
        <b/>
        <sz val="12"/>
        <color theme="1"/>
        <rFont val="GE Inspira Sans"/>
        <family val="2"/>
      </rPr>
      <t>Active</t>
    </r>
    <r>
      <rPr>
        <sz val="12"/>
        <color theme="1"/>
        <rFont val="GE Inspira Sans"/>
        <family val="2"/>
      </rPr>
      <t xml:space="preserve"> button to select the folio and data sheet that were active when the utility was opened. If you want the utility to always select the active folio and data sheet, select the </t>
    </r>
    <r>
      <rPr>
        <b/>
        <sz val="12"/>
        <color theme="1"/>
        <rFont val="GE Inspira Sans"/>
        <family val="2"/>
      </rPr>
      <t>Select active folio/sheet when loading this window</t>
    </r>
    <r>
      <rPr>
        <sz val="12"/>
        <color theme="1"/>
        <rFont val="GE Inspira Sans"/>
        <family val="2"/>
      </rPr>
      <t xml:space="preserve"> check box.</t>
    </r>
  </si>
  <si>
    <t>Duane Model</t>
  </si>
  <si>
    <t>b= Initial MTBF  at time =1 or beginning of test</t>
  </si>
  <si>
    <t>T = Desired time</t>
  </si>
  <si>
    <t>α</t>
  </si>
  <si>
    <t>α = Growth rate</t>
  </si>
  <si>
    <t>Parameters</t>
  </si>
  <si>
    <t>Model</t>
  </si>
  <si>
    <t>Duane</t>
  </si>
  <si>
    <t>Analysis</t>
  </si>
  <si>
    <t>LS</t>
  </si>
  <si>
    <t>Alpha</t>
  </si>
  <si>
    <t>A</t>
  </si>
  <si>
    <t>DMTBF (hr)</t>
  </si>
  <si>
    <t>DFI</t>
  </si>
  <si>
    <t>Other</t>
  </si>
  <si>
    <t>Termination Time (hr)</t>
  </si>
  <si>
    <t>b</t>
  </si>
  <si>
    <t>T</t>
  </si>
  <si>
    <t>Sometimes valuable information is left out of field failure reporting systems, particularly if a system is put in place before it is known how the collected data will be used. Such omissions can lead to a misleading analysis of field failure data. This article considers a case where failure data on a fielded component are collected but operating times of unfailed fielded units are not known. First, the effect of suspension times on predicted reliability is examined, and then a simple method of estimating suspension times for fielded units is discussed.</t>
  </si>
  <si>
    <t>Joe the reliability engineer had recently accepted a transfer to another site within his company. His new boss asked him to analyze some field data from a component to see if it was performing as well as the target B50 life of 5,000 hours. His boss gave Joe the total number of components (892) that were put into the field nine months ago and a failure data set, which is shown in Table 1. Joe was asked to provide an estimate of the B50 life of the components in the field by the end of the day.</t>
  </si>
  <si>
    <t>Table 1: Fielded Component Failure Time Data Set</t>
  </si>
  <si>
    <t>Every data point in the data set was classified as a failure, so Joe asked his boss where he could find information about the components that were still operating. Joe’s boss told him to treat the unfailed components as suspensions at 1 hour, just like Joe’s predecessor had done, since the only information they had about those components was that they didn’t fail upon startup.</t>
  </si>
  <si>
    <t>Joe went back to his desk and looked at the information he had been given. The data set that contained the failure times was small compared to the total number of components in the population; maybe 7 or 8 percent of the total number of fielded components were accounted for in the data set. Joe knew that it would be best to use maximum likelihood estimation (MLE) rather than rank regression (RRX) to fit a model to the data, due to the large percentage of censored data points. But he also knew that the MLE method takes into account the exact times to suspension, so assuming a very small value for the operating times of all the suspended components would produce an overly conservative estimate of component life. Joe wanted to provide a more realistic estimate to his boss, but he knew that he would have to justify why he used a different method than his predecessor. He decided to use the Monte Carlo tool in Weibull++ to illustrate how the analysis could be improved.</t>
  </si>
  <si>
    <t>Joe started by searching for a historical analysis of a similar component. He found data from a laboratory test of a previous generation of the component. The test results indicated that the previous generation component followed a Weibull distribution with a shape parameter, beta, of 2.5 and a scale parameter, eta, of 5,000 hours. He was unable to quickly find information on how many components were put into the field or the usage of the component. Given the time constraints, Joe chose to assume that 1,000 previous generation components were put into the field and that they had a usage that was uniformly distributed between 0 and 2,000 hours. He decided to separate the data into 10 bins, where each bin would hold 100 components of a specific usage level. As a first step, he created a folio with a data sheet for components with 200 hours of use, a second data sheet for components with 400 hours of use, and so on. He named each of the data sheets for use in the next steps.</t>
  </si>
  <si>
    <r>
      <t>Joe opened the Weibull++ Monte Carlo tool by choosing </t>
    </r>
    <r>
      <rPr>
        <b/>
        <sz val="12"/>
        <color rgb="FF000000"/>
        <rFont val="Trebuchet MS"/>
        <family val="2"/>
      </rPr>
      <t>Home &gt; Tools &gt; Weibull++ Monte Carlo</t>
    </r>
    <r>
      <rPr>
        <sz val="12"/>
        <color rgb="FF000000"/>
        <rFont val="Trebuchet MS"/>
        <family val="2"/>
      </rPr>
      <t>.</t>
    </r>
  </si>
  <si>
    <t>To create his data for the 200 hour usage level, he entered his parameters on the Main tab and specified the suspension time on the Censoring tab:</t>
  </si>
  <si>
    <r>
      <t>On the Settings tab, he cleared the </t>
    </r>
    <r>
      <rPr>
        <b/>
        <sz val="12"/>
        <color rgb="FF000000"/>
        <rFont val="Trebuchet MS"/>
        <family val="2"/>
      </rPr>
      <t>Use Seed</t>
    </r>
    <r>
      <rPr>
        <sz val="12"/>
        <color rgb="FF000000"/>
        <rFont val="Trebuchet MS"/>
        <family val="2"/>
      </rPr>
      <t> check box, set the number of data points to </t>
    </r>
    <r>
      <rPr>
        <b/>
        <sz val="12"/>
        <color rgb="FF000000"/>
        <rFont val="Trebuchet MS"/>
        <family val="2"/>
      </rPr>
      <t>100</t>
    </r>
    <r>
      <rPr>
        <sz val="12"/>
        <color rgb="FF000000"/>
        <rFont val="Trebuchet MS"/>
        <family val="2"/>
      </rPr>
      <t> and specified the "200" data sheet that he had created:</t>
    </r>
  </si>
  <si>
    <r>
      <t>Then he clicked </t>
    </r>
    <r>
      <rPr>
        <b/>
        <sz val="12"/>
        <color rgb="FF000000"/>
        <rFont val="Trebuchet MS"/>
        <family val="2"/>
      </rPr>
      <t>Generate</t>
    </r>
    <r>
      <rPr>
        <sz val="12"/>
        <color rgb="FF000000"/>
        <rFont val="Trebuchet MS"/>
        <family val="2"/>
      </rPr>
      <t> to create the data for the 200 hour usage level. He repeated this process nine more times to generate data for the remaining usage levels. He then copied the data from each data sheet into a single data sheet in a new folio.</t>
    </r>
  </si>
  <si>
    <t>Joe made three copies of the Monte Carlo data for all 1,000 components (for a total of 4 data sheets). He set the distribution on all four data sheets to 2-parameter Weibull.</t>
  </si>
  <si>
    <t>F Only</t>
  </si>
  <si>
    <t>On the first data sheet, Joe deleted all the suspensions and analyzed the remaining data using RRX to mimic the case of analyzing his field data without considering the effect of the suspensions.</t>
  </si>
  <si>
    <t>Distributed Suspensions</t>
  </si>
  <si>
    <t>On the second data sheet, he analyzed the Monte Carlo data for all 1,000 components. This data sheet and all of the subsequent ones were analyzed using MLE because they contained mostly suspended data points.</t>
  </si>
  <si>
    <t>S at 1</t>
  </si>
  <si>
    <t>On the third data sheet, he changed all the suspension times to 1 hour to mimic the analysis his boss was expecting.</t>
  </si>
  <si>
    <t>S at 2000</t>
  </si>
  <si>
    <t>On the fourth data sheet, he changed all the suspension times to 2,000 hours to investigate what would happen if all the unfailed components in the field were assumed to have the maximum amount of usage.</t>
  </si>
  <si>
    <t>Actual</t>
  </si>
  <si>
    <r>
      <t>Joe created an additional data sheet with no data to hold the parameters of the "actual" distribution. He clicked </t>
    </r>
    <r>
      <rPr>
        <b/>
        <sz val="12"/>
        <color rgb="FF000000"/>
        <rFont val="Trebuchet MS"/>
        <family val="2"/>
      </rPr>
      <t>Calculate </t>
    </r>
    <r>
      <rPr>
        <sz val="12"/>
        <color rgb="FF000000"/>
        <rFont val="Trebuchet MS"/>
        <family val="2"/>
      </rPr>
      <t>for the empty sheet and, when prompted, entered the parameters he had used to generate the Monte Carlo data (beta = 2.5, eta = 5,000 hours).</t>
    </r>
  </si>
  <si>
    <t>Joe created an overlay plot of reliability for all five data sheets to compare the results. He removed the data points in order to be able to see the reliability lines more clearly. He also made the line that showed the “actual” reliability curve thicker than the others.</t>
  </si>
  <si>
    <t>To explain the plot to his boss, Joe showed him the thick line representing the “actual” reliability curve and described how the leftmost two curves represent the analysis performed with only failure data and the analysis performed with all the unfailed components assumed to have a suspension time of 1 hour. Joe’s boss was surprised to see that the two curves were nearly indistinguishable and how much both methods underestimated the true reliability. Next, Joe pointed out that the rightmost curve, which greatly overestimated the true reliability, assumed all unfailed components had a usage equal to the greatest assumed usage of 2,000 hours. Finally, Joe showed his boss the curve immediately to the left of the “actual” reliability curve, in which he assumed that the usage of the unfailed components in the field was spread relatively evenly between 0 and 2,000 hours. At that point in the discussion, Joe’s boss remembered that he did have some actual usage data that was collected for the previous generation of the component. Joe’s predecessor didn’t know how to incorporate the usage data into his analyses, so Joe’s boss didn’t think of it again until Joe’s plot reminded him. An hour later, Joe’s boss produced the usage data shown in the first two columns of Table 2.</t>
  </si>
  <si>
    <t>Table 2: Component Usage Information</t>
  </si>
  <si>
    <t>Customers (%)</t>
  </si>
  <si>
    <t>Usage per </t>
  </si>
  <si>
    <t>Month (hours)</t>
  </si>
  <si>
    <t>Usage per 9 </t>
  </si>
  <si>
    <t>Months (hours)</t>
  </si>
  <si>
    <t>Cumulative </t>
  </si>
  <si>
    <t>Joe calculated the expected usage for the time the components had been in the field (9 months) and the cumulative percentage of customers with each usage, as shown in the last two columns of Table 2. (Note that Joe used 99% in the last cell in the table because Weibull accepts only numbers greater than 0% and less than 100% in the free-form data sheet.) He copied the calculated data into a free-form (probit) data sheet in Weibull++. He chose to analyze the data using rank regression minimizing the variability in the y-direction (RRY), because he was providing y-axis values instead of calculating them using median ranks. He used the distribution wizard and found that lognormal was the best fit for this usage data. It yielded a location parameter, log-mean, of 6.62627 and a scale parameter, log-std, of 0.928195.</t>
  </si>
  <si>
    <t>Joe turned to the Monte Carlo tool again to generate his suspensions. Since there were 892 fielded components and 71 failures, he generated 821 data points following the lognormal usage distribution given above and using random censoring with 100% right censoring.</t>
  </si>
  <si>
    <t>Now Joe was able to combine the failures and suspensions into a single data sheet. He chose MLE and a 2-parameter Weibull distribution. Then he used the QCP to obtain the B50 life. He presented the information shown in Table 3 to his boss. Joe told his boss that even though the B50 life predicted by the new analysis method met the target, two things bothered him. First, the lower bound of the prediction did not meet the target, so Joe proposed that it would be wise to continue to update his analysis as more failures were observed. He also mentioned that having additional information from the field could be helpful in multiple ways:</t>
  </si>
  <si>
    <r>
      <t>·</t>
    </r>
    <r>
      <rPr>
        <sz val="7"/>
        <color rgb="FF000000"/>
        <rFont val="Times New Roman"/>
        <family val="1"/>
      </rPr>
      <t xml:space="preserve">         </t>
    </r>
    <r>
      <rPr>
        <sz val="12"/>
        <color rgb="FF000000"/>
        <rFont val="Trebuchet MS"/>
        <family val="2"/>
      </rPr>
      <t>With information about the usage of the items that were found failed, the Weibulll++ usage format warranty analysis folio could provide a somewhat more sophisticated analysis.</t>
    </r>
  </si>
  <si>
    <r>
      <t>·</t>
    </r>
    <r>
      <rPr>
        <sz val="7"/>
        <color rgb="FF000000"/>
        <rFont val="Times New Roman"/>
        <family val="1"/>
      </rPr>
      <t xml:space="preserve">         </t>
    </r>
    <r>
      <rPr>
        <sz val="12"/>
        <color rgb="FF000000"/>
        <rFont val="Trebuchet MS"/>
        <family val="2"/>
      </rPr>
      <t>Having suspension information from the field would be even more advantageous, as it would yield more accurate assessments of component reliability.</t>
    </r>
  </si>
  <si>
    <t> Joe’s boss agreed that collecting usage information on both failed and unfailed components would become a priority for the future.</t>
  </si>
  <si>
    <t>Table 3: Component Data Analysis Summary</t>
  </si>
  <si>
    <t>Beta</t>
  </si>
  <si>
    <t>Eta</t>
  </si>
  <si>
    <t>(hours)</t>
  </si>
  <si>
    <t>B50 Life Lower </t>
  </si>
  <si>
    <t>Bound (hours)</t>
  </si>
  <si>
    <t>B50 Life Median</t>
  </si>
  <si>
    <t>Estimate (hours)</t>
  </si>
  <si>
    <t>B50 Life Upper</t>
  </si>
  <si>
    <t>Target</t>
  </si>
  <si>
    <t>Failure Data Only</t>
  </si>
  <si>
    <t>Failure Data Plus Monte</t>
  </si>
  <si>
    <t>Carlo Suspensions</t>
  </si>
  <si>
    <t>Conclusion</t>
  </si>
  <si>
    <t>This example showed a way to analyze a data set with unknown suspension times. First, using the results of a previous generation component analysis, we examined the effect of assigning suspension times to unfailed components with unknown operating times in a variety of ways. Making the suspension times all short, all long, or evenly distributed showed a large difference in predicted reliability curves. Second, we used data on actual field usage to generate suspensions for the analysis of new component data. This showed that the new component was close to meeting its B50 life target.</t>
  </si>
  <si>
    <t>Simple cash flow formula</t>
  </si>
  <si>
    <t>Return on Investment = (Benefit - Investment) / Investment</t>
  </si>
  <si>
    <t>Summary of failure cost data needed</t>
  </si>
  <si>
    <t>Whole Product Cost (WPC)</t>
  </si>
  <si>
    <t>Replacement Cost (RC)</t>
  </si>
  <si>
    <t>Downtime Costs (DC)</t>
  </si>
  <si>
    <t>PR</t>
  </si>
  <si>
    <t>HALT benefit is the elimination of the cost of failures that were removed in HALT</t>
  </si>
  <si>
    <t>Cost of all failure modes found in HALT, if left undetected &amp; released into the field:</t>
  </si>
  <si>
    <t>i = Individual failure modes, 1 to N</t>
  </si>
  <si>
    <t>Final calculation of HALT Benefit:</t>
  </si>
  <si>
    <t>HALT costs include several factors:</t>
  </si>
  <si>
    <t>Actual test equipment cost { Cost of renting, Depreciation if buying}</t>
  </si>
  <si>
    <t>Consumables</t>
  </si>
  <si>
    <t>Human resources to conduct test { Test execution, Design engineering input during test}</t>
  </si>
  <si>
    <t>Cost of test sample {ideally 4 samples}</t>
  </si>
  <si>
    <t>Calculating HALT Investment:</t>
  </si>
  <si>
    <t>Costs associated with failure identification:</t>
  </si>
  <si>
    <t>Failure analysis</t>
  </si>
  <si>
    <t>Corrective action</t>
  </si>
  <si>
    <t>Validation</t>
  </si>
  <si>
    <t>If using outside lab, cost is starightforward</t>
  </si>
  <si>
    <t>Internal equipment, amortize entire lab costs over 5 years, assume 1 week use in HALT, estimate consumables</t>
  </si>
  <si>
    <t>Lab cost ($) / (5*52)</t>
  </si>
  <si>
    <t>Human resources for HALT:</t>
  </si>
  <si>
    <t>Test plan creation</t>
  </si>
  <si>
    <t>Test equipment design, set up { including custom test software}</t>
  </si>
  <si>
    <t>Test execution</t>
  </si>
  <si>
    <t>Failure analysis (FA):</t>
  </si>
  <si>
    <t>include outside analysis support if applicable</t>
  </si>
  <si>
    <t>Multiplied by number of failures analyzed</t>
  </si>
  <si>
    <t>Test samples (WPC * N)</t>
  </si>
  <si>
    <t>N = Number of unit tested</t>
  </si>
  <si>
    <t>Four (4) samples are ideal</t>
  </si>
  <si>
    <t>HALT Investment is the cost of HALT  &amp; cost of CAs</t>
  </si>
  <si>
    <t>A Predictive HALT ROI Example</t>
  </si>
  <si>
    <t xml:space="preserve">First calculate the benefits: </t>
  </si>
  <si>
    <t>Not considered in this estimate</t>
  </si>
  <si>
    <t>Field failure rate due to failure mode found in HALT:</t>
  </si>
  <si>
    <t>Calculated using the following estimates, based on historical data:</t>
  </si>
  <si>
    <t>Total return rate</t>
  </si>
  <si>
    <t>Only half of these are actually defective</t>
  </si>
  <si>
    <t>Following conservative assumptions were made:</t>
  </si>
  <si>
    <t>Only one HALT would be done on one unit</t>
  </si>
  <si>
    <t>That HALT would have a 20% chance of finding the single leading cause of failure</t>
  </si>
  <si>
    <t xml:space="preserve">From typical field failure data, that leading cause of failure would account </t>
  </si>
  <si>
    <t>for 35% of identified failures in the first year</t>
  </si>
  <si>
    <t>FFR = Product of 2.5% (actual field failures) x 20% (likelihood that failure mode was found) x 35% (fraction of total failures represented by this failure mode)</t>
  </si>
  <si>
    <t xml:space="preserve">WPC estimated </t>
  </si>
  <si>
    <t xml:space="preserve">Production rate for units in first year </t>
  </si>
  <si>
    <t xml:space="preserve">Benefit </t>
  </si>
  <si>
    <t xml:space="preserve">Second calculate the investment: </t>
  </si>
  <si>
    <t>Equipment &amp; consumables estimated @ $3,577</t>
  </si>
  <si>
    <t>{Two weeks of testing, chamber owned, depreciated over 5 years}</t>
  </si>
  <si>
    <t>HR estimated @ $4,000 { 1 engineer, two weeks, $2,000 per week}</t>
  </si>
  <si>
    <t>WPC for one unit = $10,000 { Only one unit tested}</t>
  </si>
  <si>
    <t>FA &amp; CA estimated together @ $3,000 {one high-level engineer for one week}</t>
  </si>
  <si>
    <t>ROI=</t>
  </si>
  <si>
    <t>In first year</t>
  </si>
  <si>
    <t>Initial MTBF (Hour)</t>
  </si>
  <si>
    <t>λ</t>
  </si>
  <si>
    <t>λa</t>
  </si>
  <si>
    <t>λb</t>
  </si>
  <si>
    <t>Total λ</t>
  </si>
  <si>
    <t>Input</t>
  </si>
  <si>
    <t>Goal MTBF (hr)</t>
  </si>
  <si>
    <t>Growth Potential Design Margin</t>
  </si>
  <si>
    <t>Average EF</t>
  </si>
  <si>
    <t>Management Strategy Ratio</t>
  </si>
  <si>
    <t>Discovery Beta</t>
  </si>
  <si>
    <t>Results (hr)</t>
  </si>
  <si>
    <t>Initial Time [t(0)]</t>
  </si>
  <si>
    <t>Initial MTBF</t>
  </si>
  <si>
    <t>Final MTBF (Nom)</t>
  </si>
  <si>
    <t>Final MTBF (Act)</t>
  </si>
  <si>
    <t>T Goal (Nom)</t>
  </si>
  <si>
    <t>T Goal (Act)</t>
  </si>
  <si>
    <t>Planned Growth MTBF (hr)</t>
  </si>
  <si>
    <t>Phase 1</t>
  </si>
  <si>
    <t>Phase 2</t>
  </si>
  <si>
    <t>Initial MTBF; Mi (Hour)</t>
  </si>
  <si>
    <t xml:space="preserve">Task </t>
  </si>
  <si>
    <t>Support design reviews and engineering team meetings</t>
  </si>
  <si>
    <t>Total</t>
  </si>
  <si>
    <r>
      <t xml:space="preserve">1.       </t>
    </r>
    <r>
      <rPr>
        <i/>
        <sz val="14"/>
        <color theme="1"/>
        <rFont val="GE Inspira Serif"/>
        <family val="1"/>
      </rPr>
      <t>Test-fix-test</t>
    </r>
    <r>
      <rPr>
        <sz val="14"/>
        <color theme="1"/>
        <rFont val="GE Inspira Serif"/>
        <family val="1"/>
      </rPr>
      <t>: All B failures will be fixed during the test (i.e., only A and BC modes).</t>
    </r>
  </si>
  <si>
    <r>
      <t xml:space="preserve">2.       </t>
    </r>
    <r>
      <rPr>
        <i/>
        <sz val="14"/>
        <color theme="1"/>
        <rFont val="GE Inspira Serif"/>
        <family val="1"/>
      </rPr>
      <t>Test-find-test</t>
    </r>
    <r>
      <rPr>
        <sz val="14"/>
        <color theme="1"/>
        <rFont val="GE Inspira Serif"/>
        <family val="1"/>
      </rPr>
      <t>: All B failures fixed after the test (i.e., only A and BD modes).</t>
    </r>
  </si>
  <si>
    <r>
      <t xml:space="preserve">3.       </t>
    </r>
    <r>
      <rPr>
        <i/>
        <sz val="14"/>
        <color theme="1"/>
        <rFont val="GE Inspira Serif"/>
        <family val="1"/>
      </rPr>
      <t>Test-fix-find-test</t>
    </r>
    <r>
      <rPr>
        <sz val="14"/>
        <color theme="1"/>
        <rFont val="GE Inspira Serif"/>
        <family val="1"/>
      </rPr>
      <t>: Some of the type B failures will be fixed during the test while the rest of the type B failures will be fixed after the test (A, BC and BD modes).</t>
    </r>
  </si>
  <si>
    <r>
      <t xml:space="preserve">The </t>
    </r>
    <r>
      <rPr>
        <b/>
        <sz val="14"/>
        <color theme="1"/>
        <rFont val="GE Inspira Serif"/>
        <family val="1"/>
      </rPr>
      <t>“No Delayed Fixes”</t>
    </r>
    <r>
      <rPr>
        <sz val="14"/>
        <color theme="1"/>
        <rFont val="GE Inspira Serif"/>
        <family val="1"/>
      </rPr>
      <t xml:space="preserve"> folio contains the data from a test-fix-test reliability growth test. Since the failures are fixed right away, reliability growth is observed continuously during the test. The MTBF vs. time plot is shown next.</t>
    </r>
  </si>
  <si>
    <r>
      <t xml:space="preserve">The </t>
    </r>
    <r>
      <rPr>
        <b/>
        <sz val="14"/>
        <color theme="1"/>
        <rFont val="GE Inspira Serif"/>
        <family val="1"/>
      </rPr>
      <t>“Delayed Fixes Only”</t>
    </r>
    <r>
      <rPr>
        <sz val="14"/>
        <color theme="1"/>
        <rFont val="GE Inspira Serif"/>
        <family val="1"/>
      </rPr>
      <t xml:space="preserve"> folio contains data from a test-find-test reliability growth test. Since the failures are fixed at the end, </t>
    </r>
  </si>
  <si>
    <r>
      <t>M</t>
    </r>
    <r>
      <rPr>
        <vertAlign val="subscript"/>
        <sz val="14"/>
        <color theme="1"/>
        <rFont val="GE Inspira Serif"/>
        <family val="1"/>
      </rPr>
      <t>c</t>
    </r>
    <r>
      <rPr>
        <sz val="14"/>
        <color theme="1"/>
        <rFont val="GE Inspira Serif"/>
        <family val="1"/>
      </rPr>
      <t xml:space="preserve"> = bT</t>
    </r>
    <r>
      <rPr>
        <vertAlign val="superscript"/>
        <sz val="14"/>
        <color theme="1"/>
        <rFont val="GE Inspira Serif"/>
        <family val="1"/>
      </rPr>
      <t>α</t>
    </r>
  </si>
  <si>
    <r>
      <t>M</t>
    </r>
    <r>
      <rPr>
        <vertAlign val="subscript"/>
        <sz val="14"/>
        <color theme="1"/>
        <rFont val="GE Inspira Serif"/>
        <family val="1"/>
      </rPr>
      <t>c</t>
    </r>
    <r>
      <rPr>
        <sz val="14"/>
        <color theme="1"/>
        <rFont val="GE Inspira Serif"/>
        <family val="1"/>
      </rPr>
      <t xml:space="preserve"> = Cumulative MTBF</t>
    </r>
  </si>
  <si>
    <r>
      <t>M</t>
    </r>
    <r>
      <rPr>
        <vertAlign val="subscript"/>
        <sz val="14"/>
        <color theme="1"/>
        <rFont val="GE Inspira Serif"/>
        <family val="1"/>
      </rPr>
      <t>c</t>
    </r>
    <r>
      <rPr>
        <sz val="14"/>
        <color theme="1"/>
        <rFont val="GE Inspira Serif"/>
        <family val="1"/>
      </rPr>
      <t xml:space="preserve"> [Θ</t>
    </r>
    <r>
      <rPr>
        <vertAlign val="subscript"/>
        <sz val="14"/>
        <color theme="1"/>
        <rFont val="GE Inspira Serif"/>
        <family val="1"/>
      </rPr>
      <t>c</t>
    </r>
    <r>
      <rPr>
        <sz val="14"/>
        <color theme="1"/>
        <rFont val="GE Inspira Serif"/>
        <family val="1"/>
      </rPr>
      <t>]</t>
    </r>
  </si>
  <si>
    <r>
      <t>Instantaneous MTBF (Θ</t>
    </r>
    <r>
      <rPr>
        <vertAlign val="subscript"/>
        <sz val="14"/>
        <color theme="1"/>
        <rFont val="GE Inspira Serif"/>
        <family val="1"/>
      </rPr>
      <t>i</t>
    </r>
    <r>
      <rPr>
        <sz val="14"/>
        <color theme="1"/>
        <rFont val="GE Inspira Serif"/>
        <family val="1"/>
      </rPr>
      <t>) [DMTBF]</t>
    </r>
  </si>
  <si>
    <r>
      <t>Initial failure intensity (λ</t>
    </r>
    <r>
      <rPr>
        <sz val="9.8000000000000007"/>
        <color theme="1"/>
        <rFont val="GE Inspira Serif"/>
        <family val="1"/>
      </rPr>
      <t>)</t>
    </r>
  </si>
  <si>
    <r>
      <t>M</t>
    </r>
    <r>
      <rPr>
        <vertAlign val="subscript"/>
        <sz val="14"/>
        <rFont val="GE Inspira Serif"/>
        <family val="1"/>
      </rPr>
      <t>GP</t>
    </r>
  </si>
  <si>
    <r>
      <t>Mi</t>
    </r>
    <r>
      <rPr>
        <vertAlign val="subscript"/>
        <sz val="14"/>
        <color theme="1"/>
        <rFont val="GE Inspira Serif"/>
        <family val="1"/>
      </rPr>
      <t xml:space="preserve"> / (</t>
    </r>
    <r>
      <rPr>
        <sz val="14"/>
        <color theme="1"/>
        <rFont val="GE Inspira Serif"/>
        <family val="1"/>
      </rPr>
      <t>1-MS x EF)</t>
    </r>
  </si>
  <si>
    <r>
      <t>t</t>
    </r>
    <r>
      <rPr>
        <vertAlign val="subscript"/>
        <sz val="14"/>
        <color theme="1"/>
        <rFont val="GE Inspira Serif"/>
        <family val="1"/>
      </rPr>
      <t>0</t>
    </r>
  </si>
  <si>
    <r>
      <t>(λ</t>
    </r>
    <r>
      <rPr>
        <vertAlign val="subscript"/>
        <sz val="14"/>
        <color theme="1"/>
        <rFont val="GE Inspira Serif"/>
        <family val="1"/>
      </rPr>
      <t xml:space="preserve"> B</t>
    </r>
    <r>
      <rPr>
        <sz val="14"/>
        <color theme="1"/>
        <rFont val="GE Inspira Serif"/>
        <family val="1"/>
      </rPr>
      <t>/ λ . β) ^ (1/β - 1)</t>
    </r>
  </si>
  <si>
    <t>&gt;</t>
  </si>
  <si>
    <t>Example</t>
  </si>
  <si>
    <t>Consider a product that has the following mean life for each stress level:</t>
  </si>
  <si>
    <t>Table 1: Stress vs. Mean Life</t>
  </si>
  <si>
    <t>Stress Level (Temperature K)</t>
  </si>
  <si>
    <t>Mean Life (Hours)</t>
  </si>
  <si>
    <t>The relationship between the stress level and mean life can be described by the Eyring acceleration model:</t>
  </si>
  <si>
    <t>The following columns allow you to evaluate the results of the parameter estimation:</t>
  </si>
  <si>
    <t>© 1992-2018. HBM Prenscia Inc. ALL RIGHTS RESERVED.</t>
  </si>
  <si>
    <t>E-mail Link</t>
  </si>
  <si>
    <t>Life cycle phase</t>
  </si>
  <si>
    <t>Development stage</t>
  </si>
  <si>
    <t>Reliability Process Deliverables</t>
  </si>
  <si>
    <t>Elements of Reliability in the Product Life Cycle</t>
  </si>
  <si>
    <t>Concept</t>
  </si>
  <si>
    <t>Idea</t>
  </si>
  <si>
    <t>Idea definition</t>
  </si>
  <si>
    <t>Concept development</t>
  </si>
  <si>
    <t>Definition of reliability levels</t>
  </si>
  <si>
    <t xml:space="preserve">Preliminary </t>
  </si>
  <si>
    <t>Preliminary reliability requirements and specifications</t>
  </si>
  <si>
    <t>Preliminary reliability estimate</t>
  </si>
  <si>
    <t>Preliminary maintainability estimate</t>
  </si>
  <si>
    <t>Proof of concept</t>
  </si>
  <si>
    <t>Reliability &amp; cost trade studies</t>
  </si>
  <si>
    <t>Preliminary reliability assessment</t>
  </si>
  <si>
    <t>Product definition / unique features</t>
  </si>
  <si>
    <t>Design/Development</t>
  </si>
  <si>
    <t>Product design</t>
  </si>
  <si>
    <t>Component/supplier selection</t>
  </si>
  <si>
    <t>Reliability prediction</t>
  </si>
  <si>
    <t>Reliability allocation / apportionment</t>
  </si>
  <si>
    <t>Failure mode studeis (FMECA, FTA)</t>
  </si>
  <si>
    <t xml:space="preserve">Thermal analysis </t>
  </si>
  <si>
    <t>De-rating analysis</t>
  </si>
  <si>
    <t>Design reliability assessment</t>
  </si>
  <si>
    <t>Prototype / model /simulation</t>
  </si>
  <si>
    <t>Preliminary reliability testing</t>
  </si>
  <si>
    <t>Initial reliability growth testing</t>
  </si>
  <si>
    <t>Internal verification</t>
  </si>
  <si>
    <t>Bench tests</t>
  </si>
  <si>
    <t>Highly Accelerated Life Test (HALT)</t>
  </si>
  <si>
    <t>Accelerated Life Test (ALT)</t>
  </si>
  <si>
    <t>Reliability demonstration test (Life testing)</t>
  </si>
  <si>
    <t>Process design</t>
  </si>
  <si>
    <t>Highly Accelerated Stress Screening (HASS)</t>
  </si>
  <si>
    <t>Process design review</t>
  </si>
  <si>
    <t>Pilot manufacturing</t>
  </si>
  <si>
    <t>Reliability qualification / life testing</t>
  </si>
  <si>
    <t>External verification</t>
  </si>
  <si>
    <t>Field tests</t>
  </si>
  <si>
    <t>Design review</t>
  </si>
  <si>
    <t>Test market report</t>
  </si>
  <si>
    <t>Full-scale manufacturing</t>
  </si>
  <si>
    <t>Reliability acceptance tests</t>
  </si>
  <si>
    <t>Field release</t>
  </si>
  <si>
    <t>Failure analysis reports</t>
  </si>
  <si>
    <t>Warranty cost analysis</t>
  </si>
  <si>
    <t>Service / Improvement</t>
  </si>
  <si>
    <t>Maintenance cost analysis</t>
  </si>
  <si>
    <t>Optimum maintenance interval</t>
  </si>
  <si>
    <t>End of life</t>
  </si>
  <si>
    <t>Market discontinuation</t>
  </si>
  <si>
    <t>Market phase-out plan</t>
  </si>
  <si>
    <t>Setting RAM Requirements</t>
  </si>
  <si>
    <t>Task number</t>
  </si>
  <si>
    <t>Category # 1 [ High risk ]</t>
  </si>
  <si>
    <t>Category # 2 [ Significant risk ]</t>
  </si>
  <si>
    <t>Category # 3 [Moderate risk]</t>
  </si>
  <si>
    <t>Category #4 [Minimum risk]</t>
  </si>
  <si>
    <t>Contract fullfilment</t>
  </si>
  <si>
    <t>Product development task [Execution related task]</t>
  </si>
  <si>
    <t>Contractual review task [ Non-execution related task]</t>
  </si>
  <si>
    <t>Procedures, methods &amp; training</t>
  </si>
  <si>
    <t>Non-execution related task</t>
  </si>
  <si>
    <t>Facilitate and execute FMECAs</t>
  </si>
  <si>
    <t xml:space="preserve">Create reliability demonstration, growth, HALT and accelerated life test plans </t>
  </si>
  <si>
    <t>Develop and deliver training on RAM tools</t>
  </si>
  <si>
    <t>Cost legend</t>
  </si>
  <si>
    <t>No cost ($)</t>
  </si>
  <si>
    <t>Variable cost ($)</t>
  </si>
  <si>
    <t>Fixed cost ($)</t>
  </si>
  <si>
    <t>Total number of tasks</t>
  </si>
  <si>
    <t xml:space="preserve">Total of tasks with fixed cost </t>
  </si>
  <si>
    <t xml:space="preserve">Total of tasks with variable cost </t>
  </si>
  <si>
    <r>
      <rPr>
        <b/>
        <sz val="14"/>
        <color theme="1"/>
        <rFont val="GE Inspira Book"/>
        <family val="2"/>
      </rPr>
      <t>Fixed cost</t>
    </r>
    <r>
      <rPr>
        <sz val="14"/>
        <color theme="1"/>
        <rFont val="GE Inspira Book"/>
        <family val="2"/>
      </rPr>
      <t xml:space="preserve"> tasks %</t>
    </r>
  </si>
  <si>
    <r>
      <rPr>
        <b/>
        <sz val="14"/>
        <color theme="1"/>
        <rFont val="GE Inspira Book"/>
        <family val="2"/>
      </rPr>
      <t>Variable cost</t>
    </r>
    <r>
      <rPr>
        <sz val="14"/>
        <color theme="1"/>
        <rFont val="GE Inspira Book"/>
        <family val="2"/>
      </rPr>
      <t xml:space="preserve"> tasks %</t>
    </r>
  </si>
  <si>
    <t>Develop reliability procedures</t>
  </si>
  <si>
    <t xml:space="preserve">Write reliability reports </t>
  </si>
  <si>
    <t>Reliability program planning</t>
  </si>
  <si>
    <t>Manage reliability program scorecard</t>
  </si>
  <si>
    <t xml:space="preserve">Reliability predictions </t>
  </si>
  <si>
    <t>System reliability analyses [RAM analysis; reliability allocation]</t>
  </si>
  <si>
    <t xml:space="preserve">Analyze accelerated life test, reliability demsonstration test &amp; field data </t>
  </si>
  <si>
    <t>Percentage allocation</t>
  </si>
  <si>
    <t>RCA of test &amp; field failures</t>
  </si>
  <si>
    <t xml:space="preserve">Non-execution </t>
  </si>
  <si>
    <t>Procedures &amp; training</t>
  </si>
  <si>
    <t xml:space="preserve">RAM task </t>
  </si>
  <si>
    <t>Product development [Execution]</t>
  </si>
  <si>
    <t>Physics of Failure (PoF)Methods</t>
  </si>
  <si>
    <t>Objective of PoF method is to predict when a specific end of life failure mechanism will occur for an individual component or interconnect in a specific application.</t>
  </si>
  <si>
    <t xml:space="preserve">PoF method looks at each individual failure mechanism such as metal fatigue, electromigration, solder joint cracking, wirebond adhesion, etc to estimate the </t>
  </si>
  <si>
    <t xml:space="preserve">probability of component failure within the expected life of the product. </t>
  </si>
  <si>
    <t>PoF method requires detailed knowledge of material characteristics, geometries, environmental and induced loads</t>
  </si>
  <si>
    <t>The calculations involve understanding of stresses applied to the part, types of failure mechanisms they would be causing and the appropriate model</t>
  </si>
  <si>
    <t>to calculate the expected life to a failure caused by the particular failure mechanism.</t>
  </si>
  <si>
    <t>Basic approach to Reliability Physics Analysis</t>
  </si>
  <si>
    <t>Step</t>
  </si>
  <si>
    <t>Discussion</t>
  </si>
  <si>
    <t>Length of time or number of cycles expected or needed for both operating &amp; nonoperating periods should be determined</t>
  </si>
  <si>
    <t>Define the operating and nonoperating life requirements</t>
  </si>
  <si>
    <t>Define the life environmnet</t>
  </si>
  <si>
    <t>Temperature, humidity, vibration and other parameters should be determined so that the load environment can be quantified and cycle rates determined.</t>
  </si>
  <si>
    <t>Identify the material properties</t>
  </si>
  <si>
    <t>Usually this involves determining material characteristics from a published handbook. If unique materials are being considered, then special test programs will be necessary</t>
  </si>
  <si>
    <t>Identify potential failure sites</t>
  </si>
  <si>
    <t>Failure areas are usually assumed to fall into categories of new materials, products or technologies. Considerations should include high deflection regions, high temperature cycling regions, high thermal expansion materials, corrosive sensitive items, and test failures</t>
  </si>
  <si>
    <t>Determine if a failure will occur within the time or number of cycles expected</t>
  </si>
  <si>
    <t>A detailed stress analysis using either a closed form or finite element simulation should be performed. Either analysis will result in a quantifiable mechanical stress for each potential failure site</t>
  </si>
  <si>
    <t>Calculate component or process life</t>
  </si>
  <si>
    <t>EXAMPLE OF A PINION RELIABILITY ANALYSIS</t>
  </si>
  <si>
    <t>Parameters and Calculations</t>
  </si>
  <si>
    <t>1. Identify the pinion life characteristics</t>
  </si>
  <si>
    <t>L10 (revolutions)</t>
  </si>
  <si>
    <t>β (Shaper parameter)</t>
  </si>
  <si>
    <t>Speed (revolutions / hour)</t>
  </si>
  <si>
    <t>2. Convert L10 revolutions to hours</t>
  </si>
  <si>
    <t>L10 (Hours) = L10 Revolutions / Revolutions per hour</t>
  </si>
  <si>
    <t>3. Determine the charateristic life using the Weibull reliability function</t>
  </si>
  <si>
    <t>Where:</t>
  </si>
  <si>
    <t>t = time in hours</t>
  </si>
  <si>
    <t>R (t) = 0.9 at 5,000 hours</t>
  </si>
  <si>
    <t>Failures per hour</t>
  </si>
  <si>
    <t>Baseline system Reliability</t>
  </si>
  <si>
    <t>Required System Reliability</t>
  </si>
  <si>
    <t>Operating time (hours)</t>
  </si>
  <si>
    <t xml:space="preserve">Baseline Reliability Prediction </t>
  </si>
  <si>
    <t>Subsystem</t>
  </si>
  <si>
    <t>Average weight</t>
  </si>
  <si>
    <t>Baseline failure rate per hour</t>
  </si>
  <si>
    <t>Baseline MTBF (hours)</t>
  </si>
  <si>
    <t>Propulsion</t>
  </si>
  <si>
    <t>Ordnance</t>
  </si>
  <si>
    <t>Guidance</t>
  </si>
  <si>
    <t>Flight control</t>
  </si>
  <si>
    <t>Structure</t>
  </si>
  <si>
    <t>Auxiliary power</t>
  </si>
  <si>
    <t>Baseline Reliability Allocation</t>
  </si>
  <si>
    <t>Sliding Value (SV) in Blocksim</t>
  </si>
  <si>
    <t>Allocated failure rate per hour</t>
  </si>
  <si>
    <t>Allocated reliability</t>
  </si>
  <si>
    <t>Allocated MTBF (hours)</t>
  </si>
  <si>
    <t>Blocksim allocated MTBF (hours)</t>
  </si>
  <si>
    <t>Blocksim allocated failure rate per hour</t>
  </si>
  <si>
    <t>MTBF difference Δ</t>
  </si>
  <si>
    <t>Blocksim allocated reliability</t>
  </si>
  <si>
    <t>Test sample size</t>
  </si>
  <si>
    <t>% Difference</t>
  </si>
  <si>
    <t>Baseline faliure rate (λs)</t>
  </si>
  <si>
    <t>Required operating time (hours)</t>
  </si>
  <si>
    <t>Baseline Reliability</t>
  </si>
  <si>
    <t>Sub-system</t>
  </si>
  <si>
    <t>System Intricacy</t>
  </si>
  <si>
    <t>State of Art</t>
  </si>
  <si>
    <t>Performance time</t>
  </si>
  <si>
    <t>Environment</t>
  </si>
  <si>
    <t>Average weighing factor</t>
  </si>
  <si>
    <t>Overall rating</t>
  </si>
  <si>
    <t>Complexity factor</t>
  </si>
  <si>
    <t>Allocated baseline failure rate</t>
  </si>
  <si>
    <t>Allocated baseline MTBF</t>
  </si>
  <si>
    <t xml:space="preserve">Pressure transducer </t>
  </si>
  <si>
    <t>SEM A</t>
  </si>
  <si>
    <t>Bi-stable DCV</t>
  </si>
  <si>
    <t>Mono-stable DCV</t>
  </si>
  <si>
    <t>BPV</t>
  </si>
  <si>
    <t>SV</t>
  </si>
  <si>
    <t>Θ = mean time to failure</t>
  </si>
  <si>
    <t>β = Weibull slope of 3.0</t>
  </si>
  <si>
    <t>4. Compute the failure rate λ (t) for 1.500 hours</t>
  </si>
  <si>
    <r>
      <t>R (t) =exp [-t / η]</t>
    </r>
    <r>
      <rPr>
        <vertAlign val="superscript"/>
        <sz val="11"/>
        <color theme="1"/>
        <rFont val="GE Inspira Book"/>
        <family val="2"/>
      </rPr>
      <t>β</t>
    </r>
  </si>
  <si>
    <r>
      <t xml:space="preserve">η = t / [ -ln R ] </t>
    </r>
    <r>
      <rPr>
        <vertAlign val="superscript"/>
        <sz val="11"/>
        <color theme="1"/>
        <rFont val="GE Inspira Book"/>
        <family val="2"/>
      </rPr>
      <t>1/ β</t>
    </r>
  </si>
  <si>
    <r>
      <t xml:space="preserve">λ (t) = H (t) = t </t>
    </r>
    <r>
      <rPr>
        <vertAlign val="superscript"/>
        <sz val="11"/>
        <color theme="1"/>
        <rFont val="GE Inspira Book"/>
        <family val="2"/>
      </rPr>
      <t>β -1</t>
    </r>
    <r>
      <rPr>
        <sz val="11"/>
        <color theme="1"/>
        <rFont val="GE Inspira Book"/>
        <family val="2"/>
      </rPr>
      <t xml:space="preserve"> / η </t>
    </r>
    <r>
      <rPr>
        <vertAlign val="superscript"/>
        <sz val="11"/>
        <color theme="1"/>
        <rFont val="GE Inspira Book"/>
        <family val="2"/>
      </rPr>
      <t>β</t>
    </r>
  </si>
  <si>
    <r>
      <t>failures per 10</t>
    </r>
    <r>
      <rPr>
        <vertAlign val="superscript"/>
        <sz val="11"/>
        <color theme="1"/>
        <rFont val="GE Inspira Book"/>
        <family val="2"/>
      </rPr>
      <t xml:space="preserve">6 </t>
    </r>
    <r>
      <rPr>
        <sz val="11"/>
        <color theme="1"/>
        <rFont val="GE Inspira Book"/>
        <family val="2"/>
      </rPr>
      <t>hours</t>
    </r>
  </si>
  <si>
    <t>Labor availability (g2):</t>
  </si>
  <si>
    <t>Variable Cells</t>
  </si>
  <si>
    <t>Cell</t>
  </si>
  <si>
    <t>Name</t>
  </si>
  <si>
    <t>Constraints</t>
  </si>
  <si>
    <t>$B$3</t>
  </si>
  <si>
    <t>$B$4</t>
  </si>
  <si>
    <t>Microsoft Excel 16.0 Answer Report</t>
  </si>
  <si>
    <t>Result: Solver found a solution.  All Constraints and optimality conditions are satisfied.</t>
  </si>
  <si>
    <t>Solver Engine</t>
  </si>
  <si>
    <t>Engine: GRG Nonlinear</t>
  </si>
  <si>
    <t>Iterations: 0 Subproblems: 0</t>
  </si>
  <si>
    <t>Solver Options</t>
  </si>
  <si>
    <t>Max Time Unlimited,  Iterations Unlimited, Precision 0.000001, Use Automatic Scaling</t>
  </si>
  <si>
    <t xml:space="preserve"> Convergence 0.0001, Population Size 100, Random Seed 0, Derivatives Forward, Require Bounds</t>
  </si>
  <si>
    <t>Max Subproblems Unlimited, Max Integer Sols Unlimited, Integer Tolerance 1%, Assume NonNegative</t>
  </si>
  <si>
    <t>Objective Cell (Max)</t>
  </si>
  <si>
    <t>Original Value</t>
  </si>
  <si>
    <t>Final Value</t>
  </si>
  <si>
    <t>Integer</t>
  </si>
  <si>
    <t>Cell Value</t>
  </si>
  <si>
    <t>Formula</t>
  </si>
  <si>
    <t>Status</t>
  </si>
  <si>
    <t>Slack</t>
  </si>
  <si>
    <t>$B$6</t>
  </si>
  <si>
    <t>Contin</t>
  </si>
  <si>
    <t>Not Binding</t>
  </si>
  <si>
    <t>Binding</t>
  </si>
  <si>
    <t>$B$3&gt;=0</t>
  </si>
  <si>
    <t>X1</t>
  </si>
  <si>
    <t>X2</t>
  </si>
  <si>
    <t>Y</t>
  </si>
  <si>
    <t>Distance (cm)</t>
  </si>
  <si>
    <t>Force (N)</t>
  </si>
  <si>
    <t>SUMMARY OUTPUT</t>
  </si>
  <si>
    <t>Regression Statistics</t>
  </si>
  <si>
    <t>Multiple R</t>
  </si>
  <si>
    <t>R Square</t>
  </si>
  <si>
    <t>Adjusted R Square</t>
  </si>
  <si>
    <t>Standard Error</t>
  </si>
  <si>
    <t>Observations</t>
  </si>
  <si>
    <t>ANOVA</t>
  </si>
  <si>
    <t>Regression</t>
  </si>
  <si>
    <t>Residual</t>
  </si>
  <si>
    <t>Intercept</t>
  </si>
  <si>
    <t>df</t>
  </si>
  <si>
    <t>SS</t>
  </si>
  <si>
    <t>MS</t>
  </si>
  <si>
    <t>Significance F</t>
  </si>
  <si>
    <t>Coefficients</t>
  </si>
  <si>
    <t>t Stat</t>
  </si>
  <si>
    <t>P-value</t>
  </si>
  <si>
    <t>Lower 95%</t>
  </si>
  <si>
    <t>Upper 95%</t>
  </si>
  <si>
    <t>Lower 95.0%</t>
  </si>
  <si>
    <t>Upper 95.0%</t>
  </si>
  <si>
    <t>X Variable 1</t>
  </si>
  <si>
    <t>RESIDUAL OUTPUT</t>
  </si>
  <si>
    <t>Observation</t>
  </si>
  <si>
    <t>Predicted Y</t>
  </si>
  <si>
    <t>Residuals</t>
  </si>
  <si>
    <t>Standard Residuals</t>
  </si>
  <si>
    <t>PROBABILITY OUTPUT</t>
  </si>
  <si>
    <t>Percentile</t>
  </si>
  <si>
    <t>ANOVA Table</t>
  </si>
  <si>
    <t>Source of Variation</t>
  </si>
  <si>
    <t>Degrees of Freedom</t>
  </si>
  <si>
    <t>Sum of Squares [Partial]</t>
  </si>
  <si>
    <t>Mean Squares [Partial]</t>
  </si>
  <si>
    <t>F Ratio</t>
  </si>
  <si>
    <t>P Value</t>
  </si>
  <si>
    <t xml:space="preserve">   Main Effects</t>
  </si>
  <si>
    <t xml:space="preserve">   Lack of Fit</t>
  </si>
  <si>
    <t>S =</t>
  </si>
  <si>
    <t>PRESS =</t>
  </si>
  <si>
    <t>R-sq =</t>
  </si>
  <si>
    <t>R-sq(pred) =</t>
  </si>
  <si>
    <t>R-sq(adj) =</t>
  </si>
  <si>
    <t>Regression Table</t>
  </si>
  <si>
    <t>Regression Information</t>
  </si>
  <si>
    <t>Term</t>
  </si>
  <si>
    <t>Effect</t>
  </si>
  <si>
    <t>Coefficient</t>
  </si>
  <si>
    <t>Low Confidence</t>
  </si>
  <si>
    <t>High Confidence</t>
  </si>
  <si>
    <t>T Value</t>
  </si>
  <si>
    <t>Distance</t>
  </si>
  <si>
    <t>Regression Equation</t>
  </si>
  <si>
    <t>Response</t>
  </si>
  <si>
    <t>Force</t>
  </si>
  <si>
    <t>Units</t>
  </si>
  <si>
    <t>Additional Settings</t>
  </si>
  <si>
    <t>Transform</t>
  </si>
  <si>
    <t>Y' = Y</t>
  </si>
  <si>
    <t>Risk Level</t>
  </si>
  <si>
    <t>Significant Terms</t>
  </si>
  <si>
    <t>Equation</t>
  </si>
  <si>
    <t>Force =</t>
  </si>
  <si>
    <t>ID</t>
  </si>
  <si>
    <t>Ti</t>
  </si>
  <si>
    <t>Acceptance Value</t>
  </si>
  <si>
    <t>Rejection Value</t>
  </si>
  <si>
    <t>Decision</t>
  </si>
  <si>
    <t>Reject</t>
  </si>
  <si>
    <t>Continue</t>
  </si>
  <si>
    <t>Rejection / Acceptance Equations:</t>
  </si>
  <si>
    <t>Rejection:</t>
  </si>
  <si>
    <t>n.21313.7-71045.2</t>
  </si>
  <si>
    <t>Acceptance</t>
  </si>
  <si>
    <t>Maximum Profit Production Schedule</t>
  </si>
  <si>
    <t>Units of A mfg. per month (X1):</t>
  </si>
  <si>
    <t>Units of B mfg. per month (X2):</t>
  </si>
  <si>
    <t xml:space="preserve">Profit (Y): </t>
  </si>
  <si>
    <t>Minimum production requirement (g1):</t>
  </si>
  <si>
    <t>Worksheet: [DFR Reliasoft Toolbox.xlsm]Linear Optimization</t>
  </si>
  <si>
    <t>$E$6</t>
  </si>
  <si>
    <t>$E$3</t>
  </si>
  <si>
    <t>$E$4</t>
  </si>
  <si>
    <t>$E$7</t>
  </si>
  <si>
    <t>$E$7&gt;=1000</t>
  </si>
  <si>
    <t>$E$8</t>
  </si>
  <si>
    <t>$E$8&lt;=8000</t>
  </si>
  <si>
    <t>$E$3&gt;=0</t>
  </si>
  <si>
    <t>$E$4&gt;=0</t>
  </si>
  <si>
    <t>Equation;</t>
  </si>
  <si>
    <t>Constraints:</t>
  </si>
  <si>
    <t>Worksheet: [DFR Reliasoft Toolbox.xlsm]Linear Optimization 2</t>
  </si>
  <si>
    <t>Iterations: 3 Subproblems: 0</t>
  </si>
  <si>
    <t>Objective Cell (Min)</t>
  </si>
  <si>
    <t>$B$1</t>
  </si>
  <si>
    <t>$B$2</t>
  </si>
  <si>
    <t>$B$6&gt;=10</t>
  </si>
  <si>
    <t>$B$7</t>
  </si>
  <si>
    <t>$B$7&lt;=1.25</t>
  </si>
  <si>
    <t>$B$1&gt;=0</t>
  </si>
  <si>
    <t>$B$2&gt;=0</t>
  </si>
  <si>
    <t>Report Created: 9/18/2018 10:59:27 PM</t>
  </si>
  <si>
    <t>Engine: Simplex LP</t>
  </si>
  <si>
    <t>Solution Time: 0.032 Seconds.</t>
  </si>
  <si>
    <t>Report Created: 9/18/2018 10:59:52 PM</t>
  </si>
  <si>
    <t>Solution Time: 0.016 Seconds.</t>
  </si>
  <si>
    <t>Y:</t>
  </si>
  <si>
    <t>Worksheet: [DFR Reliasoft Toolbox.xlsm]Non-linear optimization II</t>
  </si>
  <si>
    <t>Report Created: 9/18/2018 11:07:17 PM</t>
  </si>
  <si>
    <t>Solution Time: 0.047 Seconds.</t>
  </si>
  <si>
    <t>$B$5</t>
  </si>
  <si>
    <t>$B$7&gt;=12</t>
  </si>
  <si>
    <t>The benefits and uses of reliability predictions are as follows:</t>
  </si>
  <si>
    <t>2. To assess Technology Readiness Level (TRL) of the system</t>
  </si>
  <si>
    <t>3. To identify overstressed parts</t>
  </si>
  <si>
    <t>4. To determine the dependency on the failure rate of various stress changes, such as temperature, voltage, frequency, and othe parameters</t>
  </si>
  <si>
    <t>5. To measure the effectiveness of the manufacturing process by comparing actual field reliability with the predicted reliability</t>
  </si>
  <si>
    <t>6. To determine whether a MTBF specification is achievable</t>
  </si>
  <si>
    <t>1. To evaluate alternative designs and design approaches that meet the reliability and availability requirement</t>
  </si>
  <si>
    <t xml:space="preserve">7. To predict the reliability, mean life, B10 life </t>
  </si>
  <si>
    <t xml:space="preserve">8. Reliability predictions help assess the effect of product reliability on the maintenance activity and on the quantity of spare units </t>
  </si>
  <si>
    <t xml:space="preserve">required for acceptable field performance of any particular system. For example, predictions of the frequency of unit level </t>
  </si>
  <si>
    <t>maintenance actions can be obtained. Often, fewer spares are needed when a prediction is made.</t>
  </si>
  <si>
    <t>9. Reliability predictions provide necessary input to system-level reliability models.</t>
  </si>
  <si>
    <t>System reliability models can subsequently be used to predict , for example, system reliability, availability, MTBF, MTTF, frequency of system outages,</t>
  </si>
  <si>
    <t>expected downtime per year, B10 life.</t>
  </si>
  <si>
    <t>10. Reliabilty predictions provide necessary input to unit and system-level Life Cycle Cost (LCC) analysis.</t>
  </si>
  <si>
    <t>LCC studies determine the cost of a product over its entire life.Therefore, it needs to know how often a unit will have to be replaced.</t>
  </si>
  <si>
    <t>Input to this process include components and system failure rates and repair rate. This includes how often units and systems fail during</t>
  </si>
  <si>
    <t>the first year of operation as well as in later years.</t>
  </si>
  <si>
    <t>11. Reliability predictions assist in deciding which product to purchase from a list of competing products.</t>
  </si>
  <si>
    <t>As a result, it is essential that reliability predictions be based on a common procedure.</t>
  </si>
  <si>
    <t>12. Reliability predictions can be used to set factory test standards for products requiring a reliability test.</t>
  </si>
  <si>
    <t>Reliability predictions help determine how often the system should fail.</t>
  </si>
  <si>
    <t xml:space="preserve">13. Reliability prediction is needed as input to the analysis of complex systems like switiching systems </t>
  </si>
  <si>
    <t>and digital cross-connect systems. It is necessary to know how often different parts of the system are going to fail even for redundant components.</t>
  </si>
  <si>
    <t xml:space="preserve">14. Reliability prediction can be used in design trad-off studies. For example, a supplier could look at a design with many simple devices and compare </t>
  </si>
  <si>
    <t>it to a design with fewer devices that are newer but more complex. The unit with fewer devices is more reliable.</t>
  </si>
  <si>
    <t>15. Reliability prediction can be used to asses baseline reliability and allocate reliability requirements to the components to meet the system reliability goal</t>
  </si>
  <si>
    <t>A=</t>
  </si>
  <si>
    <t>B=</t>
  </si>
  <si>
    <t>A-B=</t>
  </si>
  <si>
    <t>A + B=</t>
  </si>
  <si>
    <t>3A=</t>
  </si>
  <si>
    <t>P=</t>
  </si>
  <si>
    <t>Student</t>
  </si>
  <si>
    <t>Davis</t>
  </si>
  <si>
    <t>Graham</t>
  </si>
  <si>
    <t>Jones</t>
  </si>
  <si>
    <t>Meyers</t>
  </si>
  <si>
    <t>Richardson</t>
  </si>
  <si>
    <t>Thomas</t>
  </si>
  <si>
    <t>Williams</t>
  </si>
  <si>
    <t>Exam 1</t>
  </si>
  <si>
    <t>Exam 2</t>
  </si>
  <si>
    <t>Final Exam</t>
  </si>
  <si>
    <t>Overall Score</t>
  </si>
  <si>
    <t>Average</t>
  </si>
  <si>
    <t>Comparision 2</t>
  </si>
  <si>
    <t>Comparision 1</t>
  </si>
  <si>
    <t>R (50)</t>
  </si>
  <si>
    <t>n</t>
  </si>
  <si>
    <t>r</t>
  </si>
  <si>
    <r>
      <t>Active generator, λ</t>
    </r>
    <r>
      <rPr>
        <vertAlign val="subscript"/>
        <sz val="12"/>
        <color theme="1"/>
        <rFont val="GE Inspira Serif"/>
        <family val="1"/>
      </rPr>
      <t xml:space="preserve">a </t>
    </r>
    <r>
      <rPr>
        <sz val="12"/>
        <color theme="1"/>
        <rFont val="GE Inspira Serif"/>
        <family val="1"/>
      </rPr>
      <t>(failures / hour)</t>
    </r>
  </si>
  <si>
    <r>
      <t>Standby generator, λ</t>
    </r>
    <r>
      <rPr>
        <vertAlign val="subscript"/>
        <sz val="12"/>
        <color theme="1"/>
        <rFont val="GE Inspira Serif"/>
        <family val="1"/>
      </rPr>
      <t xml:space="preserve">b </t>
    </r>
    <r>
      <rPr>
        <sz val="12"/>
        <color theme="1"/>
        <rFont val="GE Inspira Serif"/>
        <family val="1"/>
      </rPr>
      <t>(failures / hour)</t>
    </r>
  </si>
  <si>
    <r>
      <t>Active generator, MTBF</t>
    </r>
    <r>
      <rPr>
        <vertAlign val="subscript"/>
        <sz val="12"/>
        <color theme="1"/>
        <rFont val="GE Inspira Serif"/>
        <family val="1"/>
      </rPr>
      <t>a</t>
    </r>
  </si>
  <si>
    <r>
      <t>Standby generator, MTBF</t>
    </r>
    <r>
      <rPr>
        <vertAlign val="subscript"/>
        <sz val="12"/>
        <color theme="1"/>
        <rFont val="GE Inspira Serif"/>
        <family val="1"/>
      </rPr>
      <t>b</t>
    </r>
  </si>
  <si>
    <t>Probability of switching</t>
  </si>
  <si>
    <t>CTDT</t>
  </si>
  <si>
    <r>
      <t>R</t>
    </r>
    <r>
      <rPr>
        <vertAlign val="subscript"/>
        <sz val="12"/>
        <color theme="1"/>
        <rFont val="GE Inspira Serif"/>
        <family val="1"/>
      </rPr>
      <t xml:space="preserve">system </t>
    </r>
    <r>
      <rPr>
        <sz val="12"/>
        <color theme="1"/>
        <rFont val="GE Inspira Serif"/>
        <family val="1"/>
      </rPr>
      <t>(8,760)</t>
    </r>
  </si>
  <si>
    <r>
      <t xml:space="preserve">PSM </t>
    </r>
    <r>
      <rPr>
        <vertAlign val="subscript"/>
        <sz val="12"/>
        <color theme="1"/>
        <rFont val="GE Inspira Serif"/>
        <family val="1"/>
      </rPr>
      <t>1</t>
    </r>
  </si>
  <si>
    <r>
      <t xml:space="preserve">R </t>
    </r>
    <r>
      <rPr>
        <vertAlign val="subscript"/>
        <sz val="12"/>
        <color theme="1"/>
        <rFont val="GE Inspira Sans"/>
        <family val="2"/>
      </rPr>
      <t>2 out of 4</t>
    </r>
  </si>
  <si>
    <r>
      <t xml:space="preserve">R </t>
    </r>
    <r>
      <rPr>
        <vertAlign val="subscript"/>
        <sz val="12"/>
        <color theme="1"/>
        <rFont val="GE Inspira Sans"/>
        <family val="2"/>
      </rPr>
      <t>3 out of 4</t>
    </r>
  </si>
  <si>
    <r>
      <t>R 4</t>
    </r>
    <r>
      <rPr>
        <vertAlign val="subscript"/>
        <sz val="12"/>
        <color theme="1"/>
        <rFont val="GE Inspira Sans"/>
        <family val="2"/>
      </rPr>
      <t xml:space="preserve"> out of 4</t>
    </r>
  </si>
  <si>
    <r>
      <t xml:space="preserve">R </t>
    </r>
    <r>
      <rPr>
        <vertAlign val="subscript"/>
        <sz val="12"/>
        <color theme="1"/>
        <rFont val="GE Inspira Sans"/>
        <family val="2"/>
      </rPr>
      <t>system</t>
    </r>
  </si>
  <si>
    <t>55336.62+n21313.7</t>
  </si>
  <si>
    <t>Device cost</t>
  </si>
  <si>
    <t>Failure consequence</t>
  </si>
  <si>
    <t>Device Reliability; R (1)</t>
  </si>
  <si>
    <t>Number of instruments</t>
  </si>
  <si>
    <t>Reliability (%)</t>
  </si>
  <si>
    <t>Risk per year</t>
  </si>
  <si>
    <t>Capital cost</t>
  </si>
  <si>
    <t>NPV</t>
  </si>
  <si>
    <t>Labor Cost(t)</t>
  </si>
  <si>
    <t>Part Cost(t)</t>
  </si>
  <si>
    <t>Total Cost(t)</t>
  </si>
  <si>
    <t>System Failures(t)</t>
  </si>
  <si>
    <t>Time (day)</t>
  </si>
  <si>
    <t>A(t)</t>
  </si>
  <si>
    <t>R(t)</t>
  </si>
  <si>
    <t>(1-A(t))%</t>
  </si>
  <si>
    <t>(1-R(t))%</t>
  </si>
  <si>
    <t>Mean A(t)</t>
  </si>
  <si>
    <t>Mean A(t[i] - t[i-1])</t>
  </si>
  <si>
    <t>CM Events</t>
  </si>
  <si>
    <t>Cost of failure:</t>
  </si>
  <si>
    <t>Parts cost</t>
  </si>
  <si>
    <t>Labor cost</t>
  </si>
  <si>
    <t>Corrective maintenance cost</t>
  </si>
  <si>
    <t>localization</t>
  </si>
  <si>
    <t>Isolation</t>
  </si>
  <si>
    <t>Diasassembly</t>
  </si>
  <si>
    <t>Reassembly</t>
  </si>
  <si>
    <t>Alignment</t>
  </si>
  <si>
    <t>Checkout</t>
  </si>
  <si>
    <t xml:space="preserve">Cost of reliability modelling / allocation is defined by </t>
  </si>
  <si>
    <t>Where</t>
  </si>
  <si>
    <r>
      <t>C</t>
    </r>
    <r>
      <rPr>
        <i/>
        <vertAlign val="subscript"/>
        <sz val="11"/>
        <color theme="1"/>
        <rFont val="GE Inspira Book"/>
        <family val="2"/>
      </rPr>
      <t xml:space="preserve">m/a </t>
    </r>
    <r>
      <rPr>
        <i/>
        <sz val="11"/>
        <color theme="1"/>
        <rFont val="GE Inspira Book"/>
        <family val="2"/>
      </rPr>
      <t>is the cost of reliability modelling / allocation</t>
    </r>
  </si>
  <si>
    <r>
      <t xml:space="preserve">C </t>
    </r>
    <r>
      <rPr>
        <i/>
        <vertAlign val="subscript"/>
        <sz val="11"/>
        <color theme="1"/>
        <rFont val="GE Inspira Book"/>
        <family val="2"/>
      </rPr>
      <t>m/a</t>
    </r>
    <r>
      <rPr>
        <i/>
        <sz val="11"/>
        <color theme="1"/>
        <rFont val="GE Inspira Book"/>
        <family val="2"/>
      </rPr>
      <t xml:space="preserve"> = </t>
    </r>
  </si>
  <si>
    <r>
      <t>(C</t>
    </r>
    <r>
      <rPr>
        <i/>
        <vertAlign val="subscript"/>
        <sz val="11"/>
        <color theme="1"/>
        <rFont val="GE Inspira Book"/>
        <family val="2"/>
      </rPr>
      <t>mhr</t>
    </r>
    <r>
      <rPr>
        <i/>
        <sz val="11"/>
        <color theme="1"/>
        <rFont val="GE Inspira Book"/>
        <family val="2"/>
      </rPr>
      <t>)(MH</t>
    </r>
    <r>
      <rPr>
        <i/>
        <vertAlign val="subscript"/>
        <sz val="11"/>
        <color theme="1"/>
        <rFont val="GE Inspira Book"/>
        <family val="2"/>
      </rPr>
      <t>r</t>
    </r>
    <r>
      <rPr>
        <i/>
        <sz val="11"/>
        <color theme="1"/>
        <rFont val="GE Inspira Book"/>
        <family val="2"/>
      </rPr>
      <t>)</t>
    </r>
  </si>
  <si>
    <r>
      <t>C</t>
    </r>
    <r>
      <rPr>
        <i/>
        <vertAlign val="subscript"/>
        <sz val="11"/>
        <color theme="1"/>
        <rFont val="GE Inspira Book"/>
        <family val="2"/>
      </rPr>
      <t xml:space="preserve">mhr </t>
    </r>
    <r>
      <rPr>
        <i/>
        <sz val="11"/>
        <color theme="1"/>
        <rFont val="GE Inspira Book"/>
        <family val="2"/>
      </rPr>
      <t>is the cost per hour of performing reliability modelling/allocation</t>
    </r>
  </si>
  <si>
    <r>
      <t>MH</t>
    </r>
    <r>
      <rPr>
        <i/>
        <vertAlign val="subscript"/>
        <sz val="11"/>
        <color theme="1"/>
        <rFont val="GE Inspira Book"/>
        <family val="2"/>
      </rPr>
      <t xml:space="preserve">r </t>
    </r>
    <r>
      <rPr>
        <i/>
        <sz val="11"/>
        <color theme="1"/>
        <rFont val="GE Inspira Book"/>
        <family val="2"/>
      </rPr>
      <t>is the total number of hours required for performing reliability modelling /allocation</t>
    </r>
  </si>
  <si>
    <r>
      <t>The total number of hours, MH</t>
    </r>
    <r>
      <rPr>
        <i/>
        <vertAlign val="subscript"/>
        <sz val="11"/>
        <color theme="1"/>
        <rFont val="GE Inspira Book"/>
        <family val="2"/>
      </rPr>
      <t>r</t>
    </r>
    <r>
      <rPr>
        <i/>
        <sz val="11"/>
        <color theme="1"/>
        <rFont val="GE Inspira Book"/>
        <family val="2"/>
      </rPr>
      <t>, is given by</t>
    </r>
  </si>
  <si>
    <r>
      <t>MH</t>
    </r>
    <r>
      <rPr>
        <i/>
        <vertAlign val="subscript"/>
        <sz val="11"/>
        <color theme="1"/>
        <rFont val="GE Inspira Book"/>
        <family val="2"/>
      </rPr>
      <t>r=</t>
    </r>
  </si>
  <si>
    <r>
      <t>(4.05)</t>
    </r>
    <r>
      <rPr>
        <sz val="11"/>
        <color theme="1"/>
        <rFont val="GE Inspira Pitch"/>
        <family val="2"/>
      </rPr>
      <t>α</t>
    </r>
    <r>
      <rPr>
        <i/>
        <vertAlign val="superscript"/>
        <sz val="11"/>
        <color theme="1"/>
        <rFont val="GE Inspira Book"/>
        <family val="2"/>
      </rPr>
      <t>2</t>
    </r>
    <r>
      <rPr>
        <sz val="11"/>
        <color theme="1"/>
        <rFont val="GE Inspira Pitch"/>
        <family val="2"/>
      </rPr>
      <t>β</t>
    </r>
  </si>
  <si>
    <t xml:space="preserve">Interest rate </t>
  </si>
  <si>
    <t>Failure rate per hour (λ)</t>
  </si>
  <si>
    <t>Useful operating life (years)</t>
  </si>
  <si>
    <t>Failure rate per year (λ)</t>
  </si>
  <si>
    <t>Probability of failure</t>
  </si>
  <si>
    <t>Cost of failure</t>
  </si>
  <si>
    <t xml:space="preserve">Expected cost of failure </t>
  </si>
  <si>
    <t>B</t>
  </si>
  <si>
    <t>Description</t>
  </si>
  <si>
    <t>No</t>
  </si>
  <si>
    <t>Annual operating cost</t>
  </si>
  <si>
    <t>Price</t>
  </si>
  <si>
    <t>Equipment Cost</t>
  </si>
  <si>
    <t>Cost of failure per year</t>
  </si>
  <si>
    <t>End of Year</t>
  </si>
  <si>
    <t>Cash Flow</t>
  </si>
  <si>
    <t>Interest rate</t>
  </si>
  <si>
    <t>MTBF (Hours)</t>
  </si>
  <si>
    <t>R (15)</t>
  </si>
  <si>
    <t xml:space="preserve">Cost of failure per year </t>
  </si>
  <si>
    <t>Discount factor @ 6%</t>
  </si>
  <si>
    <t>MACHINE A</t>
  </si>
  <si>
    <r>
      <t>Present value maintenance cost [PV</t>
    </r>
    <r>
      <rPr>
        <vertAlign val="subscript"/>
        <sz val="12"/>
        <color rgb="FF0000E1"/>
        <rFont val="GE Inspira Book"/>
        <family val="2"/>
      </rPr>
      <t>am</t>
    </r>
    <r>
      <rPr>
        <sz val="12"/>
        <color rgb="FF0000E1"/>
        <rFont val="GE Inspira Book"/>
        <family val="2"/>
      </rPr>
      <t>]</t>
    </r>
  </si>
  <si>
    <r>
      <t>Present value operating cost [PV</t>
    </r>
    <r>
      <rPr>
        <vertAlign val="subscript"/>
        <sz val="12"/>
        <color rgb="FF0000E1"/>
        <rFont val="GE Inspira Book"/>
        <family val="2"/>
      </rPr>
      <t>ao</t>
    </r>
    <r>
      <rPr>
        <sz val="12"/>
        <color rgb="FF0000E1"/>
        <rFont val="GE Inspira Book"/>
        <family val="2"/>
      </rPr>
      <t>]</t>
    </r>
  </si>
  <si>
    <t>Cash flow [ Net Income]</t>
  </si>
  <si>
    <r>
      <t>LCC</t>
    </r>
    <r>
      <rPr>
        <vertAlign val="subscript"/>
        <sz val="12"/>
        <color theme="1"/>
        <rFont val="GE Inspira Book"/>
        <family val="2"/>
      </rPr>
      <t>A</t>
    </r>
  </si>
  <si>
    <t>MACHINE B</t>
  </si>
  <si>
    <t>Present value maintenance cost [PVam]</t>
  </si>
  <si>
    <t>Present value operating cost [PVao]</t>
  </si>
  <si>
    <t>R (10)</t>
  </si>
  <si>
    <t>Medical equipment A</t>
  </si>
  <si>
    <t>Medical equipment B</t>
  </si>
  <si>
    <t>Medical equipment C</t>
  </si>
  <si>
    <r>
      <t>LCC</t>
    </r>
    <r>
      <rPr>
        <vertAlign val="subscript"/>
        <sz val="12"/>
        <color theme="1"/>
        <rFont val="GE Inspira Book"/>
        <family val="2"/>
      </rPr>
      <t>B</t>
    </r>
  </si>
  <si>
    <r>
      <t>LCC</t>
    </r>
    <r>
      <rPr>
        <vertAlign val="subscript"/>
        <sz val="12"/>
        <color theme="1"/>
        <rFont val="GE Inspira Book"/>
        <family val="2"/>
      </rPr>
      <t>C</t>
    </r>
  </si>
  <si>
    <t>Supplier</t>
  </si>
  <si>
    <t>Eta (Cycles)</t>
  </si>
  <si>
    <t>MTTF (Cycles)</t>
  </si>
  <si>
    <t>Model parameters of the button life distribution</t>
  </si>
  <si>
    <t>at the elevator level</t>
  </si>
  <si>
    <t>Supplier A</t>
  </si>
  <si>
    <t>Initial Costs</t>
  </si>
  <si>
    <t>5,000 Elevators x 20 Buttons x $1.00=</t>
  </si>
  <si>
    <t>Expected failures per elevator during warranty period</t>
  </si>
  <si>
    <t>730,000 Cycles / 1.79E+06 Cycles=</t>
  </si>
  <si>
    <t>Expected failures throughout install base</t>
  </si>
  <si>
    <t xml:space="preserve">5000 Elevators x 0.40809 failures = </t>
  </si>
  <si>
    <t>Warranty costs</t>
  </si>
  <si>
    <t>2040.49 Failures x $250 (Cost per repair)</t>
  </si>
  <si>
    <t>Total cost for Supplier A</t>
  </si>
  <si>
    <t>730,000 Cycles / 6.34E+05 Cycles=</t>
  </si>
  <si>
    <t xml:space="preserve">5000 Elevators x 1.1514 failures = </t>
  </si>
  <si>
    <t>5757 Failures x $250 (Cost per repair)</t>
  </si>
  <si>
    <t>Reliability appraisal</t>
  </si>
  <si>
    <t>Life testing, environmental ruggedness evaluation, failure data reporting and analysis,</t>
  </si>
  <si>
    <t>Reliability prediction. Reliability modeling, etc</t>
  </si>
  <si>
    <t>Prevention</t>
  </si>
  <si>
    <t>Design for reliability, reliability standards and guidelines, development, product qualification,</t>
  </si>
  <si>
    <t>reliability screens, design reviews, reliability training, fault tree analysis, FMECA</t>
  </si>
  <si>
    <t>Cost of reliability program</t>
  </si>
  <si>
    <t xml:space="preserve">Annual number of failures </t>
  </si>
  <si>
    <t>Useful life (years)</t>
  </si>
  <si>
    <t>Repair cost</t>
  </si>
  <si>
    <t>Administrative overhead</t>
  </si>
  <si>
    <t>Profit coefficient</t>
  </si>
  <si>
    <t>Discount rate</t>
  </si>
  <si>
    <t>ROI</t>
  </si>
  <si>
    <t>Return on Investment (ROI):</t>
  </si>
  <si>
    <t>Payback period:</t>
  </si>
  <si>
    <t>Payback period</t>
  </si>
  <si>
    <t>Year</t>
  </si>
  <si>
    <t>1/ROI</t>
  </si>
  <si>
    <t>B/C</t>
  </si>
  <si>
    <t>Benefit/cost ratio:</t>
  </si>
  <si>
    <t>Discounted Benefit/cost ratio:</t>
  </si>
  <si>
    <t>DB/C</t>
  </si>
  <si>
    <t>Net return:</t>
  </si>
  <si>
    <t>NR</t>
  </si>
  <si>
    <t>Discounted net return:</t>
  </si>
  <si>
    <t>DNR</t>
  </si>
  <si>
    <t>% / YR (Normalized)</t>
  </si>
  <si>
    <t>DFR Survey Score (%)</t>
  </si>
  <si>
    <t>Long term cost of ownership =</t>
  </si>
  <si>
    <t>Initial cost + failure cost + maintenance cost (include spares and outside servies) + operating costs + disposal costs</t>
  </si>
  <si>
    <t xml:space="preserve">A vendor offers three grades of equipment for solving our plant problem. Disregarding depreciation and </t>
  </si>
  <si>
    <t>other accounting details, which grade of equipment should we select for the lowest long term cost of ownership</t>
  </si>
  <si>
    <t>(assume plant life ends after 20 years =175,200 hours). What are the savings?</t>
  </si>
  <si>
    <t>Cost of the new equipment</t>
  </si>
  <si>
    <t>Failure rate (failures / hour)</t>
  </si>
  <si>
    <t>Reliability for 1 year mission</t>
  </si>
  <si>
    <t>Number of failures in 20 years</t>
  </si>
  <si>
    <t>Operating hours</t>
  </si>
  <si>
    <t>Inputs</t>
  </si>
  <si>
    <t>Cost of equipment</t>
  </si>
  <si>
    <t>Cost per failure</t>
  </si>
  <si>
    <t>20 year failure cost</t>
  </si>
  <si>
    <t>Equipment overhaul required every</t>
  </si>
  <si>
    <t>5 years</t>
  </si>
  <si>
    <t xml:space="preserve">Each overhaul cost is </t>
  </si>
  <si>
    <t>20 year number of overhauls &amp; costs</t>
  </si>
  <si>
    <t>Operating /routine maintenance cost per hour</t>
  </si>
  <si>
    <t>20 year operating / routine maintenance costs</t>
  </si>
  <si>
    <t>Disposal cost at retirement</t>
  </si>
  <si>
    <t>Total long term cost (excluding depreciation, interest rate, etc)</t>
  </si>
  <si>
    <t>System A</t>
  </si>
  <si>
    <t>System B</t>
  </si>
  <si>
    <t>10 years</t>
  </si>
  <si>
    <t>System C</t>
  </si>
  <si>
    <t>Field Data</t>
  </si>
  <si>
    <t>System 1</t>
  </si>
  <si>
    <t>System 2</t>
  </si>
  <si>
    <t>System 3</t>
  </si>
  <si>
    <t>ROI х L</t>
  </si>
  <si>
    <t>Report Type</t>
  </si>
  <si>
    <t>Results</t>
  </si>
  <si>
    <t>User Info</t>
  </si>
  <si>
    <t>Kashif Ali</t>
  </si>
  <si>
    <t>Company</t>
  </si>
  <si>
    <t>General Electric</t>
  </si>
  <si>
    <t>Date</t>
  </si>
  <si>
    <t>Repair Cost</t>
  </si>
  <si>
    <t>Overhaul Cost</t>
  </si>
  <si>
    <t>RGA Output</t>
  </si>
  <si>
    <t>Optimum Overhaul Time (mi)</t>
  </si>
  <si>
    <t>Non-failure rate metric example - DPMO</t>
  </si>
  <si>
    <t>4 part system has a required DPMO of 500,000 at a time of 4,300 cycles</t>
  </si>
  <si>
    <t>Step 1</t>
  </si>
  <si>
    <t>Convert 500,00 to an equivalent reliability</t>
  </si>
  <si>
    <t>DPMO</t>
  </si>
  <si>
    <t>Probability of success</t>
  </si>
  <si>
    <t>Using 4,300 as the value for t, determine equivalent failure rate for 50% reliability at 4,300 cycles</t>
  </si>
  <si>
    <t>R (4,300)</t>
  </si>
  <si>
    <t>failures / 100,000 cycles</t>
  </si>
  <si>
    <t>Voltage within a capacitor varies with time according to the following formula:</t>
  </si>
  <si>
    <t>Time</t>
  </si>
  <si>
    <t>Voltage</t>
  </si>
  <si>
    <t>Radius</t>
  </si>
  <si>
    <t>Area</t>
  </si>
  <si>
    <t>Volume</t>
  </si>
  <si>
    <t>It is essential to make sure fan suppliers design and build reliability into their products from the very beginning of the product development.</t>
  </si>
  <si>
    <t>As the same for many other products, cooling fan's reliability has to be designed in and built in. The following is a qualification matrix proposed</t>
  </si>
  <si>
    <t>to qualify a fan's reliability and quality</t>
  </si>
  <si>
    <t>Material Review &amp; Verification</t>
  </si>
  <si>
    <t>Review the materials used to construct the fan which iclude lubricant/grease, motor, fan blades,seal wiring &amp; electronic components</t>
  </si>
  <si>
    <t>Lubricant analysis to verify the quality, flow viscosity, and breakdown temperature</t>
  </si>
  <si>
    <t>Bearing analysis for bearing size, temperature rise, quality, and metal and plating used</t>
  </si>
  <si>
    <t>Review electronic componnets type, vendor, quality, and derating</t>
  </si>
  <si>
    <t>HALT Test &amp; Margin Test</t>
  </si>
  <si>
    <t>Using step-stress tests to test samples into failures and to find weak points and make sure design is robust and has enough design margin</t>
  </si>
  <si>
    <t>High and low temperature step stress testing</t>
  </si>
  <si>
    <t>Vibration step stress testing</t>
  </si>
  <si>
    <t>Thermal shock testing</t>
  </si>
  <si>
    <t xml:space="preserve">Power cycling at high temperature </t>
  </si>
  <si>
    <t>Accelerated Life Testing</t>
  </si>
  <si>
    <t>Using high temperature (rated temperature) testing</t>
  </si>
  <si>
    <t>Continous monitoring the fan output, noise and RPM during test, or check fan every 240 hours</t>
  </si>
  <si>
    <t>At each interval of 240 hours, power cycling (on/off) samples for at least 10 cycles and check RPM, noise, and output</t>
  </si>
  <si>
    <t>Record any failures and failure time</t>
  </si>
  <si>
    <t>Sample size no less than 50. Failure needed no less than 5</t>
  </si>
  <si>
    <t>Using Weibull distribution of fan failure data to predict L1 life</t>
  </si>
  <si>
    <t>Simplified justfication of a companywide 5-year Reliability Improvement program</t>
  </si>
  <si>
    <t>Parameter</t>
  </si>
  <si>
    <t>n+1</t>
  </si>
  <si>
    <t>n+3</t>
  </si>
  <si>
    <t>n+4</t>
  </si>
  <si>
    <t>n+5</t>
  </si>
  <si>
    <t>Goal 1: Eliminate the need for additional staffing of the service engineering function</t>
  </si>
  <si>
    <t>A. Current trend</t>
  </si>
  <si>
    <t xml:space="preserve">Number of installed products </t>
  </si>
  <si>
    <t>Average product failure rate, percent per year</t>
  </si>
  <si>
    <t>Total number of service calls needed per year</t>
  </si>
  <si>
    <t>n+2</t>
  </si>
  <si>
    <t>Calls per service person per year</t>
  </si>
  <si>
    <t>Number of service persons needed</t>
  </si>
  <si>
    <t>B. Desired trend</t>
  </si>
  <si>
    <t>Desired number of service persons</t>
  </si>
  <si>
    <t>Total number of service calls possible per year</t>
  </si>
  <si>
    <t>Required average product failure rate,percent per year</t>
  </si>
  <si>
    <t>Improvement rate, percent per year</t>
  </si>
  <si>
    <t>µ</t>
  </si>
  <si>
    <t>Using fatigue cycle curves from material handbooks, estimate the number of cycles to failure.</t>
  </si>
  <si>
    <t xml:space="preserve">Machines </t>
  </si>
  <si>
    <t>C</t>
  </si>
  <si>
    <t>Data</t>
  </si>
  <si>
    <t>Sum</t>
  </si>
  <si>
    <r>
      <t>TCM =(SUM)</t>
    </r>
    <r>
      <rPr>
        <b/>
        <vertAlign val="superscript"/>
        <sz val="11"/>
        <color theme="1"/>
        <rFont val="GE Inspira Book"/>
        <family val="2"/>
      </rPr>
      <t>2</t>
    </r>
    <r>
      <rPr>
        <b/>
        <sz val="11"/>
        <color theme="1"/>
        <rFont val="GE Inspira Book"/>
        <family val="2"/>
      </rPr>
      <t>/n</t>
    </r>
  </si>
  <si>
    <r>
      <t>∑X</t>
    </r>
    <r>
      <rPr>
        <b/>
        <vertAlign val="superscript"/>
        <sz val="11"/>
        <color theme="1"/>
        <rFont val="GE Inspira Book"/>
        <family val="2"/>
      </rPr>
      <t>2</t>
    </r>
  </si>
  <si>
    <t>5,7,6,7,6</t>
  </si>
  <si>
    <t>2,0,1,-2,2</t>
  </si>
  <si>
    <t>1,0,-2,-3,0</t>
  </si>
  <si>
    <t>Risk Management Activity</t>
  </si>
  <si>
    <t>Reliability Analysis Method</t>
  </si>
  <si>
    <t>Application of Reliability Analysis Method</t>
  </si>
  <si>
    <t>Risk identification &amp; Analysis</t>
  </si>
  <si>
    <t>FMEA (Failure Mode &amp; Effects Analysis)</t>
  </si>
  <si>
    <t>Fault Tree Analysis (FTA)</t>
  </si>
  <si>
    <t>Perform and document a bottom-up analysis tracing part or process failures through to negative end effects</t>
  </si>
  <si>
    <t>Perform and document a top-down analysis tracing negative end effects to all possible sources at the part or process level</t>
  </si>
  <si>
    <t>Risk Estimation</t>
  </si>
  <si>
    <t>Assign Risk Priority Numbers (RPNs) to estimate the severity of risks and group by criticality</t>
  </si>
  <si>
    <t>Perform quantitative analysis to calculate risk severity by minimum combination of casual events</t>
  </si>
  <si>
    <t>Reliability Prediction</t>
  </si>
  <si>
    <t xml:space="preserve">System Modeling </t>
  </si>
  <si>
    <t>When a risk is the result of a part failure, quantify the probability that the risk will occur</t>
  </si>
  <si>
    <t>Risk Control Measures:</t>
  </si>
  <si>
    <t>Analyze</t>
  </si>
  <si>
    <t>Implement</t>
  </si>
  <si>
    <t>Evaluate</t>
  </si>
  <si>
    <t>Risk / Benefit Analysis</t>
  </si>
  <si>
    <t>Review New Risks</t>
  </si>
  <si>
    <t>Completeness of Risk Control Measures</t>
  </si>
  <si>
    <t>FMEA (Failure Mode &amp; Effects Analysis) &amp; Fault Tree Analysis</t>
  </si>
  <si>
    <t>Study the bottom-up (FMEA) or top-down (Fault Tree) effects of risk control measures at the part or process level</t>
  </si>
  <si>
    <t>Quantify the effects of alternate part designs on improved part reliability and improved product safety</t>
  </si>
  <si>
    <t>Quantify the effects of building in redundnacy, complexity &amp; parallel structure to system design. Estimate the availability of system due to preventive maintenance or repair activities.</t>
  </si>
  <si>
    <t>Production and post-production monitoring &amp; re-evaluation of discovered risks</t>
  </si>
  <si>
    <t>FRACAS</t>
  </si>
  <si>
    <t>Collect &amp; analyze field data to track new &amp; unexpected risks</t>
  </si>
  <si>
    <t>Initiate risk evaluation and control plan development for newly detected risks using a closed loop process to ensure all risks are addressed</t>
  </si>
  <si>
    <t>Weibull Analysis</t>
  </si>
  <si>
    <t>Analyze collected field data to quantify part or system failure behaviour</t>
  </si>
  <si>
    <t>Validate predicted performance by analyzing field data to demonstrate that design &amp; safety requirements are being met</t>
  </si>
  <si>
    <t>System complexity / Intricacy</t>
  </si>
  <si>
    <t>Technology Readiness Level (TRL) / State of the art</t>
  </si>
  <si>
    <t>Operating time / duration</t>
  </si>
  <si>
    <t>Environment stressors / conditions</t>
  </si>
  <si>
    <t xml:space="preserve">Low </t>
  </si>
  <si>
    <t xml:space="preserve">Medium </t>
  </si>
  <si>
    <t>sum</t>
  </si>
  <si>
    <t>Cost optimized scale factor</t>
  </si>
  <si>
    <t>Medium</t>
  </si>
  <si>
    <t>BHGE lifecycle phase</t>
  </si>
  <si>
    <t>Conceptual validation (stage 2)</t>
  </si>
  <si>
    <t>Detailed design, verification &amp; validation (stage 3b, 3c &amp; 3d)</t>
  </si>
  <si>
    <t>Post production &amp; lifecycle management (stage 4 &amp; 5)</t>
  </si>
  <si>
    <t>Operating cost per hour</t>
  </si>
  <si>
    <t>20 year operating costs</t>
  </si>
  <si>
    <t>Corrective maintenance cost per hour</t>
  </si>
  <si>
    <t>Time to repair (hours)</t>
  </si>
  <si>
    <t>Corrective maintenance cost over 20 year life</t>
  </si>
  <si>
    <t>Bacteria Concentration, PPM</t>
  </si>
  <si>
    <t>Time (min) , t</t>
  </si>
  <si>
    <t>a</t>
  </si>
  <si>
    <t>Time (min), t</t>
  </si>
  <si>
    <t>Sample size ≥ 5</t>
  </si>
  <si>
    <r>
      <t>V=10e</t>
    </r>
    <r>
      <rPr>
        <vertAlign val="superscript"/>
        <sz val="11"/>
        <color theme="1"/>
        <rFont val="Arial"/>
        <family val="2"/>
      </rPr>
      <t>-0.5t</t>
    </r>
  </si>
  <si>
    <r>
      <rPr>
        <b/>
        <u/>
        <sz val="11"/>
        <color theme="1"/>
        <rFont val="Arial"/>
        <family val="2"/>
      </rPr>
      <t>Benefit</t>
    </r>
    <r>
      <rPr>
        <b/>
        <sz val="11"/>
        <color theme="1"/>
        <rFont val="Arial"/>
        <family val="2"/>
      </rPr>
      <t>:</t>
    </r>
    <r>
      <rPr>
        <sz val="11"/>
        <color theme="1"/>
        <rFont val="Arial"/>
        <family val="2"/>
      </rPr>
      <t xml:space="preserve"> Elimination of cost of failures found in HALT</t>
    </r>
  </si>
  <si>
    <r>
      <rPr>
        <b/>
        <u/>
        <sz val="11"/>
        <color theme="1"/>
        <rFont val="Arial"/>
        <family val="2"/>
      </rPr>
      <t>Investement:</t>
    </r>
    <r>
      <rPr>
        <sz val="11"/>
        <color theme="1"/>
        <rFont val="Arial"/>
        <family val="2"/>
      </rPr>
      <t xml:space="preserve"> Cost of HALT &amp; corrective actions</t>
    </r>
  </si>
  <si>
    <t>• Total burdened cost to build a unit</t>
  </si>
  <si>
    <t>• Service time &amp; equipment</t>
  </si>
  <si>
    <t>• Lost revenue due to failure</t>
  </si>
  <si>
    <r>
      <t>FFR</t>
    </r>
    <r>
      <rPr>
        <vertAlign val="subscript"/>
        <sz val="11"/>
        <color theme="1"/>
        <rFont val="Arial"/>
        <family val="2"/>
      </rPr>
      <t>i</t>
    </r>
  </si>
  <si>
    <t>• Rate for each failure mode found</t>
  </si>
  <si>
    <t>• Production Rate</t>
  </si>
  <si>
    <r>
      <t>Benefit = ∑ (FFR</t>
    </r>
    <r>
      <rPr>
        <vertAlign val="subscript"/>
        <sz val="11"/>
        <color theme="1"/>
        <rFont val="Arial"/>
        <family val="2"/>
      </rPr>
      <t xml:space="preserve">i </t>
    </r>
    <r>
      <rPr>
        <sz val="11"/>
        <color theme="1"/>
        <rFont val="Arial"/>
        <family val="2"/>
      </rPr>
      <t>× PR × WPC × RC × DC)</t>
    </r>
  </si>
  <si>
    <r>
      <t>Investment = EC + HR + WPC * N</t>
    </r>
    <r>
      <rPr>
        <vertAlign val="subscript"/>
        <sz val="11"/>
        <color theme="1"/>
        <rFont val="Arial"/>
        <family val="2"/>
      </rPr>
      <t xml:space="preserve">t </t>
    </r>
    <r>
      <rPr>
        <sz val="11"/>
        <color theme="1"/>
        <rFont val="Arial"/>
        <family val="2"/>
      </rPr>
      <t>+ (FA + CA) * N</t>
    </r>
    <r>
      <rPr>
        <vertAlign val="subscript"/>
        <sz val="11"/>
        <color theme="1"/>
        <rFont val="Arial"/>
        <family val="2"/>
      </rPr>
      <t>f</t>
    </r>
  </si>
  <si>
    <r>
      <t xml:space="preserve">Home &gt; Regression Tools  &gt; </t>
    </r>
    <r>
      <rPr>
        <sz val="8"/>
        <color rgb="FF000000"/>
        <rFont val="Arial"/>
        <family val="2"/>
      </rPr>
      <t>Equation</t>
    </r>
    <r>
      <rPr>
        <sz val="8"/>
        <color rgb="FF5E7CA8"/>
        <rFont val="Arial"/>
        <family val="2"/>
      </rPr>
      <t xml:space="preserve"> </t>
    </r>
    <r>
      <rPr>
        <sz val="8"/>
        <color rgb="FF000000"/>
        <rFont val="Arial"/>
        <family val="2"/>
      </rPr>
      <t>Fit</t>
    </r>
    <r>
      <rPr>
        <sz val="8"/>
        <color rgb="FF5E7CA8"/>
        <rFont val="Arial"/>
        <family val="2"/>
      </rPr>
      <t xml:space="preserve"> </t>
    </r>
    <r>
      <rPr>
        <sz val="8"/>
        <color rgb="FF000000"/>
        <rFont val="Arial"/>
        <family val="2"/>
      </rPr>
      <t>Solver</t>
    </r>
    <r>
      <rPr>
        <sz val="8"/>
        <color rgb="FF5E7CA8"/>
        <rFont val="Arial"/>
        <family val="2"/>
      </rPr>
      <t xml:space="preserve">  &gt; </t>
    </r>
    <r>
      <rPr>
        <sz val="8"/>
        <color rgb="FF000000"/>
        <rFont val="Arial"/>
        <family val="2"/>
      </rPr>
      <t>Equation</t>
    </r>
    <r>
      <rPr>
        <sz val="8"/>
        <color rgb="FF5E7CA8"/>
        <rFont val="Arial"/>
        <family val="2"/>
      </rPr>
      <t xml:space="preserve"> </t>
    </r>
    <r>
      <rPr>
        <sz val="8"/>
        <color rgb="FF000000"/>
        <rFont val="Arial"/>
        <family val="2"/>
      </rPr>
      <t>Fit</t>
    </r>
    <r>
      <rPr>
        <sz val="8"/>
        <color rgb="FF5E7CA8"/>
        <rFont val="Arial"/>
        <family val="2"/>
      </rPr>
      <t xml:space="preserve"> </t>
    </r>
    <r>
      <rPr>
        <sz val="8"/>
        <color rgb="FF000000"/>
        <rFont val="Arial"/>
        <family val="2"/>
      </rPr>
      <t>Solver</t>
    </r>
  </si>
  <si>
    <r>
      <t>Equation</t>
    </r>
    <r>
      <rPr>
        <b/>
        <sz val="18"/>
        <color rgb="FF25397D"/>
        <rFont val="Arial"/>
        <family val="2"/>
      </rPr>
      <t xml:space="preserve"> </t>
    </r>
    <r>
      <rPr>
        <b/>
        <sz val="18"/>
        <color rgb="FF000000"/>
        <rFont val="Arial"/>
        <family val="2"/>
      </rPr>
      <t>Fit</t>
    </r>
    <r>
      <rPr>
        <b/>
        <sz val="18"/>
        <color rgb="FF25397D"/>
        <rFont val="Arial"/>
        <family val="2"/>
      </rPr>
      <t xml:space="preserve"> </t>
    </r>
    <r>
      <rPr>
        <b/>
        <sz val="18"/>
        <color rgb="FF000000"/>
        <rFont val="Arial"/>
        <family val="2"/>
      </rPr>
      <t>Solver</t>
    </r>
  </si>
  <si>
    <r>
      <t xml:space="preserve">The </t>
    </r>
    <r>
      <rPr>
        <sz val="12"/>
        <color rgb="FF000000"/>
        <rFont val="Arial"/>
        <family val="2"/>
      </rPr>
      <t>Equation</t>
    </r>
    <r>
      <rPr>
        <sz val="12"/>
        <color theme="1"/>
        <rFont val="Arial"/>
        <family val="2"/>
      </rPr>
      <t xml:space="preserve"> </t>
    </r>
    <r>
      <rPr>
        <sz val="12"/>
        <color rgb="FF000000"/>
        <rFont val="Arial"/>
        <family val="2"/>
      </rPr>
      <t>Fit</t>
    </r>
    <r>
      <rPr>
        <sz val="12"/>
        <color theme="1"/>
        <rFont val="Arial"/>
        <family val="2"/>
      </rPr>
      <t xml:space="preserve"> </t>
    </r>
    <r>
      <rPr>
        <sz val="12"/>
        <color rgb="FF000000"/>
        <rFont val="Arial"/>
        <family val="2"/>
      </rPr>
      <t>Solver</t>
    </r>
    <r>
      <rPr>
        <sz val="12"/>
        <color theme="1"/>
        <rFont val="Arial"/>
        <family val="2"/>
      </rPr>
      <t xml:space="preserve"> is a tool that allows you to estimate the parameters of any user-defined non-linear </t>
    </r>
    <r>
      <rPr>
        <sz val="12"/>
        <color rgb="FF000000"/>
        <rFont val="Arial"/>
        <family val="2"/>
      </rPr>
      <t>equation</t>
    </r>
    <r>
      <rPr>
        <sz val="12"/>
        <color theme="1"/>
        <rFont val="Arial"/>
        <family val="2"/>
      </rPr>
      <t>. This gives you the flexibility to perform simple parameter estimation on statistical models other than the life distributions available in Weibull++.</t>
    </r>
  </si>
  <si>
    <r>
      <t xml:space="preserve">To add an </t>
    </r>
    <r>
      <rPr>
        <sz val="12"/>
        <color rgb="FF000000"/>
        <rFont val="Arial"/>
        <family val="2"/>
      </rPr>
      <t>Equation</t>
    </r>
    <r>
      <rPr>
        <sz val="12"/>
        <color theme="1"/>
        <rFont val="Arial"/>
        <family val="2"/>
      </rPr>
      <t xml:space="preserve"> </t>
    </r>
    <r>
      <rPr>
        <sz val="12"/>
        <color rgb="FF000000"/>
        <rFont val="Arial"/>
        <family val="2"/>
      </rPr>
      <t>Fit</t>
    </r>
    <r>
      <rPr>
        <sz val="12"/>
        <color theme="1"/>
        <rFont val="Arial"/>
        <family val="2"/>
      </rPr>
      <t xml:space="preserve"> </t>
    </r>
    <r>
      <rPr>
        <sz val="12"/>
        <color rgb="FF000000"/>
        <rFont val="Arial"/>
        <family val="2"/>
      </rPr>
      <t>Solver</t>
    </r>
    <r>
      <rPr>
        <sz val="12"/>
        <color theme="1"/>
        <rFont val="Arial"/>
        <family val="2"/>
      </rPr>
      <t xml:space="preserve"> folio to a project, choose </t>
    </r>
    <r>
      <rPr>
        <b/>
        <sz val="12"/>
        <color theme="1"/>
        <rFont val="Arial"/>
        <family val="2"/>
      </rPr>
      <t xml:space="preserve">Home &gt; Insert &gt; </t>
    </r>
    <r>
      <rPr>
        <b/>
        <sz val="12"/>
        <color rgb="FF000000"/>
        <rFont val="Arial"/>
        <family val="2"/>
      </rPr>
      <t>Equation</t>
    </r>
    <r>
      <rPr>
        <b/>
        <sz val="12"/>
        <color theme="1"/>
        <rFont val="Arial"/>
        <family val="2"/>
      </rPr>
      <t xml:space="preserve"> </t>
    </r>
    <r>
      <rPr>
        <b/>
        <sz val="12"/>
        <color rgb="FF000000"/>
        <rFont val="Arial"/>
        <family val="2"/>
      </rPr>
      <t>Fit</t>
    </r>
    <r>
      <rPr>
        <b/>
        <sz val="12"/>
        <color theme="1"/>
        <rFont val="Arial"/>
        <family val="2"/>
      </rPr>
      <t xml:space="preserve"> </t>
    </r>
    <r>
      <rPr>
        <b/>
        <sz val="12"/>
        <color rgb="FF000000"/>
        <rFont val="Arial"/>
        <family val="2"/>
      </rPr>
      <t>Solver</t>
    </r>
    <r>
      <rPr>
        <sz val="12"/>
        <color theme="1"/>
        <rFont val="Arial"/>
        <family val="2"/>
      </rPr>
      <t xml:space="preserve">, or right-click the </t>
    </r>
    <r>
      <rPr>
        <b/>
        <sz val="12"/>
        <color theme="1"/>
        <rFont val="Arial"/>
        <family val="2"/>
      </rPr>
      <t>Regression Tools</t>
    </r>
    <r>
      <rPr>
        <sz val="12"/>
        <color theme="1"/>
        <rFont val="Arial"/>
        <family val="2"/>
      </rPr>
      <t xml:space="preserve"> folder in the current project explorer and choose </t>
    </r>
    <r>
      <rPr>
        <b/>
        <sz val="12"/>
        <color theme="1"/>
        <rFont val="Arial"/>
        <family val="2"/>
      </rPr>
      <t xml:space="preserve">Add </t>
    </r>
    <r>
      <rPr>
        <b/>
        <sz val="12"/>
        <color rgb="FF000000"/>
        <rFont val="Arial"/>
        <family val="2"/>
      </rPr>
      <t>Equation</t>
    </r>
    <r>
      <rPr>
        <b/>
        <sz val="12"/>
        <color theme="1"/>
        <rFont val="Arial"/>
        <family val="2"/>
      </rPr>
      <t xml:space="preserve"> </t>
    </r>
    <r>
      <rPr>
        <b/>
        <sz val="12"/>
        <color rgb="FF000000"/>
        <rFont val="Arial"/>
        <family val="2"/>
      </rPr>
      <t>Fit</t>
    </r>
    <r>
      <rPr>
        <b/>
        <sz val="12"/>
        <color theme="1"/>
        <rFont val="Arial"/>
        <family val="2"/>
      </rPr>
      <t xml:space="preserve"> </t>
    </r>
    <r>
      <rPr>
        <b/>
        <sz val="12"/>
        <color rgb="FF000000"/>
        <rFont val="Arial"/>
        <family val="2"/>
      </rPr>
      <t>Solver</t>
    </r>
    <r>
      <rPr>
        <sz val="12"/>
        <color theme="1"/>
        <rFont val="Arial"/>
        <family val="2"/>
      </rPr>
      <t xml:space="preserve"> on the shortcut menu.</t>
    </r>
  </si>
  <si>
    <r>
      <t>m</t>
    </r>
    <r>
      <rPr>
        <sz val="12"/>
        <color theme="1"/>
        <rFont val="Arial"/>
        <family val="2"/>
      </rPr>
      <t xml:space="preserve"> is the mean life.</t>
    </r>
  </si>
  <si>
    <r>
      <t>T</t>
    </r>
    <r>
      <rPr>
        <sz val="12"/>
        <color theme="1"/>
        <rFont val="Arial"/>
        <family val="2"/>
      </rPr>
      <t xml:space="preserve"> is the operating temperature (i.e., use stress level).</t>
    </r>
  </si>
  <si>
    <r>
      <t>A</t>
    </r>
    <r>
      <rPr>
        <sz val="12"/>
        <color theme="1"/>
        <rFont val="Arial"/>
        <family val="2"/>
      </rPr>
      <t xml:space="preserve"> and </t>
    </r>
    <r>
      <rPr>
        <i/>
        <sz val="12"/>
        <color theme="1"/>
        <rFont val="Arial"/>
        <family val="2"/>
      </rPr>
      <t>B</t>
    </r>
    <r>
      <rPr>
        <sz val="12"/>
        <color theme="1"/>
        <rFont val="Arial"/>
        <family val="2"/>
      </rPr>
      <t xml:space="preserve">  are the parameters of the </t>
    </r>
    <r>
      <rPr>
        <sz val="12"/>
        <color rgb="FF000000"/>
        <rFont val="Arial"/>
        <family val="2"/>
      </rPr>
      <t>equation</t>
    </r>
    <r>
      <rPr>
        <sz val="12"/>
        <color theme="1"/>
        <rFont val="Arial"/>
        <family val="2"/>
      </rPr>
      <t>.</t>
    </r>
  </si>
  <si>
    <r>
      <t xml:space="preserve">In order to estimate the mean life at any given temperature, parameters </t>
    </r>
    <r>
      <rPr>
        <i/>
        <sz val="12"/>
        <color theme="1"/>
        <rFont val="Arial"/>
        <family val="2"/>
      </rPr>
      <t>A</t>
    </r>
    <r>
      <rPr>
        <sz val="12"/>
        <color theme="1"/>
        <rFont val="Arial"/>
        <family val="2"/>
      </rPr>
      <t xml:space="preserve"> and </t>
    </r>
    <r>
      <rPr>
        <i/>
        <sz val="12"/>
        <color theme="1"/>
        <rFont val="Arial"/>
        <family val="2"/>
      </rPr>
      <t>B</t>
    </r>
    <r>
      <rPr>
        <sz val="12"/>
        <color theme="1"/>
        <rFont val="Arial"/>
        <family val="2"/>
      </rPr>
      <t xml:space="preserve"> must be determined. To solve for these parameters, follow the steps outlined below:</t>
    </r>
  </si>
  <si>
    <r>
      <t xml:space="preserve">1. The first step is to write the Eyring acceleration model in the form </t>
    </r>
    <r>
      <rPr>
        <i/>
        <sz val="12"/>
        <color theme="1"/>
        <rFont val="Arial"/>
        <family val="2"/>
      </rPr>
      <t>y = F(x)</t>
    </r>
    <r>
      <rPr>
        <sz val="12"/>
        <color theme="1"/>
        <rFont val="Arial"/>
        <family val="2"/>
      </rPr>
      <t xml:space="preserve">, where </t>
    </r>
    <r>
      <rPr>
        <i/>
        <sz val="12"/>
        <color theme="1"/>
        <rFont val="Arial"/>
        <family val="2"/>
      </rPr>
      <t>x</t>
    </r>
    <r>
      <rPr>
        <sz val="12"/>
        <color theme="1"/>
        <rFont val="Arial"/>
        <family val="2"/>
      </rPr>
      <t xml:space="preserve"> is the random variable. For this example, let </t>
    </r>
    <r>
      <rPr>
        <i/>
        <sz val="12"/>
        <color theme="1"/>
        <rFont val="Arial"/>
        <family val="2"/>
      </rPr>
      <t>T = x</t>
    </r>
    <r>
      <rPr>
        <sz val="12"/>
        <color theme="1"/>
        <rFont val="Arial"/>
        <family val="2"/>
      </rPr>
      <t xml:space="preserve"> and </t>
    </r>
    <r>
      <rPr>
        <i/>
        <sz val="12"/>
        <color theme="1"/>
        <rFont val="Arial"/>
        <family val="2"/>
      </rPr>
      <t>m = y</t>
    </r>
    <r>
      <rPr>
        <sz val="12"/>
        <color theme="1"/>
        <rFont val="Arial"/>
        <family val="2"/>
      </rPr>
      <t>. This results in:</t>
    </r>
  </si>
  <si>
    <r>
      <t xml:space="preserve">2. Enter the </t>
    </r>
    <r>
      <rPr>
        <sz val="12"/>
        <color rgb="FF000000"/>
        <rFont val="Arial"/>
        <family val="2"/>
      </rPr>
      <t>equation</t>
    </r>
    <r>
      <rPr>
        <sz val="12"/>
        <color theme="1"/>
        <rFont val="Arial"/>
        <family val="2"/>
      </rPr>
      <t xml:space="preserve"> in the </t>
    </r>
    <r>
      <rPr>
        <b/>
        <sz val="12"/>
        <color theme="1"/>
        <rFont val="Arial"/>
        <family val="2"/>
      </rPr>
      <t>Formula</t>
    </r>
    <r>
      <rPr>
        <sz val="12"/>
        <color theme="1"/>
        <rFont val="Arial"/>
        <family val="2"/>
      </rPr>
      <t xml:space="preserve"> field of the control panel, as shown next.</t>
    </r>
  </si>
  <si>
    <r>
      <t xml:space="preserve">3. Use the </t>
    </r>
    <r>
      <rPr>
        <b/>
        <sz val="12"/>
        <color theme="1"/>
        <rFont val="Arial"/>
        <family val="2"/>
      </rPr>
      <t>Function Parameters</t>
    </r>
    <r>
      <rPr>
        <sz val="12"/>
        <color theme="1"/>
        <rFont val="Arial"/>
        <family val="2"/>
      </rPr>
      <t xml:space="preserve"> area of the folio to provide a starting point for estimating the parameters</t>
    </r>
  </si>
  <si>
    <r>
      <t xml:space="preserve">In the </t>
    </r>
    <r>
      <rPr>
        <b/>
        <sz val="12"/>
        <color theme="1"/>
        <rFont val="Arial"/>
        <family val="2"/>
      </rPr>
      <t>Is greater than</t>
    </r>
    <r>
      <rPr>
        <sz val="12"/>
        <color theme="1"/>
        <rFont val="Arial"/>
        <family val="2"/>
      </rPr>
      <t xml:space="preserve"> and </t>
    </r>
    <r>
      <rPr>
        <b/>
        <sz val="12"/>
        <color theme="1"/>
        <rFont val="Arial"/>
        <family val="2"/>
      </rPr>
      <t>Is less than</t>
    </r>
    <r>
      <rPr>
        <sz val="12"/>
        <color theme="1"/>
        <rFont val="Arial"/>
        <family val="2"/>
      </rPr>
      <t xml:space="preserve">  columns, set an estimate for the minimum and maximum values for each parameter in the </t>
    </r>
    <r>
      <rPr>
        <sz val="12"/>
        <color rgb="FF000000"/>
        <rFont val="Arial"/>
        <family val="2"/>
      </rPr>
      <t>equation</t>
    </r>
    <r>
      <rPr>
        <sz val="12"/>
        <color theme="1"/>
        <rFont val="Arial"/>
        <family val="2"/>
      </rPr>
      <t>. If the iteration does not converge at the specified range, you will need to edit the range values until a solution can be obtained. For this example, use the following values:</t>
    </r>
  </si>
  <si>
    <r>
      <t xml:space="preserve">A is estimated to be greater than </t>
    </r>
    <r>
      <rPr>
        <b/>
        <sz val="12"/>
        <color theme="1"/>
        <rFont val="Arial"/>
        <family val="2"/>
      </rPr>
      <t>-100</t>
    </r>
    <r>
      <rPr>
        <sz val="12"/>
        <color theme="1"/>
        <rFont val="Arial"/>
        <family val="2"/>
      </rPr>
      <t xml:space="preserve"> and less than </t>
    </r>
    <r>
      <rPr>
        <b/>
        <sz val="12"/>
        <color theme="1"/>
        <rFont val="Arial"/>
        <family val="2"/>
      </rPr>
      <t>1000</t>
    </r>
    <r>
      <rPr>
        <sz val="12"/>
        <color theme="1"/>
        <rFont val="Arial"/>
        <family val="2"/>
      </rPr>
      <t>.</t>
    </r>
  </si>
  <si>
    <r>
      <t xml:space="preserve">B is estimated to be greater than </t>
    </r>
    <r>
      <rPr>
        <b/>
        <sz val="12"/>
        <color theme="1"/>
        <rFont val="Arial"/>
        <family val="2"/>
      </rPr>
      <t>-100</t>
    </r>
    <r>
      <rPr>
        <sz val="12"/>
        <color theme="1"/>
        <rFont val="Arial"/>
        <family val="2"/>
      </rPr>
      <t xml:space="preserve"> and less than </t>
    </r>
    <r>
      <rPr>
        <b/>
        <sz val="12"/>
        <color theme="1"/>
        <rFont val="Arial"/>
        <family val="2"/>
      </rPr>
      <t>5000</t>
    </r>
    <r>
      <rPr>
        <sz val="12"/>
        <color theme="1"/>
        <rFont val="Arial"/>
        <family val="2"/>
      </rPr>
      <t>.</t>
    </r>
  </si>
  <si>
    <r>
      <t xml:space="preserve">In the </t>
    </r>
    <r>
      <rPr>
        <b/>
        <sz val="12"/>
        <color theme="1"/>
        <rFont val="Arial"/>
        <family val="2"/>
      </rPr>
      <t>Initial Guess</t>
    </r>
    <r>
      <rPr>
        <sz val="12"/>
        <color theme="1"/>
        <rFont val="Arial"/>
        <family val="2"/>
      </rPr>
      <t xml:space="preserve"> column, set a value from which the approximation for the corresponding parameter will start. If the iteration cannot arrive at a solution, you will need to edit the initial guess values until a solution can be obtained. For this example, the initial guess for A is </t>
    </r>
    <r>
      <rPr>
        <b/>
        <sz val="12"/>
        <color theme="1"/>
        <rFont val="Arial"/>
        <family val="2"/>
      </rPr>
      <t>0.01</t>
    </r>
    <r>
      <rPr>
        <sz val="12"/>
        <color theme="1"/>
        <rFont val="Arial"/>
        <family val="2"/>
      </rPr>
      <t xml:space="preserve"> and the initial guess for B is </t>
    </r>
    <r>
      <rPr>
        <b/>
        <sz val="12"/>
        <color theme="1"/>
        <rFont val="Arial"/>
        <family val="2"/>
      </rPr>
      <t>0.2</t>
    </r>
    <r>
      <rPr>
        <sz val="12"/>
        <color theme="1"/>
        <rFont val="Arial"/>
        <family val="2"/>
      </rPr>
      <t>.</t>
    </r>
  </si>
  <si>
    <r>
      <t xml:space="preserve">4. In the </t>
    </r>
    <r>
      <rPr>
        <b/>
        <sz val="12"/>
        <color theme="1"/>
        <rFont val="Arial"/>
        <family val="2"/>
      </rPr>
      <t>Data</t>
    </r>
    <r>
      <rPr>
        <sz val="12"/>
        <color theme="1"/>
        <rFont val="Arial"/>
        <family val="2"/>
      </rPr>
      <t xml:space="preserve"> area, enter the information from Table 1. Enter the stress level values in the </t>
    </r>
    <r>
      <rPr>
        <b/>
        <sz val="12"/>
        <color theme="1"/>
        <rFont val="Arial"/>
        <family val="2"/>
      </rPr>
      <t>X</t>
    </r>
    <r>
      <rPr>
        <sz val="12"/>
        <color theme="1"/>
        <rFont val="Arial"/>
        <family val="2"/>
      </rPr>
      <t xml:space="preserve"> column and enter the mean life values in the </t>
    </r>
    <r>
      <rPr>
        <b/>
        <sz val="12"/>
        <color theme="1"/>
        <rFont val="Arial"/>
        <family val="2"/>
      </rPr>
      <t>Y</t>
    </r>
    <r>
      <rPr>
        <sz val="12"/>
        <color theme="1"/>
        <rFont val="Arial"/>
        <family val="2"/>
      </rPr>
      <t xml:space="preserve"> column.</t>
    </r>
  </si>
  <si>
    <r>
      <t xml:space="preserve">5. Click the </t>
    </r>
    <r>
      <rPr>
        <b/>
        <sz val="12"/>
        <color theme="1"/>
        <rFont val="Arial"/>
        <family val="2"/>
      </rPr>
      <t>Calculate</t>
    </r>
    <r>
      <rPr>
        <sz val="12"/>
        <color theme="1"/>
        <rFont val="Arial"/>
        <family val="2"/>
      </rPr>
      <t xml:space="preserve">  icon on the control panel to solve for the parameters of the </t>
    </r>
    <r>
      <rPr>
        <sz val="12"/>
        <color rgb="FF000000"/>
        <rFont val="Arial"/>
        <family val="2"/>
      </rPr>
      <t>equation</t>
    </r>
    <r>
      <rPr>
        <sz val="12"/>
        <color theme="1"/>
        <rFont val="Arial"/>
        <family val="2"/>
      </rPr>
      <t>..</t>
    </r>
  </si>
  <si>
    <r>
      <t xml:space="preserve">The parameter values are found to be A = -11.1465 and B = 1430.2558, as shown next. By obtaining the parameters, we can now estimate the mean life (y) for any given stress level (x) by using the </t>
    </r>
    <r>
      <rPr>
        <b/>
        <sz val="12"/>
        <color theme="1"/>
        <rFont val="Arial"/>
        <family val="2"/>
      </rPr>
      <t>Calculate Y given X</t>
    </r>
    <r>
      <rPr>
        <sz val="12"/>
        <color theme="1"/>
        <rFont val="Arial"/>
        <family val="2"/>
      </rPr>
      <t xml:space="preserve"> tool. For example, in the picture shown next, the estimated mean life for a temperature of 430 K is 4486.81 hours.</t>
    </r>
  </si>
  <si>
    <r>
      <t>SDEV</t>
    </r>
    <r>
      <rPr>
        <sz val="12"/>
        <color theme="1"/>
        <rFont val="Arial"/>
        <family val="2"/>
      </rPr>
      <t xml:space="preserve"> shows the standard deviation of the values of the parameters, which helps you to evaluate the amount of variability in the data set.</t>
    </r>
  </si>
  <si>
    <r>
      <t>F(x)</t>
    </r>
    <r>
      <rPr>
        <sz val="12"/>
        <color theme="1"/>
        <rFont val="Arial"/>
        <family val="2"/>
      </rPr>
      <t xml:space="preserve">  shows the calculated mean life (y) at each stress level (x) when the estimated values of the parameters are substituted in the user defined </t>
    </r>
    <r>
      <rPr>
        <sz val="12"/>
        <color rgb="FF000000"/>
        <rFont val="Arial"/>
        <family val="2"/>
      </rPr>
      <t>equation</t>
    </r>
    <r>
      <rPr>
        <sz val="12"/>
        <color theme="1"/>
        <rFont val="Arial"/>
        <family val="2"/>
      </rPr>
      <t>.</t>
    </r>
  </si>
  <si>
    <r>
      <t>Error [Y-F(x)</t>
    </r>
    <r>
      <rPr>
        <sz val="12"/>
        <color theme="1"/>
        <rFont val="Arial"/>
        <family val="2"/>
      </rPr>
      <t xml:space="preserve">] shows the calculated distance (the error) of the known value in the Y column to its corresponding value in the F(x) function. This helps you to evaluate the </t>
    </r>
    <r>
      <rPr>
        <sz val="12"/>
        <color rgb="FF000000"/>
        <rFont val="Arial"/>
        <family val="2"/>
      </rPr>
      <t>fit</t>
    </r>
    <r>
      <rPr>
        <sz val="12"/>
        <color theme="1"/>
        <rFont val="Arial"/>
        <family val="2"/>
      </rPr>
      <t xml:space="preserve"> of the F(x) function to the data set.</t>
    </r>
  </si>
  <si>
    <r>
      <t xml:space="preserve">6. To visually assess how well the function </t>
    </r>
    <r>
      <rPr>
        <sz val="12"/>
        <color rgb="FF000000"/>
        <rFont val="Arial"/>
        <family val="2"/>
      </rPr>
      <t>fit</t>
    </r>
    <r>
      <rPr>
        <sz val="12"/>
        <color theme="1"/>
        <rFont val="Arial"/>
        <family val="2"/>
      </rPr>
      <t xml:space="preserve">s the known data points of the </t>
    </r>
    <r>
      <rPr>
        <sz val="12"/>
        <color rgb="FF000000"/>
        <rFont val="Arial"/>
        <family val="2"/>
      </rPr>
      <t>equation</t>
    </r>
    <r>
      <rPr>
        <sz val="12"/>
        <color theme="1"/>
        <rFont val="Arial"/>
        <family val="2"/>
      </rPr>
      <t xml:space="preserve">, click the </t>
    </r>
    <r>
      <rPr>
        <b/>
        <sz val="12"/>
        <color theme="1"/>
        <rFont val="Arial"/>
        <family val="2"/>
      </rPr>
      <t>Plot</t>
    </r>
    <r>
      <rPr>
        <sz val="12"/>
        <color theme="1"/>
        <rFont val="Arial"/>
        <family val="2"/>
      </rPr>
      <t xml:space="preserve">  icon on the control panel. The Data and Function </t>
    </r>
    <r>
      <rPr>
        <sz val="12"/>
        <color rgb="FF000000"/>
        <rFont val="Arial"/>
        <family val="2"/>
      </rPr>
      <t>Fit</t>
    </r>
    <r>
      <rPr>
        <sz val="12"/>
        <color theme="1"/>
        <rFont val="Arial"/>
        <family val="2"/>
      </rPr>
      <t xml:space="preserve"> plot is shown next (with the scaling adjusted).</t>
    </r>
  </si>
  <si>
    <t>There are several type of parts that must go on the critical component list.</t>
  </si>
  <si>
    <t>New technology, mechanical parts, &amp; parts with known or suspected supplier problems.</t>
  </si>
  <si>
    <t>A quick part evaluation checklist to determine whether a part belongs to the critical</t>
  </si>
  <si>
    <t>components list is:</t>
  </si>
  <si>
    <t>Are there any known problems or deficiencies? Now? In the past?</t>
  </si>
  <si>
    <t>Is the specification preliminary, incomplete, or inadequate?</t>
  </si>
  <si>
    <t>Does the reliability or failure rate appear to be unachievable?</t>
  </si>
  <si>
    <t>Is the supplier or process new or unqualified?</t>
  </si>
  <si>
    <t>Does the part meet the "minimum" evaluation guidelines?</t>
  </si>
  <si>
    <t>Will the part "work" under worst-case conditions?</t>
  </si>
  <si>
    <t>Is the supplier sound and established?</t>
  </si>
  <si>
    <t>Is the supplier committed to "analysis" &amp; "testing" of part?</t>
  </si>
  <si>
    <t>Does the intended use meet the derating guideline?</t>
  </si>
  <si>
    <t>Is the part to be used in a "critical" application?</t>
  </si>
  <si>
    <t>Will this product contain any new technology which has not been implemented in O&amp;G industry or any other industry?</t>
  </si>
  <si>
    <t>Will this design be significantly different from the old one (e.g. more than 30% of the parts are new)?</t>
  </si>
  <si>
    <t>Will this design have more interfaces between components &amp; subsystems compared to the previous design?</t>
  </si>
  <si>
    <t>Will this design be exposed to more extreme environments (e.g. higher temperature, higher Δ T between high to low temperature cycles,  higher level of vibration)?</t>
  </si>
  <si>
    <t>Will this product have any new requirements (e.g. Mean life of 10 years instead of 5 years)?</t>
  </si>
  <si>
    <t>Will this product be used in a different application (e.g subsea electronics installed in a downhole completion tool)?</t>
  </si>
  <si>
    <t>Any new materials used in the design which could fail with a different failure mechanism (e.g. corrosion, high temperature) compared to the previous material used which was not identified through testing?</t>
  </si>
  <si>
    <t>Will this product be made in a new manufacturing location with new manufacturing processes which could potentially introduce new defects?</t>
  </si>
  <si>
    <t>Has this product been qualified / performance verification tested in the past to applicable standards?</t>
  </si>
  <si>
    <t>Has this product been tested in the past for long term reliability or durability?</t>
  </si>
  <si>
    <t>Risk Discovery Questions</t>
  </si>
  <si>
    <t>Label</t>
  </si>
  <si>
    <t>Question</t>
  </si>
  <si>
    <t>New Technology</t>
  </si>
  <si>
    <t>Does the design involve new technology?</t>
  </si>
  <si>
    <t>New Application</t>
  </si>
  <si>
    <t>Does the design apply existing technology in a new way?</t>
  </si>
  <si>
    <t>Historical Problems</t>
  </si>
  <si>
    <t>Have there been historical problems with this item?</t>
  </si>
  <si>
    <t>Safety Issues</t>
  </si>
  <si>
    <t>Is there a potential for safety-related issues?</t>
  </si>
  <si>
    <t>Mission-Critical</t>
  </si>
  <si>
    <t>Is this a mission-critical item?</t>
  </si>
  <si>
    <t>Regulatory</t>
  </si>
  <si>
    <t>Changes or concerns related to Regulatory Requirements?</t>
  </si>
  <si>
    <t>Specifications</t>
  </si>
  <si>
    <t>Changes or concerns related to the Specifications?</t>
  </si>
  <si>
    <t>Functions</t>
  </si>
  <si>
    <t>Changes or concerns related to the expected Functions?</t>
  </si>
  <si>
    <t>Performance</t>
  </si>
  <si>
    <t>Changes or concerns related to the Performance and/or Performance Requirements?</t>
  </si>
  <si>
    <t>Loading</t>
  </si>
  <si>
    <t>Changes or concerns related to the expected Loading?</t>
  </si>
  <si>
    <t>Environmental Loads</t>
  </si>
  <si>
    <t>Changes or concerns related to other Environmental Loads?</t>
  </si>
  <si>
    <t>Use Loads/Stresses</t>
  </si>
  <si>
    <t>Changes or concerns related to Use Loads/Stresses?</t>
  </si>
  <si>
    <t>Max Temp.</t>
  </si>
  <si>
    <t>Changes or concerns related to the HighTemperature Limit?</t>
  </si>
  <si>
    <t>Use Temp.</t>
  </si>
  <si>
    <t>Changes or concerns related to the expected Use Temperature?</t>
  </si>
  <si>
    <t>Low Temp.</t>
  </si>
  <si>
    <t>Changes or concerns related to the Low Temperature Limit?</t>
  </si>
  <si>
    <t>Humidity</t>
  </si>
  <si>
    <t>Changes or concerns related to the expected Humidity?</t>
  </si>
  <si>
    <t>Moisture</t>
  </si>
  <si>
    <t>Changes or concerns related to exposure to Moisture?</t>
  </si>
  <si>
    <t>Vibration</t>
  </si>
  <si>
    <t>Changes or concerns related to Vibration?</t>
  </si>
  <si>
    <t>System Parts</t>
  </si>
  <si>
    <t>Changes or concerns related to System Mating Parts?</t>
  </si>
  <si>
    <t>Changes or concerns related to Structure?</t>
  </si>
  <si>
    <t>Shape</t>
  </si>
  <si>
    <t>Changes or concerns related to Shape?</t>
  </si>
  <si>
    <t>Electronics</t>
  </si>
  <si>
    <t>Changes or concerns related to Circuits or Electronics?</t>
  </si>
  <si>
    <t>Software</t>
  </si>
  <si>
    <t>Changes or concerns related to Software?</t>
  </si>
  <si>
    <t>Components</t>
  </si>
  <si>
    <t>Changes or concerns related to Components?</t>
  </si>
  <si>
    <t>Materials</t>
  </si>
  <si>
    <t>Changes or concerns related to Materials?</t>
  </si>
  <si>
    <t>Processing</t>
  </si>
  <si>
    <t>Changes or concerns related to Processing?</t>
  </si>
  <si>
    <t>Assembly</t>
  </si>
  <si>
    <t>Changes or concerns related to Assembly?</t>
  </si>
  <si>
    <t>Suppliers</t>
  </si>
  <si>
    <t>Changes or concerns related to Suppliers?</t>
  </si>
  <si>
    <t>Mfg. Location</t>
  </si>
  <si>
    <t>Changes or concerns related to Manufacturing Location?</t>
  </si>
  <si>
    <t>Mfg. Process</t>
  </si>
  <si>
    <t>Changes or concerns related to Manufacturing Process?</t>
  </si>
  <si>
    <r>
      <rPr>
        <b/>
        <i/>
        <sz val="11"/>
        <color theme="1"/>
        <rFont val="Arial"/>
        <family val="2"/>
      </rPr>
      <t>Payback period</t>
    </r>
    <r>
      <rPr>
        <sz val="11"/>
        <color theme="1"/>
        <rFont val="Arial"/>
        <family val="2"/>
      </rPr>
      <t xml:space="preserve"> is simply the reciprocal of Return Of Investment (ROI)</t>
    </r>
  </si>
  <si>
    <r>
      <rPr>
        <b/>
        <i/>
        <sz val="11"/>
        <color theme="1"/>
        <rFont val="Arial"/>
        <family val="2"/>
      </rPr>
      <t>Benefit / cost ratio</t>
    </r>
    <r>
      <rPr>
        <sz val="11"/>
        <color theme="1"/>
        <rFont val="Arial"/>
        <family val="2"/>
      </rPr>
      <t xml:space="preserve"> is ROI multiplied by the expected years of useful life</t>
    </r>
  </si>
  <si>
    <r>
      <rPr>
        <b/>
        <i/>
        <sz val="11"/>
        <color theme="1"/>
        <rFont val="Arial"/>
        <family val="2"/>
      </rPr>
      <t>Net return</t>
    </r>
    <r>
      <rPr>
        <sz val="11"/>
        <color theme="1"/>
        <rFont val="Arial"/>
        <family val="2"/>
      </rPr>
      <t xml:space="preserve"> is calculated by multiplying the benefit / cost ratio by the investment cost</t>
    </r>
  </si>
  <si>
    <r>
      <t>F</t>
    </r>
    <r>
      <rPr>
        <vertAlign val="subscript"/>
        <sz val="11"/>
        <color theme="1"/>
        <rFont val="Arial"/>
        <family val="2"/>
      </rPr>
      <t>8</t>
    </r>
    <r>
      <rPr>
        <sz val="11"/>
        <color theme="1"/>
        <rFont val="Arial"/>
        <family val="2"/>
      </rPr>
      <t xml:space="preserve"> </t>
    </r>
  </si>
  <si>
    <r>
      <t>NC</t>
    </r>
    <r>
      <rPr>
        <vertAlign val="subscript"/>
        <sz val="11"/>
        <color theme="1"/>
        <rFont val="Arial"/>
        <family val="2"/>
      </rPr>
      <t>rep</t>
    </r>
    <r>
      <rPr>
        <sz val="11"/>
        <color theme="1"/>
        <rFont val="Arial"/>
        <family val="2"/>
      </rPr>
      <t xml:space="preserve"> / C</t>
    </r>
    <r>
      <rPr>
        <vertAlign val="subscript"/>
        <sz val="11"/>
        <color theme="1"/>
        <rFont val="Arial"/>
        <family val="2"/>
      </rPr>
      <t>R</t>
    </r>
    <r>
      <rPr>
        <sz val="11"/>
        <color theme="1"/>
        <rFont val="Arial"/>
        <family val="2"/>
      </rPr>
      <t xml:space="preserve"> (1 + OH)(1+P)</t>
    </r>
  </si>
  <si>
    <r>
      <t>ROI х F</t>
    </r>
    <r>
      <rPr>
        <vertAlign val="subscript"/>
        <sz val="11"/>
        <color theme="1"/>
        <rFont val="Arial"/>
        <family val="2"/>
      </rPr>
      <t>8</t>
    </r>
  </si>
  <si>
    <r>
      <t>B/C х C</t>
    </r>
    <r>
      <rPr>
        <vertAlign val="subscript"/>
        <sz val="11"/>
        <color theme="1"/>
        <rFont val="Arial"/>
        <family val="2"/>
      </rPr>
      <t>R</t>
    </r>
    <r>
      <rPr>
        <sz val="11"/>
        <color theme="1"/>
        <rFont val="Arial"/>
        <family val="2"/>
      </rPr>
      <t xml:space="preserve"> - C</t>
    </r>
    <r>
      <rPr>
        <vertAlign val="subscript"/>
        <sz val="11"/>
        <color theme="1"/>
        <rFont val="Arial"/>
        <family val="2"/>
      </rPr>
      <t>R</t>
    </r>
  </si>
  <si>
    <r>
      <t>(DB / C х C</t>
    </r>
    <r>
      <rPr>
        <vertAlign val="subscript"/>
        <sz val="11"/>
        <color theme="1"/>
        <rFont val="Arial"/>
        <family val="2"/>
      </rPr>
      <t>R) -</t>
    </r>
    <r>
      <rPr>
        <sz val="11"/>
        <color theme="1"/>
        <rFont val="Arial"/>
        <family val="2"/>
      </rPr>
      <t xml:space="preserve"> C</t>
    </r>
    <r>
      <rPr>
        <vertAlign val="subscript"/>
        <sz val="11"/>
        <color theme="1"/>
        <rFont val="Arial"/>
        <family val="2"/>
      </rPr>
      <t>R</t>
    </r>
  </si>
  <si>
    <t>Components of R80 LS Planetary Module</t>
  </si>
  <si>
    <t>Failure Rate (failures/year)</t>
  </si>
  <si>
    <t>Quantity</t>
  </si>
  <si>
    <t>Total Failure Rate per year</t>
  </si>
  <si>
    <t>LSS</t>
  </si>
  <si>
    <t>LSS Bearing RS</t>
  </si>
  <si>
    <t>LSS Bearing GS</t>
  </si>
  <si>
    <t>LS-PS</t>
  </si>
  <si>
    <t>LS-PS Bearing</t>
  </si>
  <si>
    <t>LS-PS Wheel</t>
  </si>
  <si>
    <t>LS Ring Wheel</t>
  </si>
  <si>
    <t>LS Sun Pinion</t>
  </si>
  <si>
    <t>LS Sun Shaft</t>
  </si>
  <si>
    <t>LS Sin Shaft Spline</t>
  </si>
  <si>
    <r>
      <t>P</t>
    </r>
    <r>
      <rPr>
        <vertAlign val="superscript"/>
        <sz val="11"/>
        <color theme="1"/>
        <rFont val="Arial"/>
        <family val="2"/>
      </rPr>
      <t>2</t>
    </r>
    <r>
      <rPr>
        <sz val="11"/>
        <color theme="1"/>
        <rFont val="Arial"/>
        <family val="2"/>
      </rPr>
      <t>=</t>
    </r>
  </si>
  <si>
    <r>
      <t>Baseline System Failure Rate (λ</t>
    </r>
    <r>
      <rPr>
        <vertAlign val="subscript"/>
        <sz val="10"/>
        <color theme="0"/>
        <rFont val="Arial"/>
        <family val="2"/>
      </rPr>
      <t>s</t>
    </r>
    <r>
      <rPr>
        <sz val="10"/>
        <color theme="0"/>
        <rFont val="Arial"/>
        <family val="2"/>
      </rPr>
      <t>)</t>
    </r>
  </si>
  <si>
    <r>
      <t>Required baseline system failure rate (λ</t>
    </r>
    <r>
      <rPr>
        <vertAlign val="subscript"/>
        <sz val="10"/>
        <color theme="0"/>
        <rFont val="Arial"/>
        <family val="2"/>
      </rPr>
      <t>s</t>
    </r>
    <r>
      <rPr>
        <sz val="10"/>
        <color theme="0"/>
        <rFont val="Arial"/>
        <family val="2"/>
      </rPr>
      <t>)</t>
    </r>
  </si>
  <si>
    <r>
      <t>Intricacy, r</t>
    </r>
    <r>
      <rPr>
        <vertAlign val="subscript"/>
        <sz val="10"/>
        <color theme="0"/>
        <rFont val="Arial"/>
        <family val="2"/>
      </rPr>
      <t>1</t>
    </r>
  </si>
  <si>
    <r>
      <t>State of the art, r</t>
    </r>
    <r>
      <rPr>
        <vertAlign val="subscript"/>
        <sz val="10"/>
        <color theme="0"/>
        <rFont val="Arial"/>
        <family val="2"/>
      </rPr>
      <t>2</t>
    </r>
  </si>
  <si>
    <r>
      <t>Performance time, r</t>
    </r>
    <r>
      <rPr>
        <vertAlign val="subscript"/>
        <sz val="10"/>
        <color theme="0"/>
        <rFont val="Arial"/>
        <family val="2"/>
      </rPr>
      <t>3</t>
    </r>
  </si>
  <si>
    <r>
      <t>Environment, r</t>
    </r>
    <r>
      <rPr>
        <vertAlign val="subscript"/>
        <sz val="10"/>
        <color theme="0"/>
        <rFont val="Arial"/>
        <family val="2"/>
      </rPr>
      <t>4</t>
    </r>
  </si>
  <si>
    <r>
      <t>Overall Rating, W</t>
    </r>
    <r>
      <rPr>
        <vertAlign val="subscript"/>
        <sz val="10"/>
        <color theme="0"/>
        <rFont val="Arial"/>
        <family val="2"/>
      </rPr>
      <t>k</t>
    </r>
  </si>
  <si>
    <r>
      <t>Complexity, C</t>
    </r>
    <r>
      <rPr>
        <vertAlign val="subscript"/>
        <sz val="10"/>
        <color theme="0"/>
        <rFont val="Arial"/>
        <family val="2"/>
      </rPr>
      <t>k</t>
    </r>
  </si>
  <si>
    <r>
      <t>Growth rate, C</t>
    </r>
    <r>
      <rPr>
        <b/>
        <vertAlign val="subscript"/>
        <sz val="10"/>
        <color theme="1"/>
        <rFont val="Consolas"/>
        <family val="3"/>
      </rPr>
      <t>A</t>
    </r>
  </si>
  <si>
    <r>
      <t>ln C</t>
    </r>
    <r>
      <rPr>
        <b/>
        <vertAlign val="subscript"/>
        <sz val="10"/>
        <color theme="1"/>
        <rFont val="Consolas"/>
        <family val="3"/>
      </rPr>
      <t>A</t>
    </r>
  </si>
  <si>
    <r>
      <t>Growth rate, C</t>
    </r>
    <r>
      <rPr>
        <b/>
        <vertAlign val="subscript"/>
        <sz val="10"/>
        <color theme="1"/>
        <rFont val="Consolas"/>
        <family val="3"/>
      </rPr>
      <t>B</t>
    </r>
  </si>
  <si>
    <r>
      <t>Type A bacteria is governed by a process described by equation C</t>
    </r>
    <r>
      <rPr>
        <vertAlign val="subscript"/>
        <sz val="11"/>
        <color theme="1"/>
        <rFont val="Consolas"/>
        <family val="3"/>
      </rPr>
      <t>A</t>
    </r>
    <r>
      <rPr>
        <sz val="11"/>
        <color theme="1"/>
        <rFont val="Consolas"/>
        <family val="3"/>
      </rPr>
      <t xml:space="preserve"> = ae</t>
    </r>
    <r>
      <rPr>
        <vertAlign val="superscript"/>
        <sz val="11"/>
        <color theme="1"/>
        <rFont val="Consolas"/>
        <family val="3"/>
      </rPr>
      <t>bt</t>
    </r>
  </si>
  <si>
    <r>
      <t>Type B bacteria is governed by a process described by equation C</t>
    </r>
    <r>
      <rPr>
        <vertAlign val="subscript"/>
        <sz val="11"/>
        <color theme="1"/>
        <rFont val="Consolas"/>
        <family val="3"/>
      </rPr>
      <t>B</t>
    </r>
    <r>
      <rPr>
        <sz val="11"/>
        <color theme="1"/>
        <rFont val="Consolas"/>
        <family val="3"/>
      </rPr>
      <t>=at</t>
    </r>
    <r>
      <rPr>
        <vertAlign val="superscript"/>
        <sz val="11"/>
        <color theme="1"/>
        <rFont val="Consolas"/>
        <family val="3"/>
      </rPr>
      <t>b</t>
    </r>
  </si>
  <si>
    <r>
      <t>ln C</t>
    </r>
    <r>
      <rPr>
        <b/>
        <vertAlign val="subscript"/>
        <sz val="11"/>
        <color theme="1"/>
        <rFont val="Consolas"/>
        <family val="3"/>
      </rPr>
      <t>B</t>
    </r>
  </si>
  <si>
    <r>
      <rPr>
        <b/>
        <u/>
        <sz val="11"/>
        <color theme="1"/>
        <rFont val="Consolas"/>
        <family val="3"/>
      </rPr>
      <t>Failure criteria:</t>
    </r>
    <r>
      <rPr>
        <sz val="11"/>
        <color theme="1"/>
        <rFont val="Consolas"/>
        <family val="3"/>
      </rPr>
      <t xml:space="preserve"> RPM reduced by 15%, or noise increased by 3 db, or input current increased by 20%</t>
    </r>
  </si>
  <si>
    <r>
      <t>Present value maintenance cost [PV</t>
    </r>
    <r>
      <rPr>
        <vertAlign val="subscript"/>
        <sz val="12"/>
        <color rgb="FF0000E1"/>
        <rFont val="Calibri"/>
        <family val="2"/>
      </rPr>
      <t>am</t>
    </r>
    <r>
      <rPr>
        <sz val="12"/>
        <color rgb="FF0000E1"/>
        <rFont val="Calibri"/>
        <family val="2"/>
      </rPr>
      <t>]</t>
    </r>
  </si>
  <si>
    <r>
      <t>Present value operating cost [PV</t>
    </r>
    <r>
      <rPr>
        <vertAlign val="subscript"/>
        <sz val="12"/>
        <color rgb="FF0000E1"/>
        <rFont val="Calibri"/>
        <family val="2"/>
      </rPr>
      <t>ao</t>
    </r>
    <r>
      <rPr>
        <sz val="12"/>
        <color rgb="FF0000E1"/>
        <rFont val="Calibri"/>
        <family val="2"/>
      </rPr>
      <t>]</t>
    </r>
  </si>
  <si>
    <r>
      <t>LCC</t>
    </r>
    <r>
      <rPr>
        <vertAlign val="subscript"/>
        <sz val="12"/>
        <color theme="1"/>
        <rFont val="Calibri"/>
        <family val="2"/>
      </rPr>
      <t>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</si>
</sst>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0.00"/>
    <numFmt numFmtId="165" formatCode="0.0%"/>
    <numFmt numFmtId="166" formatCode="0.000%"/>
    <numFmt numFmtId="167" formatCode="&quot;$&quot;#,##0"/>
    <numFmt numFmtId="168" formatCode="&quot;$&quot;#,##0.000"/>
    <numFmt numFmtId="169" formatCode="0.0E+00"/>
    <numFmt numFmtId="170" formatCode="0.0"/>
    <numFmt numFmtId="171" formatCode="0.000"/>
    <numFmt numFmtId="172" formatCode="0.0000"/>
    <numFmt numFmtId="173" formatCode="0.000000"/>
    <numFmt numFmtId="174" formatCode="0.000\ 000"/>
    <numFmt numFmtId="175" formatCode="0.00\ %"/>
    <numFmt numFmtId="176" formatCode="0.000E+00"/>
    <numFmt numFmtId="177" formatCode="0.00000"/>
    <numFmt numFmtId="178" formatCode="0.0000000"/>
    <numFmt numFmtId="179" formatCode="0.00000000"/>
    <numFmt numFmtId="180" formatCode="0.000000000"/>
    <numFmt numFmtId="181" formatCode="0.0000000000"/>
    <numFmt numFmtId="182" formatCode="&quot;$&quot;#,##0.00"/>
    <numFmt numFmtId="183" formatCode="#,##0.000"/>
    <numFmt numFmtId="184" formatCode="&quot;$&quot;#,##0.0"/>
    <numFmt numFmtId="185" formatCode="#,##0.0"/>
  </numFmts>
  <fonts count="207">
    <font>
      <sz val="11"/>
      <color theme="1"/>
      <name val="Calibri"/>
      <family val="2"/>
      <scheme val="minor"/>
    </font>
    <font>
      <sz val="12"/>
      <color theme="1"/>
      <name val="Arial"/>
      <family val="2"/>
    </font>
    <font>
      <sz val="11"/>
      <color theme="1"/>
      <name val="GE Inspira Book"/>
      <family val="2"/>
    </font>
    <font>
      <b/>
      <sz val="11"/>
      <color theme="0"/>
      <name val="GE Inspira Book"/>
      <family val="2"/>
    </font>
    <font>
      <sz val="12"/>
      <color rgb="FF000000"/>
      <name val="Trebuchet MS"/>
      <family val="2"/>
    </font>
    <font>
      <i/>
      <sz val="12"/>
      <color rgb="FF000000"/>
      <name val="Trebuchet MS"/>
      <family val="2"/>
    </font>
    <font>
      <i/>
      <vertAlign val="superscript"/>
      <sz val="12"/>
      <color rgb="FF000000"/>
      <name val="Trebuchet MS"/>
      <family val="2"/>
    </font>
    <font>
      <i/>
      <vertAlign val="subscript"/>
      <sz val="12"/>
      <color rgb="FF000000"/>
      <name val="Trebuchet MS"/>
      <family val="2"/>
    </font>
    <font>
      <b/>
      <u/>
      <sz val="14"/>
      <color rgb="FF000000"/>
      <name val="GE Inspira Book"/>
      <family val="2"/>
    </font>
    <font>
      <b/>
      <sz val="12"/>
      <color rgb="FF000000"/>
      <name val="GE Inspira Book"/>
      <family val="2"/>
    </font>
    <font>
      <b/>
      <u/>
      <sz val="11"/>
      <color theme="1"/>
      <name val="GE Inspira Book"/>
      <family val="2"/>
    </font>
    <font>
      <vertAlign val="subscript"/>
      <sz val="11"/>
      <color theme="1"/>
      <name val="GE Inspira Book"/>
      <family val="2"/>
    </font>
    <font>
      <b/>
      <sz val="9"/>
      <color indexed="81"/>
      <name val="Tahoma"/>
      <family val="2"/>
    </font>
    <font>
      <u/>
      <sz val="11"/>
      <color theme="10"/>
      <name val="Calibri"/>
      <family val="2"/>
      <scheme val="minor"/>
    </font>
    <font>
      <sz val="11"/>
      <color theme="1"/>
      <name val="GE Inspira Sans"/>
      <family val="2"/>
    </font>
    <font>
      <b/>
      <sz val="10"/>
      <color rgb="FFFFFFFF"/>
      <name val="GE Inspira Sans"/>
      <family val="2"/>
    </font>
    <font>
      <b/>
      <u/>
      <sz val="12"/>
      <color theme="1"/>
      <name val="GE Inspira Sans"/>
      <family val="2"/>
    </font>
    <font>
      <sz val="12"/>
      <color theme="1"/>
      <name val="GE Inspira Sans"/>
      <family val="2"/>
    </font>
    <font>
      <b/>
      <sz val="12"/>
      <color rgb="FFFFFFFF"/>
      <name val="GE Inspira Sans"/>
      <family val="2"/>
    </font>
    <font>
      <sz val="12"/>
      <color rgb="FF000000"/>
      <name val="GE Inspira Sans"/>
      <family val="2"/>
    </font>
    <font>
      <sz val="12"/>
      <name val="GE Inspira Sans"/>
      <family val="2"/>
    </font>
    <font>
      <sz val="12"/>
      <color rgb="FFFF0000"/>
      <name val="GE Inspira Sans"/>
      <family val="2"/>
    </font>
    <font>
      <i/>
      <sz val="12"/>
      <color theme="1"/>
      <name val="GE Inspira Sans"/>
      <family val="2"/>
    </font>
    <font>
      <b/>
      <sz val="12"/>
      <color theme="1"/>
      <name val="GE Inspira Sans"/>
      <family val="2"/>
    </font>
    <font>
      <b/>
      <sz val="11"/>
      <color theme="1"/>
      <name val="GE Inspira Sans"/>
      <family val="2"/>
    </font>
    <font>
      <b/>
      <sz val="10"/>
      <color rgb="FF000000"/>
      <name val="GE Inspira Sans"/>
      <family val="2"/>
    </font>
    <font>
      <u/>
      <sz val="11"/>
      <color theme="1"/>
      <name val="GE Inspira Sans"/>
      <family val="2"/>
    </font>
    <font>
      <b/>
      <u/>
      <sz val="16"/>
      <color rgb="FF000000"/>
      <name val="GE Inspira Sans"/>
      <family val="2"/>
    </font>
    <font>
      <sz val="14"/>
      <color theme="1"/>
      <name val="GE Inspira Sans"/>
      <family val="2"/>
    </font>
    <font>
      <sz val="18"/>
      <color theme="1"/>
      <name val="GE Inspira Sans"/>
      <family val="2"/>
    </font>
    <font>
      <sz val="10"/>
      <color theme="1"/>
      <name val="GE Inspira Sans"/>
      <family val="2"/>
    </font>
    <font>
      <b/>
      <sz val="14"/>
      <color theme="1"/>
      <name val="GE Inspira Sans"/>
      <family val="2"/>
    </font>
    <font>
      <b/>
      <sz val="14"/>
      <color rgb="FFFF0000"/>
      <name val="GE Inspira Sans"/>
      <family val="2"/>
    </font>
    <font>
      <b/>
      <sz val="10"/>
      <color rgb="FFFF0000"/>
      <name val="GE Inspira Sans"/>
      <family val="2"/>
    </font>
    <font>
      <b/>
      <sz val="10"/>
      <color theme="1"/>
      <name val="GE Inspira Sans"/>
      <family val="2"/>
    </font>
    <font>
      <sz val="8"/>
      <color rgb="FF5E7CA8"/>
      <name val="GE Inspira Sans"/>
      <family val="2"/>
    </font>
    <font>
      <sz val="8"/>
      <color rgb="FF000000"/>
      <name val="GE Inspira Sans"/>
      <family val="2"/>
    </font>
    <font>
      <u/>
      <sz val="11"/>
      <color theme="10"/>
      <name val="GE Inspira Sans"/>
      <family val="2"/>
    </font>
    <font>
      <b/>
      <sz val="18"/>
      <color rgb="FF000000"/>
      <name val="GE Inspira Sans"/>
      <family val="2"/>
    </font>
    <font>
      <b/>
      <sz val="18"/>
      <color rgb="FF25397D"/>
      <name val="GE Inspira Sans"/>
      <family val="2"/>
    </font>
    <font>
      <b/>
      <sz val="12"/>
      <color rgb="FF000000"/>
      <name val="GE Inspira Sans"/>
      <family val="2"/>
    </font>
    <font>
      <b/>
      <sz val="14"/>
      <color rgb="FF3D63A0"/>
      <name val="GE Inspira Sans"/>
      <family val="2"/>
    </font>
    <font>
      <b/>
      <sz val="14"/>
      <color rgb="FF000000"/>
      <name val="GE Inspira Sans"/>
      <family val="2"/>
    </font>
    <font>
      <b/>
      <i/>
      <sz val="11"/>
      <color theme="1"/>
      <name val="GE Inspira Sans"/>
      <family val="2"/>
    </font>
    <font>
      <sz val="11"/>
      <color rgb="FF000000"/>
      <name val="GE Inspira Sans"/>
      <family val="2"/>
    </font>
    <font>
      <b/>
      <sz val="12"/>
      <name val="GE Inspira Sans"/>
      <family val="2"/>
    </font>
    <font>
      <b/>
      <sz val="11"/>
      <color rgb="FF000000"/>
      <name val="GE Inspira Sans"/>
      <family val="2"/>
    </font>
    <font>
      <sz val="11"/>
      <name val="GE Inspira Sans"/>
      <family val="2"/>
    </font>
    <font>
      <sz val="10"/>
      <color theme="1"/>
      <name val="GE Inspira Book"/>
      <family val="2"/>
    </font>
    <font>
      <sz val="10"/>
      <color rgb="FF000000"/>
      <name val="GE Inspira Book"/>
      <family val="2"/>
    </font>
    <font>
      <b/>
      <sz val="12"/>
      <color rgb="FF000000"/>
      <name val="Trebuchet MS"/>
      <family val="2"/>
    </font>
    <font>
      <b/>
      <sz val="12"/>
      <color theme="1"/>
      <name val="Trebuchet MS"/>
      <family val="2"/>
    </font>
    <font>
      <sz val="12"/>
      <color theme="1"/>
      <name val="Trebuchet MS"/>
      <family val="2"/>
    </font>
    <font>
      <b/>
      <sz val="12"/>
      <color rgb="FF336699"/>
      <name val="Trebuchet MS"/>
      <family val="2"/>
    </font>
    <font>
      <sz val="10"/>
      <color rgb="FF000000"/>
      <name val="Symbol"/>
      <family val="1"/>
      <charset val="2"/>
    </font>
    <font>
      <sz val="7"/>
      <color rgb="FF000000"/>
      <name val="Times New Roman"/>
      <family val="1"/>
    </font>
    <font>
      <b/>
      <sz val="14"/>
      <color rgb="FF000000"/>
      <name val="Trebuchet MS"/>
      <family val="2"/>
    </font>
    <font>
      <b/>
      <sz val="12"/>
      <color rgb="FF000000"/>
      <name val="Nyala"/>
    </font>
    <font>
      <sz val="12"/>
      <color rgb="FF0000FF"/>
      <name val="Nyala"/>
    </font>
    <font>
      <sz val="12"/>
      <color rgb="FF000000"/>
      <name val="Nyala"/>
    </font>
    <font>
      <b/>
      <u/>
      <sz val="12"/>
      <color rgb="FF0000FF"/>
      <name val="Nyala"/>
    </font>
    <font>
      <b/>
      <sz val="12"/>
      <color rgb="FF336699"/>
      <name val="Nyala"/>
    </font>
    <font>
      <u/>
      <sz val="12"/>
      <color theme="10"/>
      <name val="Nyala"/>
    </font>
    <font>
      <sz val="10"/>
      <name val="Tahoma"/>
      <family val="2"/>
    </font>
    <font>
      <u/>
      <sz val="10"/>
      <color theme="10"/>
      <name val="Tahoma"/>
      <family val="2"/>
    </font>
    <font>
      <u/>
      <sz val="10"/>
      <color theme="11"/>
      <name val="Tahoma"/>
      <family val="2"/>
    </font>
    <font>
      <sz val="10"/>
      <color rgb="FFFF0000"/>
      <name val="Tahoma"/>
      <family val="2"/>
    </font>
    <font>
      <b/>
      <sz val="10"/>
      <color theme="3"/>
      <name val="Tahoma"/>
      <family val="2"/>
    </font>
    <font>
      <sz val="10"/>
      <color rgb="FF3F3F76"/>
      <name val="Tahoma"/>
      <family val="2"/>
    </font>
    <font>
      <b/>
      <sz val="10"/>
      <color rgb="FF3F3F3F"/>
      <name val="Tahoma"/>
      <family val="2"/>
    </font>
    <font>
      <b/>
      <sz val="10"/>
      <color rgb="FFFA7D00"/>
      <name val="Tahoma"/>
      <family val="2"/>
    </font>
    <font>
      <b/>
      <sz val="10"/>
      <color theme="0"/>
      <name val="Tahoma"/>
      <family val="2"/>
    </font>
    <font>
      <sz val="10"/>
      <color rgb="FFFA7D00"/>
      <name val="Tahoma"/>
      <family val="2"/>
    </font>
    <font>
      <b/>
      <sz val="10"/>
      <color theme="1"/>
      <name val="Tahoma"/>
      <family val="2"/>
    </font>
    <font>
      <sz val="10"/>
      <color rgb="FF006100"/>
      <name val="Tahoma"/>
      <family val="2"/>
    </font>
    <font>
      <sz val="10"/>
      <color rgb="FF9C0006"/>
      <name val="Tahoma"/>
      <family val="2"/>
    </font>
    <font>
      <sz val="10"/>
      <color rgb="FF9C6500"/>
      <name val="Tahoma"/>
      <family val="2"/>
    </font>
    <font>
      <sz val="10"/>
      <color theme="0"/>
      <name val="Tahoma"/>
      <family val="2"/>
    </font>
    <font>
      <sz val="10"/>
      <color theme="1"/>
      <name val="Tahoma"/>
      <family val="2"/>
    </font>
    <font>
      <i/>
      <sz val="10"/>
      <color rgb="FF7F7F7F"/>
      <name val="Tahoma"/>
      <family val="2"/>
    </font>
    <font>
      <sz val="11"/>
      <color theme="1"/>
      <name val="GE Inspira Serif"/>
      <family val="1"/>
    </font>
    <font>
      <sz val="14"/>
      <color theme="1"/>
      <name val="GE Inspira Serif"/>
      <family val="1"/>
    </font>
    <font>
      <i/>
      <sz val="14"/>
      <color theme="1"/>
      <name val="GE Inspira Serif"/>
      <family val="1"/>
    </font>
    <font>
      <b/>
      <sz val="14"/>
      <color theme="1"/>
      <name val="GE Inspira Serif"/>
      <family val="1"/>
    </font>
    <font>
      <vertAlign val="subscript"/>
      <sz val="14"/>
      <color theme="1"/>
      <name val="GE Inspira Serif"/>
      <family val="1"/>
    </font>
    <font>
      <vertAlign val="superscript"/>
      <sz val="14"/>
      <color theme="1"/>
      <name val="GE Inspira Serif"/>
      <family val="1"/>
    </font>
    <font>
      <b/>
      <sz val="14"/>
      <color rgb="FF000000"/>
      <name val="GE Inspira Serif"/>
      <family val="1"/>
    </font>
    <font>
      <sz val="14"/>
      <name val="GE Inspira Serif"/>
      <family val="1"/>
    </font>
    <font>
      <sz val="10"/>
      <name val="GE Inspira Serif"/>
      <family val="1"/>
    </font>
    <font>
      <sz val="9.8000000000000007"/>
      <color theme="1"/>
      <name val="GE Inspira Serif"/>
      <family val="1"/>
    </font>
    <font>
      <vertAlign val="subscript"/>
      <sz val="14"/>
      <name val="GE Inspira Serif"/>
      <family val="1"/>
    </font>
    <font>
      <b/>
      <sz val="12"/>
      <color rgb="FF000000"/>
      <name val="GE Inspira Serif"/>
      <family val="1"/>
    </font>
    <font>
      <sz val="12"/>
      <name val="GE Inspira Serif"/>
      <family val="1"/>
    </font>
    <font>
      <sz val="12"/>
      <color theme="1"/>
      <name val="Segoe UI Semilight"/>
      <family val="2"/>
    </font>
    <font>
      <sz val="10"/>
      <color theme="1"/>
      <name val="Segoe UI Semilight"/>
      <family val="2"/>
    </font>
    <font>
      <sz val="14"/>
      <color theme="1"/>
      <name val="GE Inspira Book"/>
      <family val="2"/>
    </font>
    <font>
      <b/>
      <sz val="14"/>
      <color theme="1"/>
      <name val="GE Inspira Book"/>
      <family val="2"/>
    </font>
    <font>
      <sz val="14"/>
      <color theme="0"/>
      <name val="GE Inspira Book"/>
      <family val="2"/>
    </font>
    <font>
      <sz val="14"/>
      <color theme="1"/>
      <name val="Agency FB"/>
      <family val="2"/>
    </font>
    <font>
      <b/>
      <sz val="14"/>
      <color rgb="FF7030A0"/>
      <name val="GE Inspira Book"/>
      <family val="2"/>
    </font>
    <font>
      <sz val="18"/>
      <color theme="1"/>
      <name val="GE Inspira Book"/>
      <family val="2"/>
    </font>
    <font>
      <b/>
      <sz val="18"/>
      <color theme="1"/>
      <name val="GE Inspira Book"/>
      <family val="2"/>
    </font>
    <font>
      <sz val="18"/>
      <color theme="0"/>
      <name val="GE Inspira Book"/>
      <family val="2"/>
    </font>
    <font>
      <sz val="18"/>
      <color theme="1"/>
      <name val="Agency FB"/>
      <family val="2"/>
    </font>
    <font>
      <sz val="10"/>
      <color theme="0"/>
      <name val="Segoe UI Semilight"/>
      <family val="2"/>
    </font>
    <font>
      <sz val="9"/>
      <color indexed="81"/>
      <name val="Tahoma"/>
      <family val="2"/>
    </font>
    <font>
      <u/>
      <sz val="11"/>
      <color theme="1"/>
      <name val="GE Inspira Book"/>
      <family val="2"/>
    </font>
    <font>
      <b/>
      <sz val="11"/>
      <color theme="1"/>
      <name val="GE Inspira Book"/>
      <family val="2"/>
    </font>
    <font>
      <sz val="11"/>
      <color rgb="FF0070C0"/>
      <name val="GE Inspira Book"/>
      <family val="2"/>
    </font>
    <font>
      <sz val="11"/>
      <color rgb="FFFF0000"/>
      <name val="GE Inspira Book"/>
      <family val="2"/>
    </font>
    <font>
      <sz val="11"/>
      <color rgb="FFC00000"/>
      <name val="GE Inspira Book"/>
      <family val="2"/>
    </font>
    <font>
      <vertAlign val="superscript"/>
      <sz val="11"/>
      <color theme="1"/>
      <name val="GE Inspira Book"/>
      <family val="2"/>
    </font>
    <font>
      <sz val="12"/>
      <color theme="1"/>
      <name val="GE Inspira Book"/>
      <family val="2"/>
    </font>
    <font>
      <sz val="10"/>
      <color theme="0"/>
      <name val="GE Inspira Book"/>
      <family val="2"/>
    </font>
    <font>
      <b/>
      <sz val="11"/>
      <color theme="1"/>
      <name val="Calibri"/>
      <family val="2"/>
      <scheme val="minor"/>
    </font>
    <font>
      <i/>
      <sz val="11"/>
      <color theme="1"/>
      <name val="GE Inspira Book"/>
      <family val="2"/>
    </font>
    <font>
      <sz val="10"/>
      <color rgb="FFFF0000"/>
      <name val="Tahoma"/>
      <family val="2"/>
    </font>
    <font>
      <u/>
      <sz val="10"/>
      <color theme="10"/>
      <name val="Tahoma"/>
      <family val="2"/>
    </font>
    <font>
      <u/>
      <sz val="10"/>
      <color theme="11"/>
      <name val="Tahoma"/>
      <family val="2"/>
    </font>
    <font>
      <b/>
      <sz val="10"/>
      <color theme="3"/>
      <name val="Tahoma"/>
      <family val="2"/>
    </font>
    <font>
      <sz val="10"/>
      <color rgb="FF3F3F76"/>
      <name val="Tahoma"/>
      <family val="2"/>
    </font>
    <font>
      <b/>
      <sz val="10"/>
      <color rgb="FF3F3F3F"/>
      <name val="Tahoma"/>
      <family val="2"/>
    </font>
    <font>
      <b/>
      <sz val="10"/>
      <color rgb="FFFA7D00"/>
      <name val="Tahoma"/>
      <family val="2"/>
    </font>
    <font>
      <b/>
      <sz val="10"/>
      <color theme="0"/>
      <name val="Tahoma"/>
      <family val="2"/>
    </font>
    <font>
      <sz val="10"/>
      <color rgb="FFFA7D00"/>
      <name val="Tahoma"/>
      <family val="2"/>
    </font>
    <font>
      <b/>
      <sz val="10"/>
      <color theme="1"/>
      <name val="Tahoma"/>
      <family val="2"/>
    </font>
    <font>
      <sz val="10"/>
      <color rgb="FF006100"/>
      <name val="Tahoma"/>
      <family val="2"/>
    </font>
    <font>
      <sz val="10"/>
      <color rgb="FF9C0006"/>
      <name val="Tahoma"/>
      <family val="2"/>
    </font>
    <font>
      <sz val="10"/>
      <color rgb="FF9C6500"/>
      <name val="Tahoma"/>
      <family val="2"/>
    </font>
    <font>
      <sz val="10"/>
      <color theme="0"/>
      <name val="Tahoma"/>
      <family val="2"/>
    </font>
    <font>
      <sz val="10"/>
      <color theme="1"/>
      <name val="Tahoma"/>
      <family val="2"/>
    </font>
    <font>
      <i/>
      <sz val="10"/>
      <color rgb="FF7F7F7F"/>
      <name val="Tahoma"/>
      <family val="2"/>
    </font>
    <font>
      <sz val="11"/>
      <color theme="1"/>
      <name val="GE Inspira Pitch"/>
      <family val="2"/>
    </font>
    <font>
      <sz val="12"/>
      <color theme="1"/>
      <name val="Calibri"/>
      <family val="2"/>
      <scheme val="minor"/>
    </font>
    <font>
      <b/>
      <sz val="11"/>
      <color indexed="18"/>
      <name val="Calibri"/>
      <family val="2"/>
      <scheme val="minor"/>
    </font>
    <font>
      <sz val="12"/>
      <color theme="1"/>
      <name val="GE Inspira Serif"/>
      <family val="1"/>
    </font>
    <font>
      <vertAlign val="subscript"/>
      <sz val="12"/>
      <color theme="1"/>
      <name val="GE Inspira Serif"/>
      <family val="1"/>
    </font>
    <font>
      <vertAlign val="subscript"/>
      <sz val="12"/>
      <color theme="1"/>
      <name val="GE Inspira Sans"/>
      <family val="2"/>
    </font>
    <font>
      <i/>
      <vertAlign val="subscript"/>
      <sz val="11"/>
      <color theme="1"/>
      <name val="GE Inspira Book"/>
      <family val="2"/>
    </font>
    <font>
      <i/>
      <vertAlign val="superscript"/>
      <sz val="11"/>
      <color theme="1"/>
      <name val="GE Inspira Book"/>
      <family val="2"/>
    </font>
    <font>
      <b/>
      <sz val="10"/>
      <color rgb="FF0000FF"/>
      <name val="GE Inspira Book"/>
      <family val="2"/>
    </font>
    <font>
      <sz val="10"/>
      <name val="GE Inspira Book"/>
      <family val="2"/>
    </font>
    <font>
      <b/>
      <u/>
      <sz val="10"/>
      <color theme="1"/>
      <name val="GE Inspira Book"/>
      <family val="2"/>
    </font>
    <font>
      <i/>
      <sz val="10"/>
      <color theme="1"/>
      <name val="GE Inspira Book"/>
      <family val="2"/>
    </font>
    <font>
      <b/>
      <sz val="12"/>
      <color theme="1"/>
      <name val="GE Inspira Book"/>
      <family val="2"/>
    </font>
    <font>
      <sz val="12"/>
      <color rgb="FF0000E1"/>
      <name val="GE Inspira Book"/>
      <family val="2"/>
    </font>
    <font>
      <b/>
      <sz val="12"/>
      <color rgb="FF0000E1"/>
      <name val="GE Inspira Book"/>
      <family val="2"/>
    </font>
    <font>
      <vertAlign val="subscript"/>
      <sz val="12"/>
      <color rgb="FF0000E1"/>
      <name val="GE Inspira Book"/>
      <family val="2"/>
    </font>
    <font>
      <vertAlign val="subscript"/>
      <sz val="12"/>
      <color theme="1"/>
      <name val="GE Inspira Book"/>
      <family val="2"/>
    </font>
    <font>
      <b/>
      <sz val="10"/>
      <color rgb="FFFFFFFF"/>
      <name val="GE Inspira Book"/>
      <family val="2"/>
    </font>
    <font>
      <b/>
      <sz val="10"/>
      <name val="GE Inspira Book"/>
      <family val="2"/>
    </font>
    <font>
      <b/>
      <sz val="11"/>
      <color rgb="FF0000E1"/>
      <name val="GE Inspira Book"/>
      <family val="2"/>
    </font>
    <font>
      <sz val="11"/>
      <color rgb="FF0000E1"/>
      <name val="GE Inspira Book"/>
      <family val="2"/>
    </font>
    <font>
      <sz val="10"/>
      <color theme="1"/>
      <name val="GE Inspira Serif"/>
      <family val="1"/>
    </font>
    <font>
      <b/>
      <u/>
      <sz val="10"/>
      <color theme="1"/>
      <name val="GE Inspira Serif"/>
      <family val="1"/>
    </font>
    <font>
      <u/>
      <sz val="10"/>
      <color theme="1"/>
      <name val="GE Inspira Serif"/>
      <family val="1"/>
    </font>
    <font>
      <b/>
      <vertAlign val="superscript"/>
      <sz val="11"/>
      <color theme="1"/>
      <name val="GE Inspira Book"/>
      <family val="2"/>
    </font>
    <font>
      <sz val="11"/>
      <color theme="1"/>
      <name val="Arial"/>
      <family val="2"/>
    </font>
    <font>
      <sz val="11"/>
      <color rgb="FF002060"/>
      <name val="Arial"/>
      <family val="2"/>
    </font>
    <font>
      <i/>
      <sz val="10"/>
      <color theme="1"/>
      <name val="Arial"/>
      <family val="2"/>
    </font>
    <font>
      <sz val="11"/>
      <color rgb="FF0000E1"/>
      <name val="Arial"/>
      <family val="2"/>
    </font>
    <font>
      <b/>
      <sz val="11"/>
      <color rgb="FF0000E1"/>
      <name val="Arial"/>
      <family val="2"/>
    </font>
    <font>
      <b/>
      <sz val="11"/>
      <color theme="1"/>
      <name val="Arial"/>
      <family val="2"/>
    </font>
    <font>
      <vertAlign val="subscript"/>
      <sz val="11"/>
      <color theme="1"/>
      <name val="Arial"/>
      <family val="2"/>
    </font>
    <font>
      <vertAlign val="superscript"/>
      <sz val="11"/>
      <color theme="1"/>
      <name val="Arial"/>
      <family val="2"/>
    </font>
    <font>
      <b/>
      <sz val="10"/>
      <color theme="1"/>
      <name val="Arial"/>
      <family val="2"/>
    </font>
    <font>
      <sz val="10"/>
      <color theme="1"/>
      <name val="Arial"/>
      <family val="2"/>
    </font>
    <font>
      <b/>
      <u/>
      <sz val="11"/>
      <color theme="1"/>
      <name val="Arial"/>
      <family val="2"/>
    </font>
    <font>
      <b/>
      <sz val="12"/>
      <color theme="1"/>
      <name val="Arial"/>
      <family val="2"/>
    </font>
    <font>
      <b/>
      <u/>
      <sz val="14"/>
      <color theme="1"/>
      <name val="Arial"/>
      <family val="2"/>
    </font>
    <font>
      <b/>
      <i/>
      <sz val="11"/>
      <color theme="1"/>
      <name val="Arial"/>
      <family val="2"/>
    </font>
    <font>
      <b/>
      <i/>
      <sz val="11"/>
      <color rgb="FFFF0000"/>
      <name val="Arial"/>
      <family val="2"/>
    </font>
    <font>
      <sz val="11"/>
      <color theme="2" tint="-0.499984740745262"/>
      <name val="Arial"/>
      <family val="2"/>
    </font>
    <font>
      <sz val="8"/>
      <color rgb="FF5E7CA8"/>
      <name val="Arial"/>
      <family val="2"/>
    </font>
    <font>
      <sz val="8"/>
      <color rgb="FF000000"/>
      <name val="Arial"/>
      <family val="2"/>
    </font>
    <font>
      <b/>
      <sz val="18"/>
      <color rgb="FF000000"/>
      <name val="Arial"/>
      <family val="2"/>
    </font>
    <font>
      <b/>
      <sz val="18"/>
      <color rgb="FF25397D"/>
      <name val="Arial"/>
      <family val="2"/>
    </font>
    <font>
      <sz val="12"/>
      <color rgb="FF000000"/>
      <name val="Arial"/>
      <family val="2"/>
    </font>
    <font>
      <b/>
      <sz val="12"/>
      <color rgb="FF000000"/>
      <name val="Arial"/>
      <family val="2"/>
    </font>
    <font>
      <b/>
      <sz val="14"/>
      <color rgb="FF3D63A0"/>
      <name val="Arial"/>
      <family val="2"/>
    </font>
    <font>
      <i/>
      <sz val="12"/>
      <color theme="1"/>
      <name val="Arial"/>
      <family val="2"/>
    </font>
    <font>
      <u/>
      <sz val="11"/>
      <color theme="10"/>
      <name val="Arial"/>
      <family val="2"/>
    </font>
    <font>
      <sz val="10"/>
      <name val="Arial"/>
      <family val="2"/>
    </font>
    <font>
      <b/>
      <sz val="10"/>
      <color rgb="FF000000"/>
      <name val="Arial"/>
      <family val="2"/>
    </font>
    <font>
      <sz val="10"/>
      <color rgb="FF000000"/>
      <name val="Arial"/>
      <family val="2"/>
    </font>
    <font>
      <b/>
      <sz val="10"/>
      <color rgb="FF0000FF"/>
      <name val="Arial"/>
      <family val="2"/>
    </font>
    <font>
      <b/>
      <sz val="10"/>
      <name val="Arial"/>
      <family val="2"/>
    </font>
    <font>
      <sz val="10"/>
      <color rgb="FFFF0000"/>
      <name val="Arial"/>
      <family val="2"/>
    </font>
    <font>
      <sz val="10"/>
      <color theme="0"/>
      <name val="Arial"/>
      <family val="2"/>
    </font>
    <font>
      <vertAlign val="subscript"/>
      <sz val="10"/>
      <color theme="0"/>
      <name val="Arial"/>
      <family val="2"/>
    </font>
    <font>
      <b/>
      <sz val="10"/>
      <color rgb="FF002060"/>
      <name val="Arial"/>
      <family val="2"/>
    </font>
    <font>
      <b/>
      <sz val="10"/>
      <color theme="1"/>
      <name val="Consolas"/>
      <family val="3"/>
    </font>
    <font>
      <b/>
      <vertAlign val="subscript"/>
      <sz val="10"/>
      <color theme="1"/>
      <name val="Consolas"/>
      <family val="3"/>
    </font>
    <font>
      <sz val="10"/>
      <color theme="1"/>
      <name val="Consolas"/>
      <family val="3"/>
    </font>
    <font>
      <sz val="11"/>
      <color theme="1"/>
      <name val="Consolas"/>
      <family val="3"/>
    </font>
    <font>
      <vertAlign val="subscript"/>
      <sz val="11"/>
      <color theme="1"/>
      <name val="Consolas"/>
      <family val="3"/>
    </font>
    <font>
      <vertAlign val="superscript"/>
      <sz val="11"/>
      <color theme="1"/>
      <name val="Consolas"/>
      <family val="3"/>
    </font>
    <font>
      <b/>
      <sz val="11"/>
      <color theme="1"/>
      <name val="Consolas"/>
      <family val="3"/>
    </font>
    <font>
      <b/>
      <vertAlign val="subscript"/>
      <sz val="11"/>
      <color theme="1"/>
      <name val="Consolas"/>
      <family val="3"/>
    </font>
    <font>
      <i/>
      <sz val="11"/>
      <color theme="1"/>
      <name val="Consolas"/>
      <family val="3"/>
    </font>
    <font>
      <b/>
      <u/>
      <sz val="11"/>
      <color theme="1"/>
      <name val="Consolas"/>
      <family val="3"/>
    </font>
    <font>
      <sz val="12"/>
      <color theme="1"/>
      <name val="Calibri"/>
      <family val="2"/>
    </font>
    <font>
      <b/>
      <sz val="12"/>
      <color theme="1"/>
      <name val="Calibri"/>
      <family val="2"/>
    </font>
    <font>
      <sz val="12"/>
      <color rgb="FF0000E1"/>
      <name val="Calibri"/>
      <family val="2"/>
    </font>
    <font>
      <b/>
      <sz val="12"/>
      <color rgb="FF0000E1"/>
      <name val="Calibri"/>
      <family val="2"/>
    </font>
    <font>
      <vertAlign val="subscript"/>
      <sz val="12"/>
      <color rgb="FF0000E1"/>
      <name val="Calibri"/>
      <family val="2"/>
    </font>
    <font>
      <vertAlign val="subscript"/>
      <sz val="12"/>
      <color theme="1"/>
      <name val="Calibri"/>
      <family val="2"/>
    </font>
  </fonts>
  <fills count="64">
    <fill>
      <patternFill patternType="none"/>
    </fill>
    <fill>
      <patternFill patternType="gray125"/>
    </fill>
    <fill>
      <patternFill patternType="solid">
        <fgColor rgb="FF00FF00"/>
        <bgColor indexed="64"/>
      </patternFill>
    </fill>
    <fill>
      <patternFill patternType="solid">
        <fgColor rgb="FF0000FF"/>
        <bgColor indexed="64"/>
      </patternFill>
    </fill>
    <fill>
      <patternFill patternType="solid">
        <fgColor rgb="FF000000"/>
      </patternFill>
    </fill>
    <fill>
      <patternFill patternType="solid">
        <fgColor rgb="FFFFFFFF"/>
      </patternFill>
    </fill>
    <fill>
      <patternFill patternType="solid">
        <fgColor rgb="FFFFFFFF"/>
        <bgColor indexed="64"/>
      </patternFill>
    </fill>
    <fill>
      <patternFill patternType="solid">
        <fgColor rgb="FFE3E3E3"/>
      </patternFill>
    </fill>
    <fill>
      <patternFill patternType="solid">
        <fgColor rgb="FFFFFF00"/>
        <bgColor indexed="64"/>
      </patternFill>
    </fill>
    <fill>
      <patternFill patternType="solid">
        <fgColor theme="2" tint="-0.249977111117893"/>
        <bgColor indexed="64"/>
      </patternFill>
    </fill>
    <fill>
      <patternFill patternType="solid">
        <fgColor rgb="FFC0C0C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5"/>
      </patternFill>
    </fill>
    <fill>
      <patternFill patternType="solid">
        <fgColor theme="5" tint="0.59999389629810485"/>
        <bgColor indexed="65"/>
      </patternFill>
    </fill>
    <fill>
      <patternFill patternType="solid">
        <fgColor theme="6"/>
      </patternFill>
    </fill>
    <fill>
      <patternFill patternType="solid">
        <fgColor theme="6" tint="0.59999389629810485"/>
        <bgColor indexed="65"/>
      </patternFill>
    </fill>
    <fill>
      <patternFill patternType="solid">
        <fgColor theme="7"/>
      </patternFill>
    </fill>
    <fill>
      <patternFill patternType="solid">
        <fgColor theme="7" tint="0.59999389629810485"/>
        <bgColor indexed="65"/>
      </patternFill>
    </fill>
    <fill>
      <patternFill patternType="solid">
        <fgColor theme="8"/>
      </patternFill>
    </fill>
    <fill>
      <patternFill patternType="solid">
        <fgColor theme="8" tint="0.59999389629810485"/>
        <bgColor indexed="65"/>
      </patternFill>
    </fill>
    <fill>
      <patternFill patternType="solid">
        <fgColor theme="9"/>
      </patternFill>
    </fill>
    <fill>
      <patternFill patternType="solid">
        <fgColor theme="9" tint="0.59999389629810485"/>
        <bgColor indexed="65"/>
      </patternFill>
    </fill>
    <fill>
      <patternFill patternType="solid">
        <fgColor theme="4" tint="0.79995117038483843"/>
        <bgColor indexed="65"/>
      </patternFill>
    </fill>
    <fill>
      <patternFill patternType="solid">
        <fgColor theme="4" tint="0.39994506668294322"/>
        <bgColor indexed="65"/>
      </patternFill>
    </fill>
    <fill>
      <patternFill patternType="solid">
        <fgColor theme="5" tint="0.79995117038483843"/>
        <bgColor indexed="65"/>
      </patternFill>
    </fill>
    <fill>
      <patternFill patternType="solid">
        <fgColor theme="5" tint="0.39994506668294322"/>
        <bgColor indexed="65"/>
      </patternFill>
    </fill>
    <fill>
      <patternFill patternType="solid">
        <fgColor theme="6" tint="0.79995117038483843"/>
        <bgColor indexed="65"/>
      </patternFill>
    </fill>
    <fill>
      <patternFill patternType="solid">
        <fgColor theme="6" tint="0.39994506668294322"/>
        <bgColor indexed="65"/>
      </patternFill>
    </fill>
    <fill>
      <patternFill patternType="solid">
        <fgColor theme="7" tint="0.79995117038483843"/>
        <bgColor indexed="65"/>
      </patternFill>
    </fill>
    <fill>
      <patternFill patternType="solid">
        <fgColor theme="7" tint="0.39994506668294322"/>
        <bgColor indexed="65"/>
      </patternFill>
    </fill>
    <fill>
      <patternFill patternType="solid">
        <fgColor theme="8" tint="0.79995117038483843"/>
        <bgColor indexed="65"/>
      </patternFill>
    </fill>
    <fill>
      <patternFill patternType="solid">
        <fgColor theme="8" tint="0.39994506668294322"/>
        <bgColor indexed="65"/>
      </patternFill>
    </fill>
    <fill>
      <patternFill patternType="solid">
        <fgColor theme="9" tint="0.79995117038483843"/>
        <bgColor indexed="65"/>
      </patternFill>
    </fill>
    <fill>
      <patternFill patternType="solid">
        <fgColor theme="9" tint="0.39994506668294322"/>
        <bgColor indexed="65"/>
      </patternFill>
    </fill>
    <fill>
      <patternFill patternType="solid">
        <fgColor rgb="FF00B0F0"/>
        <bgColor indexed="64"/>
      </patternFill>
    </fill>
    <fill>
      <patternFill patternType="solid">
        <fgColor rgb="FFD0D0D0"/>
        <bgColor indexed="64"/>
      </patternFill>
    </fill>
    <fill>
      <patternFill patternType="solid">
        <fgColor theme="7"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002060"/>
        <bgColor indexed="64"/>
      </patternFill>
    </fill>
    <fill>
      <patternFill patternType="solid">
        <fgColor theme="1" tint="0.249977111117893"/>
        <bgColor indexed="64"/>
      </patternFill>
    </fill>
    <fill>
      <patternFill patternType="solid">
        <fgColor rgb="FF0070C0"/>
        <bgColor indexed="64"/>
      </patternFill>
    </fill>
    <fill>
      <patternFill patternType="solid">
        <fgColor theme="5" tint="-0.249977111117893"/>
        <bgColor indexed="64"/>
      </patternFill>
    </fill>
    <fill>
      <patternFill patternType="solid">
        <fgColor rgb="FFFFC000"/>
        <bgColor indexed="64"/>
      </patternFill>
    </fill>
    <fill>
      <patternFill patternType="solid">
        <fgColor rgb="FF8DB3E2"/>
      </patternFill>
    </fill>
    <fill>
      <patternFill patternType="solid">
        <fgColor rgb="FF938953"/>
      </patternFill>
    </fill>
    <fill>
      <patternFill patternType="solid">
        <fgColor theme="5" tint="0.59999389629810485"/>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rgb="FF92D050"/>
        <bgColor indexed="64"/>
      </patternFill>
    </fill>
    <fill>
      <patternFill patternType="solid">
        <fgColor theme="4" tint="0.59999389629810485"/>
        <bgColor indexed="64"/>
      </patternFill>
    </fill>
    <fill>
      <patternFill patternType="solid">
        <fgColor theme="5" tint="0.79998168889431442"/>
        <bgColor indexed="64"/>
      </patternFill>
    </fill>
  </fills>
  <borders count="8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
      <left style="medium">
        <color rgb="FFDADADA"/>
      </left>
      <right style="medium">
        <color rgb="FFDADADA"/>
      </right>
      <top style="medium">
        <color rgb="FFDADADA"/>
      </top>
      <bottom style="medium">
        <color rgb="FFDADADA"/>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thin">
        <color rgb="FFFF0000"/>
      </left>
      <right style="thin">
        <color rgb="FFFF0000"/>
      </right>
      <top style="thin">
        <color rgb="FFFF0000"/>
      </top>
      <bottom style="thin">
        <color rgb="FFFF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000000"/>
      </left>
      <right style="medium">
        <color rgb="FF000000"/>
      </right>
      <top style="thin">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right/>
      <top/>
      <bottom style="thick">
        <color theme="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tint="0.39994506668294322"/>
      </bottom>
      <diagonal/>
    </border>
    <border>
      <left/>
      <right/>
      <top style="thin">
        <color indexed="64"/>
      </top>
      <bottom/>
      <diagonal/>
    </border>
    <border>
      <left/>
      <right/>
      <top style="thin">
        <color indexed="64"/>
      </top>
      <bottom style="double">
        <color indexed="64"/>
      </bottom>
      <diagonal/>
    </border>
    <border>
      <left style="medium">
        <color rgb="FF000000"/>
      </left>
      <right style="thin">
        <color rgb="FF000000"/>
      </right>
      <top style="thin">
        <color rgb="FF000000"/>
      </top>
      <bottom style="medium">
        <color rgb="FF000000"/>
      </bottom>
      <diagonal/>
    </border>
    <border>
      <left/>
      <right style="medium">
        <color rgb="FFBFBFBF"/>
      </right>
      <top/>
      <bottom style="medium">
        <color rgb="FFBFBFBF"/>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right/>
      <top/>
      <bottom style="medium">
        <color rgb="FFBFBFBF"/>
      </bottom>
      <diagonal/>
    </border>
    <border>
      <left style="medium">
        <color rgb="FFB0B0B0"/>
      </left>
      <right/>
      <top style="medium">
        <color rgb="FFB0B0B0"/>
      </top>
      <bottom style="medium">
        <color rgb="FFB0B0B0"/>
      </bottom>
      <diagonal/>
    </border>
    <border>
      <left/>
      <right style="medium">
        <color rgb="FFB0B0B0"/>
      </right>
      <top style="medium">
        <color rgb="FFB0B0B0"/>
      </top>
      <bottom style="medium">
        <color rgb="FFB0B0B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bottom style="thin">
        <color indexed="64"/>
      </bottom>
      <diagonal/>
    </border>
    <border>
      <left style="thin">
        <color indexed="64"/>
      </left>
      <right style="thin">
        <color indexed="64"/>
      </right>
      <top/>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right/>
      <top style="thin">
        <color indexed="23"/>
      </top>
      <bottom/>
      <diagonal/>
    </border>
    <border>
      <left/>
      <right/>
      <top style="thin">
        <color indexed="23"/>
      </top>
      <bottom style="medium">
        <color indexed="23"/>
      </bottom>
      <diagonal/>
    </border>
    <border>
      <left/>
      <right/>
      <top style="medium">
        <color indexed="23"/>
      </top>
      <bottom style="medium">
        <color indexed="23"/>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medium">
        <color indexed="64"/>
      </top>
      <bottom style="thin">
        <color indexed="64"/>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thin">
        <color indexed="64"/>
      </right>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top style="medium">
        <color auto="1"/>
      </top>
      <bottom/>
      <diagonal/>
    </border>
    <border>
      <left/>
      <right/>
      <top style="thin">
        <color rgb="FF000000"/>
      </top>
      <bottom style="double">
        <color rgb="FF000000"/>
      </bottom>
      <diagonal/>
    </border>
  </borders>
  <cellStyleXfs count="102">
    <xf numFmtId="0" fontId="0" fillId="0" borderId="0"/>
    <xf numFmtId="0" fontId="13" fillId="0" borderId="0" applyNumberFormat="0" applyFill="0" applyBorder="0" applyAlignment="0" applyProtection="0"/>
    <xf numFmtId="0" fontId="63" fillId="0" borderId="0"/>
    <xf numFmtId="0" fontId="63" fillId="0" borderId="0">
      <alignment horizontal="center" vertical="center"/>
      <protection hidden="1"/>
    </xf>
    <xf numFmtId="43" fontId="63" fillId="0" borderId="0" applyFill="0" applyBorder="0" applyAlignment="0" applyProtection="0"/>
    <xf numFmtId="44" fontId="63" fillId="0" borderId="0" applyFill="0" applyBorder="0" applyAlignment="0" applyProtection="0"/>
    <xf numFmtId="9" fontId="63" fillId="0" borderId="0" applyFill="0" applyBorder="0" applyAlignment="0" applyProtection="0"/>
    <xf numFmtId="41" fontId="63" fillId="0" borderId="0" applyFill="0" applyBorder="0" applyAlignment="0" applyProtection="0"/>
    <xf numFmtId="42" fontId="63" fillId="0" borderId="0" applyFill="0" applyBorder="0" applyAlignment="0" applyProtection="0"/>
    <xf numFmtId="0" fontId="64" fillId="0" borderId="0" applyNumberFormat="0" applyFill="0" applyBorder="0" applyAlignment="0" applyProtection="0"/>
    <xf numFmtId="0" fontId="65" fillId="0" borderId="0" applyNumberFormat="0" applyFill="0" applyBorder="0" applyAlignment="0" applyProtection="0"/>
    <xf numFmtId="0" fontId="63" fillId="17" borderId="37" applyNumberFormat="0" applyAlignment="0" applyProtection="0"/>
    <xf numFmtId="0" fontId="66" fillId="0" borderId="0" applyNumberFormat="0" applyFill="0" applyBorder="0" applyAlignment="0" applyProtection="0"/>
    <xf numFmtId="0" fontId="67" fillId="0" borderId="0" applyNumberFormat="0" applyFill="0" applyBorder="0" applyAlignment="0" applyProtection="0"/>
    <xf numFmtId="0" fontId="67" fillId="0" borderId="31" applyNumberFormat="0" applyFill="0" applyAlignment="0" applyProtection="0"/>
    <xf numFmtId="0" fontId="67" fillId="0" borderId="32" applyNumberFormat="0" applyFill="0" applyAlignment="0" applyProtection="0"/>
    <xf numFmtId="0" fontId="67" fillId="0" borderId="39" applyNumberFormat="0" applyFill="0" applyAlignment="0" applyProtection="0"/>
    <xf numFmtId="0" fontId="67" fillId="0" borderId="0" applyNumberFormat="0" applyFill="0" applyBorder="0" applyAlignment="0" applyProtection="0"/>
    <xf numFmtId="0" fontId="68" fillId="14" borderId="33" applyNumberFormat="0" applyAlignment="0" applyProtection="0"/>
    <xf numFmtId="0" fontId="69" fillId="15" borderId="34" applyNumberFormat="0" applyAlignment="0" applyProtection="0"/>
    <xf numFmtId="0" fontId="70" fillId="15" borderId="33" applyNumberFormat="0" applyAlignment="0" applyProtection="0"/>
    <xf numFmtId="0" fontId="71" fillId="16" borderId="36" applyNumberFormat="0" applyAlignment="0" applyProtection="0"/>
    <xf numFmtId="0" fontId="72" fillId="0" borderId="35" applyNumberFormat="0" applyFill="0" applyAlignment="0" applyProtection="0"/>
    <xf numFmtId="0" fontId="73" fillId="0" borderId="38" applyNumberFormat="0" applyFill="0" applyAlignment="0" applyProtection="0"/>
    <xf numFmtId="0" fontId="74" fillId="11" borderId="0" applyNumberFormat="0" applyBorder="0" applyAlignment="0" applyProtection="0"/>
    <xf numFmtId="0" fontId="75" fillId="12" borderId="0" applyNumberFormat="0" applyBorder="0" applyAlignment="0" applyProtection="0"/>
    <xf numFmtId="0" fontId="76" fillId="13" borderId="0" applyNumberFormat="0" applyBorder="0" applyAlignment="0" applyProtection="0"/>
    <xf numFmtId="0" fontId="77" fillId="18" borderId="0" applyNumberFormat="0" applyBorder="0" applyAlignment="0" applyProtection="0"/>
    <xf numFmtId="0" fontId="78" fillId="30" borderId="0" applyNumberFormat="0" applyBorder="0" applyAlignment="0" applyProtection="0"/>
    <xf numFmtId="0" fontId="78" fillId="19" borderId="0" applyNumberFormat="0" applyBorder="0" applyAlignment="0" applyProtection="0"/>
    <xf numFmtId="0" fontId="77" fillId="31" borderId="0" applyNumberFormat="0" applyBorder="0" applyAlignment="0" applyProtection="0"/>
    <xf numFmtId="0" fontId="77" fillId="20" borderId="0" applyNumberFormat="0" applyBorder="0" applyAlignment="0" applyProtection="0"/>
    <xf numFmtId="0" fontId="78" fillId="32" borderId="0" applyNumberFormat="0" applyBorder="0" applyAlignment="0" applyProtection="0"/>
    <xf numFmtId="0" fontId="78" fillId="21" borderId="0" applyNumberFormat="0" applyBorder="0" applyAlignment="0" applyProtection="0"/>
    <xf numFmtId="0" fontId="77" fillId="33" borderId="0" applyNumberFormat="0" applyBorder="0" applyAlignment="0" applyProtection="0"/>
    <xf numFmtId="0" fontId="77" fillId="22" borderId="0" applyNumberFormat="0" applyBorder="0" applyAlignment="0" applyProtection="0"/>
    <xf numFmtId="0" fontId="78" fillId="34" borderId="0" applyNumberFormat="0" applyBorder="0" applyAlignment="0" applyProtection="0"/>
    <xf numFmtId="0" fontId="78" fillId="23" borderId="0" applyNumberFormat="0" applyBorder="0" applyAlignment="0" applyProtection="0"/>
    <xf numFmtId="0" fontId="77" fillId="35" borderId="0" applyNumberFormat="0" applyBorder="0" applyAlignment="0" applyProtection="0"/>
    <xf numFmtId="0" fontId="77" fillId="24" borderId="0" applyNumberFormat="0" applyBorder="0" applyAlignment="0" applyProtection="0"/>
    <xf numFmtId="0" fontId="78" fillId="36" borderId="0" applyNumberFormat="0" applyBorder="0" applyAlignment="0" applyProtection="0"/>
    <xf numFmtId="0" fontId="78" fillId="25" borderId="0" applyNumberFormat="0" applyBorder="0" applyAlignment="0" applyProtection="0"/>
    <xf numFmtId="0" fontId="77" fillId="37" borderId="0" applyNumberFormat="0" applyBorder="0" applyAlignment="0" applyProtection="0"/>
    <xf numFmtId="0" fontId="77" fillId="26" borderId="0" applyNumberFormat="0" applyBorder="0" applyAlignment="0" applyProtection="0"/>
    <xf numFmtId="0" fontId="78" fillId="38" borderId="0" applyNumberFormat="0" applyBorder="0" applyAlignment="0" applyProtection="0"/>
    <xf numFmtId="0" fontId="78" fillId="27" borderId="0" applyNumberFormat="0" applyBorder="0" applyAlignment="0" applyProtection="0"/>
    <xf numFmtId="0" fontId="77" fillId="39" borderId="0" applyNumberFormat="0" applyBorder="0" applyAlignment="0" applyProtection="0"/>
    <xf numFmtId="0" fontId="77" fillId="28" borderId="0" applyNumberFormat="0" applyBorder="0" applyAlignment="0" applyProtection="0"/>
    <xf numFmtId="0" fontId="78" fillId="40" borderId="0" applyNumberFormat="0" applyBorder="0" applyAlignment="0" applyProtection="0"/>
    <xf numFmtId="0" fontId="78" fillId="29" borderId="0" applyNumberFormat="0" applyBorder="0" applyAlignment="0" applyProtection="0"/>
    <xf numFmtId="0" fontId="77" fillId="41" borderId="0" applyNumberFormat="0" applyBorder="0" applyAlignment="0" applyProtection="0"/>
    <xf numFmtId="0" fontId="79" fillId="0" borderId="0" applyNumberFormat="0" applyFill="0" applyBorder="0" applyAlignment="0" applyProtection="0"/>
    <xf numFmtId="43" fontId="63" fillId="0" borderId="0" applyFill="0" applyBorder="0" applyAlignment="0" applyProtection="0"/>
    <xf numFmtId="44" fontId="63" fillId="0" borderId="0" applyFill="0" applyBorder="0" applyAlignment="0" applyProtection="0"/>
    <xf numFmtId="43" fontId="63" fillId="0" borderId="0" applyFill="0" applyBorder="0" applyAlignment="0" applyProtection="0"/>
    <xf numFmtId="44" fontId="63" fillId="0" borderId="0" applyFill="0" applyBorder="0" applyAlignment="0" applyProtection="0"/>
    <xf numFmtId="0" fontId="117" fillId="0" borderId="0" applyNumberFormat="0" applyFill="0" applyBorder="0" applyAlignment="0" applyProtection="0"/>
    <xf numFmtId="0" fontId="118" fillId="0" borderId="0" applyNumberFormat="0" applyFill="0" applyBorder="0" applyAlignment="0" applyProtection="0"/>
    <xf numFmtId="0" fontId="116" fillId="0" borderId="0" applyNumberFormat="0" applyFill="0" applyBorder="0" applyAlignment="0" applyProtection="0"/>
    <xf numFmtId="0" fontId="119" fillId="0" borderId="0" applyNumberFormat="0" applyFill="0" applyBorder="0" applyAlignment="0" applyProtection="0"/>
    <xf numFmtId="0" fontId="119" fillId="0" borderId="31" applyNumberFormat="0" applyFill="0" applyAlignment="0" applyProtection="0"/>
    <xf numFmtId="0" fontId="119" fillId="0" borderId="32" applyNumberFormat="0" applyFill="0" applyAlignment="0" applyProtection="0"/>
    <xf numFmtId="0" fontId="119" fillId="0" borderId="39" applyNumberFormat="0" applyFill="0" applyAlignment="0" applyProtection="0"/>
    <xf numFmtId="0" fontId="119" fillId="0" borderId="0" applyNumberFormat="0" applyFill="0" applyBorder="0" applyAlignment="0" applyProtection="0"/>
    <xf numFmtId="0" fontId="120" fillId="14" borderId="33" applyNumberFormat="0" applyAlignment="0" applyProtection="0"/>
    <xf numFmtId="0" fontId="121" fillId="15" borderId="34" applyNumberFormat="0" applyAlignment="0" applyProtection="0"/>
    <xf numFmtId="0" fontId="122" fillId="15" borderId="33" applyNumberFormat="0" applyAlignment="0" applyProtection="0"/>
    <xf numFmtId="0" fontId="123" fillId="16" borderId="36" applyNumberFormat="0" applyAlignment="0" applyProtection="0"/>
    <xf numFmtId="0" fontId="124" fillId="0" borderId="35" applyNumberFormat="0" applyFill="0" applyAlignment="0" applyProtection="0"/>
    <xf numFmtId="0" fontId="125" fillId="0" borderId="38" applyNumberFormat="0" applyFill="0" applyAlignment="0" applyProtection="0"/>
    <xf numFmtId="0" fontId="126" fillId="11" borderId="0" applyNumberFormat="0" applyBorder="0" applyAlignment="0" applyProtection="0"/>
    <xf numFmtId="0" fontId="127" fillId="12" borderId="0" applyNumberFormat="0" applyBorder="0" applyAlignment="0" applyProtection="0"/>
    <xf numFmtId="0" fontId="128" fillId="13" borderId="0" applyNumberFormat="0" applyBorder="0" applyAlignment="0" applyProtection="0"/>
    <xf numFmtId="0" fontId="129" fillId="18" borderId="0" applyNumberFormat="0" applyBorder="0" applyAlignment="0" applyProtection="0"/>
    <xf numFmtId="0" fontId="130" fillId="30" borderId="0" applyNumberFormat="0" applyBorder="0" applyAlignment="0" applyProtection="0"/>
    <xf numFmtId="0" fontId="130" fillId="19" borderId="0" applyNumberFormat="0" applyBorder="0" applyAlignment="0" applyProtection="0"/>
    <xf numFmtId="0" fontId="129" fillId="31" borderId="0" applyNumberFormat="0" applyBorder="0" applyAlignment="0" applyProtection="0"/>
    <xf numFmtId="0" fontId="129" fillId="20" borderId="0" applyNumberFormat="0" applyBorder="0" applyAlignment="0" applyProtection="0"/>
    <xf numFmtId="0" fontId="130" fillId="32" borderId="0" applyNumberFormat="0" applyBorder="0" applyAlignment="0" applyProtection="0"/>
    <xf numFmtId="0" fontId="130" fillId="21" borderId="0" applyNumberFormat="0" applyBorder="0" applyAlignment="0" applyProtection="0"/>
    <xf numFmtId="0" fontId="129" fillId="33" borderId="0" applyNumberFormat="0" applyBorder="0" applyAlignment="0" applyProtection="0"/>
    <xf numFmtId="0" fontId="129" fillId="22" borderId="0" applyNumberFormat="0" applyBorder="0" applyAlignment="0" applyProtection="0"/>
    <xf numFmtId="0" fontId="130" fillId="34" borderId="0" applyNumberFormat="0" applyBorder="0" applyAlignment="0" applyProtection="0"/>
    <xf numFmtId="0" fontId="130" fillId="23" borderId="0" applyNumberFormat="0" applyBorder="0" applyAlignment="0" applyProtection="0"/>
    <xf numFmtId="0" fontId="129" fillId="35" borderId="0" applyNumberFormat="0" applyBorder="0" applyAlignment="0" applyProtection="0"/>
    <xf numFmtId="0" fontId="129" fillId="24" borderId="0" applyNumberFormat="0" applyBorder="0" applyAlignment="0" applyProtection="0"/>
    <xf numFmtId="0" fontId="130" fillId="36" borderId="0" applyNumberFormat="0" applyBorder="0" applyAlignment="0" applyProtection="0"/>
    <xf numFmtId="0" fontId="130" fillId="25" borderId="0" applyNumberFormat="0" applyBorder="0" applyAlignment="0" applyProtection="0"/>
    <xf numFmtId="0" fontId="129" fillId="37" borderId="0" applyNumberFormat="0" applyBorder="0" applyAlignment="0" applyProtection="0"/>
    <xf numFmtId="0" fontId="129" fillId="26" borderId="0" applyNumberFormat="0" applyBorder="0" applyAlignment="0" applyProtection="0"/>
    <xf numFmtId="0" fontId="130" fillId="38" borderId="0" applyNumberFormat="0" applyBorder="0" applyAlignment="0" applyProtection="0"/>
    <xf numFmtId="0" fontId="130" fillId="27" borderId="0" applyNumberFormat="0" applyBorder="0" applyAlignment="0" applyProtection="0"/>
    <xf numFmtId="0" fontId="129" fillId="39" borderId="0" applyNumberFormat="0" applyBorder="0" applyAlignment="0" applyProtection="0"/>
    <xf numFmtId="0" fontId="129" fillId="28" borderId="0" applyNumberFormat="0" applyBorder="0" applyAlignment="0" applyProtection="0"/>
    <xf numFmtId="0" fontId="130" fillId="40" borderId="0" applyNumberFormat="0" applyBorder="0" applyAlignment="0" applyProtection="0"/>
    <xf numFmtId="0" fontId="130" fillId="29" borderId="0" applyNumberFormat="0" applyBorder="0" applyAlignment="0" applyProtection="0"/>
    <xf numFmtId="0" fontId="129" fillId="41" borderId="0" applyNumberFormat="0" applyBorder="0" applyAlignment="0" applyProtection="0"/>
    <xf numFmtId="0" fontId="131" fillId="0" borderId="0" applyNumberFormat="0" applyFill="0" applyBorder="0" applyAlignment="0" applyProtection="0"/>
    <xf numFmtId="43" fontId="63" fillId="0" borderId="0" applyFill="0" applyBorder="0" applyAlignment="0" applyProtection="0"/>
    <xf numFmtId="44" fontId="63" fillId="0" borderId="0" applyFill="0" applyBorder="0" applyAlignment="0" applyProtection="0"/>
    <xf numFmtId="44" fontId="63" fillId="0" borderId="0" applyFill="0" applyBorder="0" applyAlignment="0" applyProtection="0"/>
    <xf numFmtId="43" fontId="63" fillId="0" borderId="0" applyFill="0" applyBorder="0" applyAlignment="0" applyProtection="0"/>
  </cellStyleXfs>
  <cellXfs count="788">
    <xf numFmtId="0" fontId="0" fillId="0" borderId="0" xfId="0"/>
    <xf numFmtId="0" fontId="2" fillId="0" borderId="0" xfId="0" applyFont="1"/>
    <xf numFmtId="0" fontId="2" fillId="0" borderId="0" xfId="0" applyFont="1" applyAlignment="1">
      <alignment horizontal="center"/>
    </xf>
    <xf numFmtId="0" fontId="2" fillId="0" borderId="1" xfId="0" applyFont="1" applyBorder="1" applyAlignment="1">
      <alignment horizontal="center" vertical="center"/>
    </xf>
    <xf numFmtId="0" fontId="3" fillId="3" borderId="1" xfId="0" applyFont="1" applyFill="1" applyBorder="1" applyAlignment="1">
      <alignment horizontal="center" vertical="top" wrapText="1"/>
    </xf>
    <xf numFmtId="10" fontId="2" fillId="0" borderId="1" xfId="0" applyNumberFormat="1" applyFont="1" applyBorder="1" applyAlignment="1">
      <alignment horizontal="center" vertical="center"/>
    </xf>
    <xf numFmtId="0" fontId="5" fillId="0" borderId="0" xfId="0" applyFont="1" applyAlignment="1">
      <alignment horizontal="left" vertical="center" indent="4"/>
    </xf>
    <xf numFmtId="0" fontId="4" fillId="0" borderId="4" xfId="0" applyFont="1" applyBorder="1" applyAlignment="1">
      <alignment vertical="center"/>
    </xf>
    <xf numFmtId="0" fontId="2" fillId="0" borderId="5" xfId="0" applyFont="1" applyBorder="1"/>
    <xf numFmtId="0" fontId="2" fillId="0" borderId="6" xfId="0" applyFont="1" applyBorder="1"/>
    <xf numFmtId="0" fontId="0" fillId="0" borderId="7" xfId="0" applyBorder="1"/>
    <xf numFmtId="0" fontId="2" fillId="0" borderId="0" xfId="0" applyFont="1" applyBorder="1"/>
    <xf numFmtId="0" fontId="2" fillId="0" borderId="8" xfId="0" applyFont="1" applyBorder="1"/>
    <xf numFmtId="0" fontId="4" fillId="0" borderId="7" xfId="0" applyFont="1" applyBorder="1" applyAlignment="1">
      <alignment vertical="center"/>
    </xf>
    <xf numFmtId="0" fontId="5" fillId="0" borderId="7" xfId="0" applyFont="1" applyBorder="1" applyAlignment="1">
      <alignment horizontal="left" vertical="center" indent="4"/>
    </xf>
    <xf numFmtId="0" fontId="5" fillId="0" borderId="9" xfId="0" applyFont="1" applyBorder="1" applyAlignment="1">
      <alignment horizontal="left" vertical="center" indent="4"/>
    </xf>
    <xf numFmtId="0" fontId="2" fillId="0" borderId="10" xfId="0" applyFont="1" applyBorder="1"/>
    <xf numFmtId="0" fontId="2" fillId="0" borderId="11" xfId="0" applyFont="1" applyBorder="1"/>
    <xf numFmtId="0" fontId="5" fillId="0" borderId="0" xfId="0" applyFont="1" applyBorder="1" applyAlignment="1">
      <alignment horizontal="left" vertical="center" indent="4"/>
    </xf>
    <xf numFmtId="0" fontId="2" fillId="0" borderId="1" xfId="0" applyFont="1" applyBorder="1" applyAlignment="1">
      <alignment horizontal="center"/>
    </xf>
    <xf numFmtId="10" fontId="2" fillId="0" borderId="1" xfId="0" applyNumberFormat="1" applyFont="1" applyBorder="1" applyAlignment="1">
      <alignment horizontal="center"/>
    </xf>
    <xf numFmtId="2" fontId="2" fillId="0" borderId="1" xfId="0" applyNumberFormat="1" applyFont="1" applyBorder="1" applyAlignment="1">
      <alignment horizontal="center"/>
    </xf>
    <xf numFmtId="0" fontId="8" fillId="0" borderId="0" xfId="0" applyFont="1" applyAlignment="1">
      <alignment horizontal="center" vertical="center"/>
    </xf>
    <xf numFmtId="0" fontId="10" fillId="0" borderId="0" xfId="0" applyFont="1"/>
    <xf numFmtId="0" fontId="2" fillId="0" borderId="0" xfId="0" applyFont="1" applyAlignment="1">
      <alignment horizontal="center" vertical="center"/>
    </xf>
    <xf numFmtId="0" fontId="2" fillId="0" borderId="0" xfId="0" applyNumberFormat="1" applyFont="1" applyAlignment="1">
      <alignment horizontal="center" vertical="center"/>
    </xf>
    <xf numFmtId="10" fontId="2" fillId="0" borderId="0" xfId="0" applyNumberFormat="1" applyFont="1" applyAlignment="1">
      <alignment horizontal="center" vertical="center"/>
    </xf>
    <xf numFmtId="0" fontId="14" fillId="0" borderId="0" xfId="0" applyFont="1"/>
    <xf numFmtId="0" fontId="16" fillId="0" borderId="0" xfId="0" applyFont="1"/>
    <xf numFmtId="0" fontId="17" fillId="0" borderId="0" xfId="0" applyFont="1"/>
    <xf numFmtId="0" fontId="19" fillId="5" borderId="12" xfId="0" applyFont="1" applyFill="1" applyBorder="1" applyAlignment="1">
      <alignment horizontal="left" vertical="center"/>
    </xf>
    <xf numFmtId="0" fontId="20" fillId="0" borderId="12" xfId="0" applyFont="1" applyBorder="1"/>
    <xf numFmtId="0" fontId="20" fillId="0" borderId="12" xfId="0" applyFont="1" applyBorder="1" applyAlignment="1">
      <alignment horizontal="right" vertical="center"/>
    </xf>
    <xf numFmtId="164" fontId="20" fillId="0" borderId="12" xfId="0" applyNumberFormat="1" applyFont="1" applyBorder="1" applyAlignment="1">
      <alignment horizontal="center" vertical="center"/>
    </xf>
    <xf numFmtId="164" fontId="21" fillId="0" borderId="12" xfId="0" applyNumberFormat="1" applyFont="1" applyBorder="1" applyAlignment="1">
      <alignment horizontal="center" vertical="center"/>
    </xf>
    <xf numFmtId="0" fontId="20" fillId="0" borderId="12" xfId="0" applyFont="1" applyBorder="1" applyAlignment="1">
      <alignment horizontal="center" vertical="center"/>
    </xf>
    <xf numFmtId="0" fontId="17" fillId="0" borderId="0" xfId="0" applyFont="1" applyAlignment="1">
      <alignment vertical="center"/>
    </xf>
    <xf numFmtId="0" fontId="14" fillId="0" borderId="0" xfId="0" applyFont="1" applyAlignment="1">
      <alignment vertical="center"/>
    </xf>
    <xf numFmtId="0" fontId="26" fillId="0" borderId="0" xfId="0" applyFont="1"/>
    <xf numFmtId="0" fontId="27" fillId="0" borderId="0" xfId="0" applyFont="1" applyAlignment="1">
      <alignment horizontal="center" vertical="center"/>
    </xf>
    <xf numFmtId="0" fontId="28" fillId="0" borderId="0" xfId="0" applyFont="1"/>
    <xf numFmtId="0" fontId="29" fillId="0" borderId="0" xfId="0" applyFont="1" applyAlignment="1">
      <alignment vertical="center"/>
    </xf>
    <xf numFmtId="0" fontId="31" fillId="2" borderId="3" xfId="0" applyFont="1" applyFill="1" applyBorder="1" applyAlignment="1">
      <alignment horizontal="center" vertical="center" textRotation="45" wrapText="1"/>
    </xf>
    <xf numFmtId="0" fontId="32" fillId="2" borderId="3" xfId="0" applyFont="1" applyFill="1" applyBorder="1" applyAlignment="1">
      <alignment horizontal="center" vertical="center" textRotation="45" wrapText="1"/>
    </xf>
    <xf numFmtId="0" fontId="25" fillId="0" borderId="1" xfId="0" applyFont="1" applyBorder="1" applyAlignment="1">
      <alignment horizontal="center" vertical="center" wrapText="1"/>
    </xf>
    <xf numFmtId="0" fontId="33" fillId="0" borderId="1" xfId="0" applyFont="1" applyBorder="1" applyAlignment="1">
      <alignment horizontal="center" vertical="center" wrapText="1"/>
    </xf>
    <xf numFmtId="0" fontId="34" fillId="0" borderId="1" xfId="0" applyFont="1" applyBorder="1" applyAlignment="1">
      <alignment vertical="center"/>
    </xf>
    <xf numFmtId="0" fontId="34" fillId="0" borderId="1" xfId="0" applyFont="1" applyBorder="1"/>
    <xf numFmtId="0" fontId="34" fillId="0" borderId="1" xfId="0" applyFont="1" applyBorder="1" applyAlignment="1">
      <alignment horizontal="center" vertical="center" wrapText="1"/>
    </xf>
    <xf numFmtId="0" fontId="30" fillId="0" borderId="2" xfId="0" applyFont="1" applyBorder="1"/>
    <xf numFmtId="0" fontId="35" fillId="0" borderId="0" xfId="0" applyFont="1" applyAlignment="1">
      <alignment horizontal="right" vertical="center"/>
    </xf>
    <xf numFmtId="0" fontId="15" fillId="6" borderId="0" xfId="0" applyFont="1" applyFill="1" applyAlignment="1">
      <alignment horizontal="left" vertical="center" wrapText="1"/>
    </xf>
    <xf numFmtId="0" fontId="14" fillId="0" borderId="0" xfId="0" applyFont="1" applyAlignment="1">
      <alignment horizontal="left" vertical="top" wrapText="1"/>
    </xf>
    <xf numFmtId="0" fontId="37" fillId="0" borderId="0" xfId="1" applyFont="1" applyAlignment="1">
      <alignment horizontal="left" vertical="center" wrapText="1"/>
    </xf>
    <xf numFmtId="0" fontId="14" fillId="0" borderId="0" xfId="0" applyFont="1" applyAlignment="1">
      <alignment horizontal="right" vertical="top" wrapText="1"/>
    </xf>
    <xf numFmtId="0" fontId="14" fillId="0" borderId="0" xfId="0" applyFont="1" applyAlignment="1">
      <alignment horizontal="right" vertical="center" wrapText="1"/>
    </xf>
    <xf numFmtId="0" fontId="14" fillId="0" borderId="0" xfId="0" applyFont="1" applyAlignment="1">
      <alignment horizontal="right" wrapText="1"/>
    </xf>
    <xf numFmtId="0" fontId="38" fillId="0" borderId="0" xfId="0"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indent="1"/>
    </xf>
    <xf numFmtId="0" fontId="30" fillId="0" borderId="0" xfId="0" applyFont="1" applyAlignment="1">
      <alignment horizontal="left" vertical="center" indent="1"/>
    </xf>
    <xf numFmtId="0" fontId="17" fillId="0" borderId="0" xfId="0" applyFont="1" applyAlignment="1">
      <alignment horizontal="left" vertical="center" indent="2"/>
    </xf>
    <xf numFmtId="0" fontId="41" fillId="0" borderId="0" xfId="0" applyFont="1" applyAlignment="1">
      <alignment vertical="center"/>
    </xf>
    <xf numFmtId="0" fontId="37" fillId="0" borderId="0" xfId="1" applyFont="1" applyAlignment="1">
      <alignment vertical="center"/>
    </xf>
    <xf numFmtId="0" fontId="23" fillId="0" borderId="0" xfId="0" applyFont="1" applyAlignment="1">
      <alignment vertical="center"/>
    </xf>
    <xf numFmtId="0" fontId="37" fillId="0" borderId="0" xfId="1" applyFont="1" applyAlignment="1">
      <alignment horizontal="left" vertical="center" indent="1"/>
    </xf>
    <xf numFmtId="0" fontId="42" fillId="0" borderId="0" xfId="0" applyFont="1" applyAlignment="1">
      <alignment vertical="center"/>
    </xf>
    <xf numFmtId="0" fontId="23" fillId="0" borderId="0" xfId="0" applyFont="1" applyAlignment="1">
      <alignment horizontal="left" vertical="center" indent="1"/>
    </xf>
    <xf numFmtId="0" fontId="43" fillId="0" borderId="13" xfId="0" applyFont="1" applyBorder="1" applyAlignment="1">
      <alignment horizontal="left" vertical="center" indent="1"/>
    </xf>
    <xf numFmtId="0" fontId="37" fillId="0" borderId="13" xfId="1" applyFont="1" applyBorder="1" applyAlignment="1">
      <alignment horizontal="left" vertical="center" indent="4"/>
    </xf>
    <xf numFmtId="0" fontId="21" fillId="0" borderId="0" xfId="0" applyFont="1" applyAlignment="1">
      <alignment horizontal="center" vertical="center"/>
    </xf>
    <xf numFmtId="0" fontId="45" fillId="0" borderId="1" xfId="0" applyFont="1" applyBorder="1" applyAlignment="1">
      <alignment horizontal="center" vertical="center" wrapText="1"/>
    </xf>
    <xf numFmtId="0" fontId="47" fillId="7" borderId="17" xfId="0" applyFont="1" applyFill="1" applyBorder="1" applyAlignment="1">
      <alignment horizontal="center" vertical="center" wrapText="1"/>
    </xf>
    <xf numFmtId="0" fontId="47" fillId="0" borderId="18" xfId="0" applyFont="1" applyBorder="1" applyAlignment="1">
      <alignment horizontal="center" vertical="center" wrapText="1"/>
    </xf>
    <xf numFmtId="0" fontId="20" fillId="0" borderId="1" xfId="0" applyFont="1" applyBorder="1" applyAlignment="1">
      <alignment horizontal="center" vertical="center"/>
    </xf>
    <xf numFmtId="0" fontId="20" fillId="8" borderId="1" xfId="0" applyFont="1" applyFill="1" applyBorder="1" applyAlignment="1">
      <alignment horizontal="center" vertical="center"/>
    </xf>
    <xf numFmtId="0" fontId="17" fillId="0" borderId="1" xfId="0" applyFont="1" applyBorder="1" applyAlignment="1">
      <alignment horizontal="center"/>
    </xf>
    <xf numFmtId="0" fontId="17" fillId="0" borderId="1" xfId="0" applyFont="1" applyBorder="1" applyAlignment="1">
      <alignment horizontal="center" vertical="center"/>
    </xf>
    <xf numFmtId="0" fontId="17" fillId="0" borderId="0" xfId="0" applyFont="1" applyAlignment="1">
      <alignment horizontal="center"/>
    </xf>
    <xf numFmtId="0" fontId="17" fillId="0" borderId="0" xfId="0" applyFont="1" applyAlignment="1">
      <alignment horizontal="center" vertical="center" wrapText="1"/>
    </xf>
    <xf numFmtId="0" fontId="48" fillId="0" borderId="0" xfId="0" applyFont="1"/>
    <xf numFmtId="3" fontId="48" fillId="0" borderId="19" xfId="0" applyNumberFormat="1" applyFont="1" applyBorder="1" applyAlignment="1">
      <alignment horizontal="center" vertical="center"/>
    </xf>
    <xf numFmtId="0" fontId="49" fillId="0" borderId="0" xfId="0" applyFont="1" applyAlignment="1">
      <alignment horizontal="center" vertical="center"/>
    </xf>
    <xf numFmtId="0" fontId="4" fillId="0" borderId="0" xfId="0" applyFont="1" applyAlignment="1">
      <alignment vertical="center"/>
    </xf>
    <xf numFmtId="0" fontId="50" fillId="0" borderId="0" xfId="0" applyFont="1" applyAlignment="1">
      <alignment horizontal="center" vertical="center"/>
    </xf>
    <xf numFmtId="0" fontId="52" fillId="0" borderId="27" xfId="0" applyFont="1" applyBorder="1" applyAlignment="1">
      <alignment horizontal="center" vertical="center" wrapText="1"/>
    </xf>
    <xf numFmtId="3" fontId="52" fillId="0" borderId="28" xfId="0" applyNumberFormat="1" applyFont="1" applyBorder="1" applyAlignment="1">
      <alignment horizontal="center" vertical="center" wrapText="1"/>
    </xf>
    <xf numFmtId="3" fontId="52" fillId="0" borderId="27" xfId="0" applyNumberFormat="1" applyFont="1" applyBorder="1" applyAlignment="1">
      <alignment horizontal="center" vertical="center"/>
    </xf>
    <xf numFmtId="3" fontId="52" fillId="0" borderId="27" xfId="0" applyNumberFormat="1" applyFont="1" applyBorder="1" applyAlignment="1">
      <alignment horizontal="center" vertical="center" wrapText="1"/>
    </xf>
    <xf numFmtId="0" fontId="52" fillId="0" borderId="28" xfId="0" applyFont="1" applyBorder="1" applyAlignment="1">
      <alignment horizontal="center" vertical="center" wrapText="1"/>
    </xf>
    <xf numFmtId="0" fontId="13" fillId="0" borderId="0" xfId="1" applyAlignment="1">
      <alignment vertical="center"/>
    </xf>
    <xf numFmtId="0" fontId="53" fillId="0" borderId="0" xfId="0" applyFont="1" applyAlignment="1">
      <alignment vertical="center"/>
    </xf>
    <xf numFmtId="0" fontId="51" fillId="10" borderId="16" xfId="0" applyFont="1" applyFill="1" applyBorder="1" applyAlignment="1">
      <alignment horizontal="center" vertical="center" wrapText="1"/>
    </xf>
    <xf numFmtId="0" fontId="51" fillId="10" borderId="28" xfId="0" applyFont="1" applyFill="1" applyBorder="1" applyAlignment="1">
      <alignment horizontal="center" vertical="center" wrapText="1"/>
    </xf>
    <xf numFmtId="0" fontId="52" fillId="0" borderId="27" xfId="0" applyFont="1" applyBorder="1" applyAlignment="1">
      <alignment horizontal="center" vertical="center"/>
    </xf>
    <xf numFmtId="0" fontId="54" fillId="0" borderId="0" xfId="0" applyFont="1" applyAlignment="1">
      <alignment horizontal="left" vertical="center" indent="3"/>
    </xf>
    <xf numFmtId="0" fontId="51" fillId="10" borderId="27" xfId="0" applyFont="1" applyFill="1" applyBorder="1" applyAlignment="1">
      <alignment vertical="center" wrapText="1"/>
    </xf>
    <xf numFmtId="0" fontId="51" fillId="10" borderId="27" xfId="0" applyFont="1" applyFill="1" applyBorder="1" applyAlignment="1">
      <alignment vertical="center"/>
    </xf>
    <xf numFmtId="0" fontId="52" fillId="0" borderId="28" xfId="0" applyFont="1" applyBorder="1" applyAlignment="1">
      <alignment horizontal="center" vertical="center"/>
    </xf>
    <xf numFmtId="0" fontId="51" fillId="10" borderId="30" xfId="0" applyFont="1" applyFill="1" applyBorder="1" applyAlignment="1">
      <alignment vertical="center"/>
    </xf>
    <xf numFmtId="0" fontId="56" fillId="0" borderId="0" xfId="0" applyFont="1" applyAlignment="1">
      <alignment vertical="center"/>
    </xf>
    <xf numFmtId="0" fontId="57" fillId="0" borderId="0" xfId="0" applyFont="1" applyAlignment="1">
      <alignment horizontal="left" vertical="center" wrapText="1"/>
    </xf>
    <xf numFmtId="0" fontId="58" fillId="0" borderId="0" xfId="0" applyFont="1"/>
    <xf numFmtId="0" fontId="59" fillId="0" borderId="0" xfId="0" applyFont="1" applyAlignment="1">
      <alignment horizontal="left" vertical="center" wrapText="1"/>
    </xf>
    <xf numFmtId="0" fontId="60" fillId="0" borderId="0" xfId="0" applyFont="1" applyAlignment="1">
      <alignment horizontal="center" vertical="center"/>
    </xf>
    <xf numFmtId="0" fontId="61" fillId="0" borderId="0" xfId="0" applyFont="1" applyAlignment="1">
      <alignment horizontal="left" vertical="center" wrapText="1"/>
    </xf>
    <xf numFmtId="0" fontId="62" fillId="0" borderId="0" xfId="1" applyFont="1" applyAlignment="1">
      <alignment horizontal="left" vertical="center" wrapText="1"/>
    </xf>
    <xf numFmtId="0" fontId="80" fillId="0" borderId="0" xfId="0" applyFont="1"/>
    <xf numFmtId="0" fontId="81" fillId="0" borderId="0" xfId="0" applyFont="1" applyAlignment="1">
      <alignment vertical="center"/>
    </xf>
    <xf numFmtId="0" fontId="81" fillId="0" borderId="0" xfId="0" applyFont="1"/>
    <xf numFmtId="0" fontId="81" fillId="0" borderId="0" xfId="0" applyFont="1" applyAlignment="1">
      <alignment horizontal="left" vertical="center" indent="5"/>
    </xf>
    <xf numFmtId="0" fontId="81" fillId="0" borderId="4" xfId="0" applyFont="1" applyBorder="1"/>
    <xf numFmtId="0" fontId="81" fillId="0" borderId="5" xfId="0" applyFont="1" applyBorder="1"/>
    <xf numFmtId="0" fontId="81" fillId="0" borderId="6" xfId="0" applyFont="1" applyBorder="1"/>
    <xf numFmtId="0" fontId="81" fillId="0" borderId="7" xfId="0" applyFont="1" applyBorder="1"/>
    <xf numFmtId="0" fontId="81" fillId="0" borderId="0" xfId="0" applyFont="1" applyBorder="1"/>
    <xf numFmtId="0" fontId="81" fillId="0" borderId="8" xfId="0" applyFont="1" applyBorder="1"/>
    <xf numFmtId="0" fontId="81" fillId="0" borderId="9" xfId="0" applyFont="1" applyBorder="1"/>
    <xf numFmtId="0" fontId="81" fillId="0" borderId="10" xfId="0" applyFont="1" applyBorder="1"/>
    <xf numFmtId="0" fontId="81" fillId="0" borderId="11" xfId="0" applyFont="1" applyBorder="1"/>
    <xf numFmtId="0" fontId="87" fillId="7" borderId="17" xfId="0" applyFont="1" applyFill="1" applyBorder="1" applyAlignment="1">
      <alignment horizontal="center" vertical="center" wrapText="1"/>
    </xf>
    <xf numFmtId="0" fontId="87" fillId="0" borderId="18" xfId="0" applyFont="1" applyBorder="1" applyAlignment="1">
      <alignment horizontal="center" vertical="center"/>
    </xf>
    <xf numFmtId="0" fontId="87" fillId="0" borderId="23" xfId="0" applyFont="1" applyBorder="1" applyAlignment="1">
      <alignment horizontal="center" vertical="center"/>
    </xf>
    <xf numFmtId="0" fontId="81" fillId="0" borderId="1" xfId="0" applyFont="1" applyBorder="1" applyAlignment="1">
      <alignment horizontal="center" vertical="center"/>
    </xf>
    <xf numFmtId="0" fontId="81" fillId="0" borderId="1" xfId="0" applyFont="1" applyBorder="1" applyAlignment="1">
      <alignment horizontal="center"/>
    </xf>
    <xf numFmtId="0" fontId="81" fillId="0" borderId="0" xfId="0" applyFont="1" applyAlignment="1">
      <alignment horizontal="center" vertical="center" wrapText="1"/>
    </xf>
    <xf numFmtId="0" fontId="81" fillId="0" borderId="1" xfId="0" applyFont="1" applyBorder="1" applyAlignment="1">
      <alignment horizontal="center" vertical="center" wrapText="1"/>
    </xf>
    <xf numFmtId="0" fontId="81" fillId="0" borderId="0" xfId="0" applyFont="1" applyAlignment="1">
      <alignment horizontal="center" vertical="center"/>
    </xf>
    <xf numFmtId="0" fontId="81" fillId="0" borderId="0" xfId="0" applyFont="1" applyAlignment="1">
      <alignment horizontal="center"/>
    </xf>
    <xf numFmtId="0" fontId="87" fillId="0" borderId="0" xfId="0" applyFont="1" applyAlignment="1">
      <alignment horizontal="left" vertical="center" wrapText="1"/>
    </xf>
    <xf numFmtId="0" fontId="87" fillId="0" borderId="0" xfId="0" applyFont="1" applyAlignment="1">
      <alignment horizontal="center" vertical="center"/>
    </xf>
    <xf numFmtId="0" fontId="81" fillId="0" borderId="41" xfId="0" applyFont="1" applyBorder="1" applyAlignment="1">
      <alignment horizontal="center" vertical="center"/>
    </xf>
    <xf numFmtId="0" fontId="88" fillId="0" borderId="0" xfId="0" applyFont="1" applyAlignment="1">
      <alignment horizontal="center" vertical="center"/>
    </xf>
    <xf numFmtId="0" fontId="87" fillId="0" borderId="0" xfId="0" applyFont="1" applyAlignment="1">
      <alignment horizontal="left" vertical="center"/>
    </xf>
    <xf numFmtId="0" fontId="92" fillId="7" borderId="17" xfId="0" applyFont="1" applyFill="1" applyBorder="1" applyAlignment="1">
      <alignment horizontal="right" vertical="center"/>
    </xf>
    <xf numFmtId="0" fontId="92" fillId="0" borderId="18" xfId="0" applyFont="1" applyBorder="1" applyAlignment="1">
      <alignment horizontal="center" vertical="center"/>
    </xf>
    <xf numFmtId="0" fontId="92" fillId="7" borderId="42" xfId="0" applyFont="1" applyFill="1" applyBorder="1" applyAlignment="1">
      <alignment horizontal="right" vertical="center"/>
    </xf>
    <xf numFmtId="0" fontId="92" fillId="0" borderId="23" xfId="0" applyFont="1" applyBorder="1" applyAlignment="1">
      <alignment horizontal="center" vertical="center"/>
    </xf>
    <xf numFmtId="0" fontId="20" fillId="0" borderId="12" xfId="0" applyFont="1" applyBorder="1" applyAlignment="1">
      <alignment horizontal="center" vertical="center" wrapText="1"/>
    </xf>
    <xf numFmtId="1" fontId="17" fillId="0" borderId="0" xfId="0" applyNumberFormat="1" applyFont="1"/>
    <xf numFmtId="0" fontId="95" fillId="0" borderId="0" xfId="0" applyFont="1" applyAlignment="1">
      <alignment horizontal="center" vertical="center"/>
    </xf>
    <xf numFmtId="0" fontId="95" fillId="0" borderId="1" xfId="0" applyFont="1" applyFill="1" applyBorder="1" applyAlignment="1">
      <alignment horizontal="center" vertical="center" wrapText="1"/>
    </xf>
    <xf numFmtId="0" fontId="96" fillId="0" borderId="1" xfId="0" applyFont="1" applyFill="1" applyBorder="1" applyAlignment="1">
      <alignment horizontal="center" vertical="center" wrapText="1"/>
    </xf>
    <xf numFmtId="0" fontId="96" fillId="0" borderId="1" xfId="0" applyFont="1" applyFill="1" applyBorder="1" applyAlignment="1">
      <alignment horizontal="center" vertical="center"/>
    </xf>
    <xf numFmtId="0" fontId="96" fillId="0" borderId="0" xfId="0" applyFont="1" applyFill="1" applyAlignment="1">
      <alignment horizontal="center" vertical="center"/>
    </xf>
    <xf numFmtId="0" fontId="95" fillId="0" borderId="1" xfId="0" applyFont="1" applyBorder="1" applyAlignment="1">
      <alignment horizontal="center" vertical="top" wrapText="1"/>
    </xf>
    <xf numFmtId="0" fontId="95" fillId="0" borderId="1" xfId="0" applyFont="1" applyBorder="1" applyAlignment="1">
      <alignment horizontal="left" vertical="top" wrapText="1"/>
    </xf>
    <xf numFmtId="0" fontId="99" fillId="0" borderId="2" xfId="0" applyFont="1" applyBorder="1" applyAlignment="1">
      <alignment horizontal="center" vertical="top" wrapText="1"/>
    </xf>
    <xf numFmtId="0" fontId="98" fillId="46" borderId="1" xfId="0" applyFont="1" applyFill="1" applyBorder="1" applyAlignment="1">
      <alignment horizontal="center" vertical="center"/>
    </xf>
    <xf numFmtId="0" fontId="98" fillId="47" borderId="1" xfId="0" applyFont="1" applyFill="1" applyBorder="1" applyAlignment="1">
      <alignment horizontal="center" vertical="center"/>
    </xf>
    <xf numFmtId="9" fontId="95" fillId="45" borderId="1" xfId="0" applyNumberFormat="1" applyFont="1" applyFill="1" applyBorder="1" applyAlignment="1">
      <alignment horizontal="center" vertical="center"/>
    </xf>
    <xf numFmtId="0" fontId="95" fillId="0" borderId="0" xfId="0" applyFont="1" applyBorder="1" applyAlignment="1">
      <alignment horizontal="left" vertical="top" wrapText="1"/>
    </xf>
    <xf numFmtId="0" fontId="95" fillId="0" borderId="0" xfId="0" applyFont="1" applyBorder="1" applyAlignment="1">
      <alignment horizontal="center" vertical="center" wrapText="1"/>
    </xf>
    <xf numFmtId="0" fontId="95" fillId="0" borderId="41" xfId="0" applyFont="1" applyBorder="1" applyAlignment="1">
      <alignment horizontal="center" vertical="center" wrapText="1"/>
    </xf>
    <xf numFmtId="1" fontId="95" fillId="0" borderId="41" xfId="0" applyNumberFormat="1" applyFont="1" applyBorder="1" applyAlignment="1">
      <alignment horizontal="center" vertical="center" wrapText="1"/>
    </xf>
    <xf numFmtId="9" fontId="95" fillId="0" borderId="0" xfId="0" applyNumberFormat="1" applyFont="1" applyAlignment="1">
      <alignment horizontal="center" vertical="center"/>
    </xf>
    <xf numFmtId="0" fontId="95" fillId="0" borderId="41" xfId="0" applyFont="1" applyBorder="1" applyAlignment="1">
      <alignment horizontal="center" vertical="center"/>
    </xf>
    <xf numFmtId="9" fontId="95" fillId="0" borderId="41" xfId="0" applyNumberFormat="1" applyFont="1" applyBorder="1" applyAlignment="1">
      <alignment horizontal="center" vertical="center"/>
    </xf>
    <xf numFmtId="1" fontId="97" fillId="45" borderId="1" xfId="0" applyNumberFormat="1" applyFont="1" applyFill="1" applyBorder="1" applyAlignment="1">
      <alignment horizontal="center" vertical="top"/>
    </xf>
    <xf numFmtId="1" fontId="98" fillId="47" borderId="1" xfId="0" applyNumberFormat="1" applyFont="1" applyFill="1" applyBorder="1" applyAlignment="1">
      <alignment horizontal="center" vertical="top"/>
    </xf>
    <xf numFmtId="1" fontId="95" fillId="46" borderId="1" xfId="0" applyNumberFormat="1" applyFont="1" applyFill="1" applyBorder="1" applyAlignment="1">
      <alignment horizontal="center" vertical="top"/>
    </xf>
    <xf numFmtId="1" fontId="95" fillId="47" borderId="1" xfId="0" applyNumberFormat="1" applyFont="1" applyFill="1" applyBorder="1" applyAlignment="1">
      <alignment horizontal="center" vertical="top"/>
    </xf>
    <xf numFmtId="1" fontId="95" fillId="0" borderId="0" xfId="0" applyNumberFormat="1" applyFont="1" applyAlignment="1">
      <alignment horizontal="center" vertical="center"/>
    </xf>
    <xf numFmtId="9" fontId="95" fillId="0" borderId="41" xfId="0" applyNumberFormat="1" applyFont="1" applyBorder="1" applyAlignment="1">
      <alignment horizontal="center" vertical="center" wrapText="1"/>
    </xf>
    <xf numFmtId="0" fontId="100" fillId="0" borderId="0" xfId="0" applyFont="1" applyAlignment="1">
      <alignment horizontal="center" vertical="center"/>
    </xf>
    <xf numFmtId="0" fontId="101" fillId="0" borderId="1" xfId="0" applyFont="1" applyFill="1" applyBorder="1" applyAlignment="1">
      <alignment horizontal="center" vertical="center" wrapText="1"/>
    </xf>
    <xf numFmtId="0" fontId="100" fillId="0" borderId="1" xfId="0" applyFont="1" applyBorder="1" applyAlignment="1">
      <alignment horizontal="center" vertical="top" wrapText="1"/>
    </xf>
    <xf numFmtId="0" fontId="100" fillId="0" borderId="1" xfId="0" applyFont="1" applyBorder="1" applyAlignment="1">
      <alignment horizontal="left" vertical="top" wrapText="1"/>
    </xf>
    <xf numFmtId="1" fontId="102" fillId="45" borderId="1" xfId="0" applyNumberFormat="1" applyFont="1" applyFill="1" applyBorder="1" applyAlignment="1">
      <alignment horizontal="center" vertical="top"/>
    </xf>
    <xf numFmtId="1" fontId="103" fillId="47" borderId="1" xfId="0" applyNumberFormat="1" applyFont="1" applyFill="1" applyBorder="1" applyAlignment="1">
      <alignment horizontal="center" vertical="top"/>
    </xf>
    <xf numFmtId="1" fontId="100" fillId="46" borderId="1" xfId="0" applyNumberFormat="1" applyFont="1" applyFill="1" applyBorder="1" applyAlignment="1">
      <alignment horizontal="center" vertical="top"/>
    </xf>
    <xf numFmtId="1" fontId="100" fillId="47" borderId="1" xfId="0" applyNumberFormat="1" applyFont="1" applyFill="1" applyBorder="1" applyAlignment="1">
      <alignment horizontal="center" vertical="top"/>
    </xf>
    <xf numFmtId="1" fontId="102" fillId="45" borderId="2" xfId="0" applyNumberFormat="1" applyFont="1" applyFill="1" applyBorder="1" applyAlignment="1">
      <alignment horizontal="center" vertical="top"/>
    </xf>
    <xf numFmtId="1" fontId="103" fillId="47" borderId="2" xfId="0" applyNumberFormat="1" applyFont="1" applyFill="1" applyBorder="1" applyAlignment="1">
      <alignment horizontal="center" vertical="top"/>
    </xf>
    <xf numFmtId="0" fontId="100" fillId="0" borderId="2" xfId="0" applyFont="1" applyBorder="1" applyAlignment="1">
      <alignment horizontal="left" vertical="top" wrapText="1"/>
    </xf>
    <xf numFmtId="0" fontId="101" fillId="0" borderId="53" xfId="0" applyFont="1" applyFill="1" applyBorder="1" applyAlignment="1">
      <alignment horizontal="center" vertical="top" wrapText="1"/>
    </xf>
    <xf numFmtId="0" fontId="101" fillId="0" borderId="50" xfId="0" applyFont="1" applyFill="1" applyBorder="1" applyAlignment="1">
      <alignment horizontal="center" vertical="top"/>
    </xf>
    <xf numFmtId="0" fontId="101" fillId="0" borderId="50" xfId="0" applyFont="1" applyFill="1" applyBorder="1" applyAlignment="1">
      <alignment horizontal="center" vertical="top" wrapText="1"/>
    </xf>
    <xf numFmtId="0" fontId="101" fillId="0" borderId="56" xfId="0" applyFont="1" applyFill="1" applyBorder="1" applyAlignment="1">
      <alignment horizontal="center" vertical="top" wrapText="1"/>
    </xf>
    <xf numFmtId="0" fontId="101" fillId="0" borderId="57" xfId="0" applyFont="1" applyFill="1" applyBorder="1" applyAlignment="1">
      <alignment horizontal="center" vertical="top" wrapText="1"/>
    </xf>
    <xf numFmtId="0" fontId="101" fillId="0" borderId="59" xfId="0" applyFont="1" applyFill="1" applyBorder="1" applyAlignment="1">
      <alignment horizontal="center" vertical="top" wrapText="1"/>
    </xf>
    <xf numFmtId="0" fontId="101" fillId="0" borderId="22" xfId="0" applyFont="1" applyFill="1" applyBorder="1" applyAlignment="1">
      <alignment horizontal="center" vertical="top" wrapText="1"/>
    </xf>
    <xf numFmtId="0" fontId="96" fillId="0" borderId="0" xfId="0" applyFont="1" applyFill="1" applyAlignment="1">
      <alignment horizontal="center" vertical="top"/>
    </xf>
    <xf numFmtId="0" fontId="93" fillId="0" borderId="0" xfId="0" applyFont="1"/>
    <xf numFmtId="0" fontId="104" fillId="3" borderId="1" xfId="0" applyFont="1" applyFill="1" applyBorder="1" applyAlignment="1">
      <alignment horizontal="center" vertical="center" wrapText="1"/>
    </xf>
    <xf numFmtId="0" fontId="94" fillId="0" borderId="1" xfId="0" applyFont="1" applyBorder="1" applyAlignment="1">
      <alignment horizontal="center" vertical="center"/>
    </xf>
    <xf numFmtId="3" fontId="94" fillId="0" borderId="1" xfId="0" applyNumberFormat="1" applyFont="1" applyBorder="1" applyAlignment="1">
      <alignment horizontal="center" vertical="center"/>
    </xf>
    <xf numFmtId="0" fontId="104" fillId="3" borderId="1" xfId="0" applyFont="1" applyFill="1" applyBorder="1" applyAlignment="1">
      <alignment horizontal="center" vertical="center"/>
    </xf>
    <xf numFmtId="174" fontId="104" fillId="3" borderId="1" xfId="0" applyNumberFormat="1" applyFont="1" applyFill="1" applyBorder="1" applyAlignment="1">
      <alignment horizontal="center" vertical="center"/>
    </xf>
    <xf numFmtId="0" fontId="94" fillId="0" borderId="1" xfId="0" applyFont="1" applyBorder="1" applyAlignment="1">
      <alignment horizontal="center" vertical="center" wrapText="1"/>
    </xf>
    <xf numFmtId="0" fontId="94" fillId="0" borderId="1" xfId="0" applyFont="1" applyBorder="1" applyAlignment="1">
      <alignment horizontal="center"/>
    </xf>
    <xf numFmtId="171" fontId="94" fillId="0" borderId="1" xfId="0" applyNumberFormat="1" applyFont="1" applyBorder="1" applyAlignment="1">
      <alignment horizontal="center" vertical="center"/>
    </xf>
    <xf numFmtId="0" fontId="94" fillId="0" borderId="66" xfId="0" applyFont="1" applyBorder="1" applyAlignment="1">
      <alignment horizontal="center"/>
    </xf>
    <xf numFmtId="0" fontId="94" fillId="0" borderId="0" xfId="0" applyFont="1" applyAlignment="1">
      <alignment horizontal="center" vertical="center" wrapText="1"/>
    </xf>
    <xf numFmtId="0" fontId="94" fillId="0" borderId="0" xfId="0" applyFont="1"/>
    <xf numFmtId="0" fontId="94" fillId="0" borderId="65" xfId="0" applyFont="1" applyFill="1" applyBorder="1" applyAlignment="1">
      <alignment horizontal="center"/>
    </xf>
    <xf numFmtId="0" fontId="93" fillId="0" borderId="0" xfId="0" applyFont="1" applyAlignment="1">
      <alignment horizontal="center" vertical="center" wrapText="1"/>
    </xf>
    <xf numFmtId="0" fontId="106" fillId="0" borderId="0" xfId="0" applyFont="1"/>
    <xf numFmtId="0" fontId="2" fillId="0" borderId="60" xfId="0" applyFont="1" applyBorder="1" applyAlignment="1">
      <alignment horizontal="center" vertical="center"/>
    </xf>
    <xf numFmtId="0" fontId="2" fillId="0" borderId="0" xfId="0" applyFont="1" applyAlignment="1">
      <alignment horizontal="center" vertical="top"/>
    </xf>
    <xf numFmtId="0" fontId="2" fillId="0" borderId="0" xfId="0" applyFont="1" applyAlignment="1">
      <alignment horizontal="left" vertical="top" wrapText="1"/>
    </xf>
    <xf numFmtId="0" fontId="107" fillId="0" borderId="60" xfId="0" applyFont="1" applyBorder="1" applyAlignment="1">
      <alignment horizontal="center" vertical="center"/>
    </xf>
    <xf numFmtId="0" fontId="108" fillId="0" borderId="0" xfId="0" applyFont="1" applyAlignment="1">
      <alignment horizontal="center" vertical="top"/>
    </xf>
    <xf numFmtId="11" fontId="108" fillId="0" borderId="0" xfId="0" applyNumberFormat="1" applyFont="1" applyAlignment="1">
      <alignment horizontal="center" vertical="top"/>
    </xf>
    <xf numFmtId="0" fontId="108" fillId="0" borderId="60" xfId="0" applyFont="1" applyBorder="1" applyAlignment="1">
      <alignment horizontal="center" vertical="top"/>
    </xf>
    <xf numFmtId="3" fontId="108" fillId="0" borderId="60" xfId="0" applyNumberFormat="1" applyFont="1" applyBorder="1" applyAlignment="1">
      <alignment horizontal="center" vertical="top"/>
    </xf>
    <xf numFmtId="0" fontId="109" fillId="0" borderId="54" xfId="0" applyFont="1" applyBorder="1" applyAlignment="1">
      <alignment horizontal="left" vertical="center"/>
    </xf>
    <xf numFmtId="0" fontId="109" fillId="0" borderId="54" xfId="0" applyFont="1" applyBorder="1" applyAlignment="1">
      <alignment horizontal="left" vertical="top" wrapText="1"/>
    </xf>
    <xf numFmtId="3" fontId="109" fillId="0" borderId="54" xfId="0" applyNumberFormat="1" applyFont="1" applyBorder="1" applyAlignment="1">
      <alignment horizontal="center" vertical="center"/>
    </xf>
    <xf numFmtId="3" fontId="2" fillId="0" borderId="0" xfId="0" applyNumberFormat="1" applyFont="1" applyAlignment="1">
      <alignment horizontal="center" vertical="center"/>
    </xf>
    <xf numFmtId="0" fontId="2" fillId="0" borderId="0" xfId="0" applyFont="1" applyAlignment="1">
      <alignment horizontal="left" vertical="top"/>
    </xf>
    <xf numFmtId="0" fontId="2" fillId="0" borderId="60" xfId="0" applyFont="1" applyBorder="1"/>
    <xf numFmtId="170" fontId="2" fillId="0" borderId="0" xfId="0" applyNumberFormat="1" applyFont="1" applyAlignment="1">
      <alignment horizontal="center" vertical="center"/>
    </xf>
    <xf numFmtId="4" fontId="2" fillId="0" borderId="0" xfId="0" applyNumberFormat="1" applyFont="1" applyAlignment="1">
      <alignment horizontal="center" vertical="center"/>
    </xf>
    <xf numFmtId="0" fontId="114" fillId="0" borderId="0" xfId="0" applyFont="1"/>
    <xf numFmtId="0" fontId="0" fillId="0" borderId="67" xfId="0" applyFill="1" applyBorder="1" applyAlignment="1"/>
    <xf numFmtId="0" fontId="0" fillId="0" borderId="68" xfId="0" applyFill="1" applyBorder="1" applyAlignment="1"/>
    <xf numFmtId="0" fontId="0" fillId="0" borderId="68" xfId="0" applyNumberFormat="1" applyFill="1" applyBorder="1" applyAlignment="1"/>
    <xf numFmtId="0" fontId="0" fillId="0" borderId="67" xfId="0" applyNumberFormat="1" applyFill="1" applyBorder="1" applyAlignment="1"/>
    <xf numFmtId="0" fontId="2" fillId="0" borderId="0" xfId="0" applyFont="1" applyAlignment="1">
      <alignment horizontal="center" vertical="center" wrapText="1"/>
    </xf>
    <xf numFmtId="0" fontId="2" fillId="0" borderId="55" xfId="0" applyFont="1" applyBorder="1" applyAlignment="1">
      <alignment horizontal="center" vertical="center" wrapText="1"/>
    </xf>
    <xf numFmtId="170" fontId="2" fillId="0" borderId="53" xfId="0" applyNumberFormat="1" applyFont="1" applyBorder="1" applyAlignment="1">
      <alignment horizontal="center" vertical="center"/>
    </xf>
    <xf numFmtId="0" fontId="2" fillId="0" borderId="70" xfId="0" applyFont="1" applyBorder="1" applyAlignment="1">
      <alignment horizontal="center" vertical="top" wrapText="1"/>
    </xf>
    <xf numFmtId="0" fontId="2" fillId="0" borderId="71" xfId="0" applyFont="1" applyBorder="1" applyAlignment="1">
      <alignment horizontal="center" vertical="top" wrapText="1"/>
    </xf>
    <xf numFmtId="0" fontId="2" fillId="0" borderId="72" xfId="0" applyFont="1" applyBorder="1" applyAlignment="1">
      <alignment horizontal="center" vertical="center" wrapText="1"/>
    </xf>
    <xf numFmtId="170" fontId="2" fillId="0" borderId="73" xfId="0" applyNumberFormat="1" applyFont="1" applyBorder="1" applyAlignment="1">
      <alignment horizontal="center" vertical="center"/>
    </xf>
    <xf numFmtId="0" fontId="115" fillId="0" borderId="74" xfId="0" applyFont="1" applyFill="1" applyBorder="1" applyAlignment="1">
      <alignment horizontal="centerContinuous"/>
    </xf>
    <xf numFmtId="0" fontId="2" fillId="0" borderId="0" xfId="0" applyFont="1" applyFill="1" applyBorder="1" applyAlignment="1"/>
    <xf numFmtId="0" fontId="2" fillId="0" borderId="10" xfId="0" applyFont="1" applyFill="1" applyBorder="1" applyAlignment="1"/>
    <xf numFmtId="0" fontId="115" fillId="0" borderId="74" xfId="0" applyFont="1" applyFill="1" applyBorder="1" applyAlignment="1">
      <alignment horizontal="center"/>
    </xf>
    <xf numFmtId="0" fontId="0" fillId="0" borderId="1" xfId="0" applyBorder="1" applyAlignment="1">
      <alignment horizontal="center" vertical="center"/>
    </xf>
    <xf numFmtId="0" fontId="0" fillId="0" borderId="0" xfId="0" applyAlignment="1">
      <alignment horizontal="center" vertical="center"/>
    </xf>
    <xf numFmtId="3" fontId="0" fillId="0" borderId="1" xfId="0" applyNumberFormat="1" applyBorder="1" applyAlignment="1">
      <alignment horizontal="center"/>
    </xf>
    <xf numFmtId="0" fontId="133" fillId="0" borderId="0" xfId="0" applyFont="1"/>
    <xf numFmtId="0" fontId="133" fillId="0" borderId="0" xfId="0" applyFont="1" applyAlignment="1">
      <alignment horizontal="center" vertical="center"/>
    </xf>
    <xf numFmtId="0" fontId="134" fillId="0" borderId="69" xfId="0" applyFont="1" applyFill="1" applyBorder="1" applyAlignment="1">
      <alignment horizontal="center"/>
    </xf>
    <xf numFmtId="0" fontId="0" fillId="0" borderId="0" xfId="0" applyAlignment="1">
      <alignment vertical="center" wrapText="1"/>
    </xf>
    <xf numFmtId="0" fontId="135" fillId="0" borderId="1" xfId="0" applyFont="1" applyBorder="1" applyAlignment="1">
      <alignment horizontal="center" vertical="center" wrapText="1"/>
    </xf>
    <xf numFmtId="0" fontId="135" fillId="0" borderId="1" xfId="0" applyFont="1" applyBorder="1" applyAlignment="1">
      <alignment horizontal="center" vertical="center"/>
    </xf>
    <xf numFmtId="0" fontId="135" fillId="0" borderId="0" xfId="0" applyFont="1" applyAlignment="1">
      <alignment horizontal="center" vertical="center"/>
    </xf>
    <xf numFmtId="3" fontId="135" fillId="0" borderId="1" xfId="0" applyNumberFormat="1" applyFont="1" applyBorder="1" applyAlignment="1">
      <alignment horizontal="center" vertical="center"/>
    </xf>
    <xf numFmtId="0" fontId="135" fillId="0" borderId="0" xfId="0" applyFont="1"/>
    <xf numFmtId="0" fontId="135" fillId="0" borderId="0" xfId="0" applyFont="1" applyAlignment="1">
      <alignment horizontal="center" vertical="center" wrapText="1"/>
    </xf>
    <xf numFmtId="176" fontId="135" fillId="0" borderId="0" xfId="0" applyNumberFormat="1" applyFont="1" applyAlignment="1">
      <alignment horizontal="center" vertical="center"/>
    </xf>
    <xf numFmtId="0" fontId="135" fillId="8" borderId="1" xfId="0" applyFont="1" applyFill="1" applyBorder="1" applyAlignment="1">
      <alignment horizontal="center" vertical="center" wrapText="1"/>
    </xf>
    <xf numFmtId="177" fontId="135" fillId="0" borderId="0" xfId="0" applyNumberFormat="1" applyFont="1" applyAlignment="1">
      <alignment horizontal="center" vertical="center"/>
    </xf>
    <xf numFmtId="0" fontId="17" fillId="0" borderId="41" xfId="0" applyFont="1" applyBorder="1" applyAlignment="1">
      <alignment horizontal="center" vertical="center"/>
    </xf>
    <xf numFmtId="177" fontId="135" fillId="8" borderId="1" xfId="0" applyNumberFormat="1" applyFont="1" applyFill="1" applyBorder="1" applyAlignment="1">
      <alignment horizontal="center" vertical="center"/>
    </xf>
    <xf numFmtId="0" fontId="107" fillId="0" borderId="0" xfId="0" applyFont="1" applyAlignment="1">
      <alignment horizontal="center" vertical="center"/>
    </xf>
    <xf numFmtId="0" fontId="115" fillId="0" borderId="0" xfId="0" applyFont="1"/>
    <xf numFmtId="0" fontId="48" fillId="0" borderId="0" xfId="0" applyFont="1" applyAlignment="1">
      <alignment horizontal="center" vertical="top"/>
    </xf>
    <xf numFmtId="0" fontId="48" fillId="0" borderId="1" xfId="0" applyFont="1" applyBorder="1" applyAlignment="1">
      <alignment horizontal="center" vertical="top" wrapText="1"/>
    </xf>
    <xf numFmtId="0" fontId="48" fillId="0" borderId="1" xfId="0" applyFont="1" applyBorder="1" applyAlignment="1">
      <alignment horizontal="center" vertical="top"/>
    </xf>
    <xf numFmtId="167" fontId="48" fillId="0" borderId="1" xfId="0" applyNumberFormat="1" applyFont="1" applyBorder="1" applyAlignment="1">
      <alignment horizontal="center" vertical="top"/>
    </xf>
    <xf numFmtId="0" fontId="113" fillId="51" borderId="1" xfId="0" applyFont="1" applyFill="1" applyBorder="1" applyAlignment="1">
      <alignment horizontal="center" vertical="top" wrapText="1"/>
    </xf>
    <xf numFmtId="167" fontId="48" fillId="0" borderId="0" xfId="0" applyNumberFormat="1" applyFont="1" applyAlignment="1">
      <alignment horizontal="center" vertical="top"/>
    </xf>
    <xf numFmtId="178" fontId="48" fillId="0" borderId="1" xfId="0" applyNumberFormat="1" applyFont="1" applyBorder="1" applyAlignment="1">
      <alignment horizontal="center" vertical="top"/>
    </xf>
    <xf numFmtId="182" fontId="48" fillId="0" borderId="0" xfId="0" applyNumberFormat="1" applyFont="1" applyAlignment="1">
      <alignment horizontal="center" vertical="top"/>
    </xf>
    <xf numFmtId="179" fontId="48" fillId="0" borderId="1" xfId="0" applyNumberFormat="1" applyFont="1" applyBorder="1" applyAlignment="1">
      <alignment horizontal="center" vertical="top"/>
    </xf>
    <xf numFmtId="180" fontId="48" fillId="0" borderId="1" xfId="0" applyNumberFormat="1" applyFont="1" applyBorder="1" applyAlignment="1">
      <alignment horizontal="center" vertical="top"/>
    </xf>
    <xf numFmtId="181" fontId="48" fillId="0" borderId="1" xfId="0" applyNumberFormat="1" applyFont="1" applyBorder="1" applyAlignment="1">
      <alignment horizontal="center" vertical="top"/>
    </xf>
    <xf numFmtId="4" fontId="48" fillId="0" borderId="1" xfId="0" applyNumberFormat="1" applyFont="1" applyBorder="1" applyAlignment="1">
      <alignment horizontal="center" vertical="top"/>
    </xf>
    <xf numFmtId="0" fontId="140" fillId="5" borderId="12" xfId="0" applyFont="1" applyFill="1" applyBorder="1" applyAlignment="1">
      <alignment horizontal="center" vertical="center" wrapText="1"/>
    </xf>
    <xf numFmtId="0" fontId="140" fillId="5" borderId="81" xfId="0" applyFont="1" applyFill="1" applyBorder="1" applyAlignment="1">
      <alignment horizontal="center" vertical="center" wrapText="1"/>
    </xf>
    <xf numFmtId="0" fontId="141" fillId="0" borderId="12" xfId="0" applyFont="1" applyBorder="1" applyAlignment="1">
      <alignment horizontal="center" vertical="center"/>
    </xf>
    <xf numFmtId="164" fontId="141" fillId="0" borderId="12" xfId="0" applyNumberFormat="1" applyFont="1" applyBorder="1" applyAlignment="1">
      <alignment horizontal="center" vertical="center"/>
    </xf>
    <xf numFmtId="0" fontId="141" fillId="0" borderId="80" xfId="0" applyFont="1" applyBorder="1" applyAlignment="1">
      <alignment horizontal="center" vertical="center"/>
    </xf>
    <xf numFmtId="164" fontId="48" fillId="0" borderId="0" xfId="0" applyNumberFormat="1" applyFont="1" applyAlignment="1">
      <alignment horizontal="center" vertical="top"/>
    </xf>
    <xf numFmtId="0" fontId="142" fillId="0" borderId="0" xfId="0" applyFont="1" applyAlignment="1">
      <alignment horizontal="left" vertical="top" wrapText="1"/>
    </xf>
    <xf numFmtId="0" fontId="48" fillId="0" borderId="0" xfId="0" applyFont="1" applyAlignment="1">
      <alignment horizontal="left" vertical="top" wrapText="1"/>
    </xf>
    <xf numFmtId="0" fontId="143" fillId="0" borderId="0" xfId="0" applyFont="1" applyAlignment="1">
      <alignment horizontal="right" vertical="top"/>
    </xf>
    <xf numFmtId="0" fontId="112" fillId="0" borderId="0" xfId="0" applyFont="1" applyAlignment="1">
      <alignment horizontal="center" vertical="top"/>
    </xf>
    <xf numFmtId="0" fontId="112" fillId="0" borderId="1" xfId="0" applyFont="1" applyBorder="1" applyAlignment="1">
      <alignment horizontal="center" vertical="top" wrapText="1"/>
    </xf>
    <xf numFmtId="0" fontId="112" fillId="0" borderId="1" xfId="0" applyFont="1" applyBorder="1" applyAlignment="1">
      <alignment horizontal="center" vertical="top"/>
    </xf>
    <xf numFmtId="167" fontId="112" fillId="0" borderId="1" xfId="0" applyNumberFormat="1" applyFont="1" applyBorder="1" applyAlignment="1">
      <alignment horizontal="center" vertical="top"/>
    </xf>
    <xf numFmtId="167" fontId="112" fillId="0" borderId="0" xfId="0" applyNumberFormat="1" applyFont="1" applyAlignment="1">
      <alignment horizontal="center" vertical="top"/>
    </xf>
    <xf numFmtId="182" fontId="112" fillId="0" borderId="0" xfId="0" applyNumberFormat="1" applyFont="1" applyAlignment="1">
      <alignment horizontal="center" vertical="top"/>
    </xf>
    <xf numFmtId="0" fontId="144" fillId="0" borderId="0" xfId="0" applyFont="1" applyAlignment="1">
      <alignment horizontal="center" vertical="top"/>
    </xf>
    <xf numFmtId="0" fontId="145" fillId="0" borderId="0" xfId="0" applyFont="1" applyAlignment="1">
      <alignment horizontal="center" vertical="top"/>
    </xf>
    <xf numFmtId="0" fontId="144" fillId="0" borderId="1" xfId="0" applyFont="1" applyBorder="1" applyAlignment="1">
      <alignment horizontal="center" vertical="top"/>
    </xf>
    <xf numFmtId="0" fontId="112" fillId="0" borderId="0" xfId="0" applyFont="1" applyBorder="1" applyAlignment="1">
      <alignment horizontal="center" vertical="top" wrapText="1"/>
    </xf>
    <xf numFmtId="0" fontId="112" fillId="0" borderId="1" xfId="0" applyFont="1" applyBorder="1" applyAlignment="1">
      <alignment horizontal="left" vertical="top" wrapText="1"/>
    </xf>
    <xf numFmtId="167" fontId="145" fillId="0" borderId="1" xfId="0" applyNumberFormat="1" applyFont="1" applyBorder="1" applyAlignment="1">
      <alignment horizontal="center" vertical="top"/>
    </xf>
    <xf numFmtId="0" fontId="145" fillId="0" borderId="1" xfId="0" applyFont="1" applyBorder="1" applyAlignment="1">
      <alignment horizontal="center" vertical="top"/>
    </xf>
    <xf numFmtId="167" fontId="146" fillId="0" borderId="1" xfId="0" applyNumberFormat="1" applyFont="1" applyBorder="1" applyAlignment="1">
      <alignment horizontal="center" vertical="top" wrapText="1"/>
    </xf>
    <xf numFmtId="167" fontId="144" fillId="0" borderId="0" xfId="0" applyNumberFormat="1" applyFont="1" applyAlignment="1">
      <alignment horizontal="center" vertical="top"/>
    </xf>
    <xf numFmtId="0" fontId="114" fillId="2" borderId="1" xfId="0" applyFont="1" applyFill="1" applyBorder="1" applyAlignment="1">
      <alignment horizontal="center" vertical="center" wrapText="1"/>
    </xf>
    <xf numFmtId="3" fontId="0" fillId="0" borderId="1" xfId="0" applyNumberFormat="1" applyBorder="1" applyAlignment="1">
      <alignment horizontal="center" vertical="center"/>
    </xf>
    <xf numFmtId="8" fontId="145" fillId="0" borderId="1" xfId="0" applyNumberFormat="1" applyFont="1" applyBorder="1" applyAlignment="1">
      <alignment horizontal="center" vertical="top"/>
    </xf>
    <xf numFmtId="8" fontId="112" fillId="0" borderId="0" xfId="0" applyNumberFormat="1" applyFont="1" applyAlignment="1">
      <alignment horizontal="center" vertical="top"/>
    </xf>
    <xf numFmtId="167" fontId="112" fillId="0" borderId="1" xfId="0" applyNumberFormat="1" applyFont="1" applyBorder="1" applyAlignment="1">
      <alignment horizontal="center" vertical="center" wrapText="1"/>
    </xf>
    <xf numFmtId="0" fontId="112" fillId="0" borderId="1" xfId="0" applyFont="1" applyBorder="1" applyAlignment="1">
      <alignment horizontal="center" vertical="center"/>
    </xf>
    <xf numFmtId="9" fontId="112" fillId="0" borderId="1" xfId="0" applyNumberFormat="1" applyFont="1" applyBorder="1" applyAlignment="1">
      <alignment horizontal="center" vertical="center"/>
    </xf>
    <xf numFmtId="167" fontId="112" fillId="0" borderId="1" xfId="0" applyNumberFormat="1" applyFont="1" applyBorder="1" applyAlignment="1">
      <alignment horizontal="center" vertical="center"/>
    </xf>
    <xf numFmtId="3" fontId="112" fillId="0" borderId="1" xfId="0" applyNumberFormat="1" applyFont="1" applyBorder="1" applyAlignment="1">
      <alignment horizontal="center" vertical="center"/>
    </xf>
    <xf numFmtId="4" fontId="112" fillId="0" borderId="1" xfId="0" applyNumberFormat="1" applyFont="1" applyBorder="1" applyAlignment="1">
      <alignment horizontal="center" vertical="center"/>
    </xf>
    <xf numFmtId="0" fontId="112" fillId="0" borderId="0" xfId="0" applyFont="1" applyBorder="1" applyAlignment="1">
      <alignment horizontal="left" vertical="top" wrapText="1"/>
    </xf>
    <xf numFmtId="167" fontId="112" fillId="0" borderId="0" xfId="0" applyNumberFormat="1" applyFont="1" applyBorder="1" applyAlignment="1">
      <alignment horizontal="center" vertical="center"/>
    </xf>
    <xf numFmtId="167" fontId="112" fillId="0" borderId="0" xfId="0" applyNumberFormat="1" applyFont="1" applyBorder="1" applyAlignment="1">
      <alignment horizontal="center" vertical="center" wrapText="1"/>
    </xf>
    <xf numFmtId="0" fontId="145" fillId="0" borderId="0" xfId="0" applyFont="1" applyAlignment="1">
      <alignment horizontal="center" vertical="top" wrapText="1"/>
    </xf>
    <xf numFmtId="1" fontId="145" fillId="0" borderId="1" xfId="0" applyNumberFormat="1" applyFont="1" applyBorder="1" applyAlignment="1">
      <alignment horizontal="center" vertical="top"/>
    </xf>
    <xf numFmtId="2" fontId="145" fillId="0" borderId="1" xfId="0" applyNumberFormat="1" applyFont="1" applyBorder="1" applyAlignment="1">
      <alignment horizontal="center" vertical="top"/>
    </xf>
    <xf numFmtId="8" fontId="144" fillId="0" borderId="0" xfId="0" applyNumberFormat="1" applyFont="1" applyAlignment="1">
      <alignment horizontal="center" vertical="top"/>
    </xf>
    <xf numFmtId="0" fontId="144" fillId="2" borderId="2" xfId="0" applyFont="1" applyFill="1" applyBorder="1" applyAlignment="1">
      <alignment horizontal="center" vertical="top"/>
    </xf>
    <xf numFmtId="0" fontId="3" fillId="50" borderId="1" xfId="0" applyFont="1" applyFill="1" applyBorder="1" applyAlignment="1">
      <alignment horizontal="center" vertical="center" wrapText="1"/>
    </xf>
    <xf numFmtId="11" fontId="2" fillId="0" borderId="1" xfId="0" applyNumberFormat="1" applyFont="1" applyBorder="1" applyAlignment="1">
      <alignment horizontal="center" vertical="center"/>
    </xf>
    <xf numFmtId="0" fontId="141" fillId="0" borderId="0" xfId="2" applyFont="1" applyAlignment="1">
      <alignment horizontal="center" vertical="center"/>
    </xf>
    <xf numFmtId="167" fontId="141" fillId="0" borderId="0" xfId="2" applyNumberFormat="1" applyFont="1" applyAlignment="1">
      <alignment horizontal="center" vertical="center"/>
    </xf>
    <xf numFmtId="167" fontId="141" fillId="0" borderId="82" xfId="2" applyNumberFormat="1" applyFont="1" applyBorder="1" applyAlignment="1">
      <alignment horizontal="center" vertical="center"/>
    </xf>
    <xf numFmtId="0" fontId="141" fillId="0" borderId="15" xfId="2" applyFont="1" applyBorder="1" applyAlignment="1">
      <alignment vertical="center"/>
    </xf>
    <xf numFmtId="0" fontId="141" fillId="0" borderId="0" xfId="2" applyFont="1"/>
    <xf numFmtId="2" fontId="141" fillId="0" borderId="83" xfId="2" applyNumberFormat="1" applyFont="1" applyBorder="1" applyAlignment="1">
      <alignment horizontal="center" vertical="center"/>
    </xf>
    <xf numFmtId="167" fontId="141" fillId="0" borderId="83" xfId="2" applyNumberFormat="1" applyFont="1" applyBorder="1" applyAlignment="1">
      <alignment horizontal="center" vertical="center"/>
    </xf>
    <xf numFmtId="167" fontId="141" fillId="0" borderId="84" xfId="2" applyNumberFormat="1" applyFont="1" applyBorder="1" applyAlignment="1">
      <alignment horizontal="center" vertical="center"/>
    </xf>
    <xf numFmtId="9" fontId="2" fillId="0" borderId="1" xfId="0" applyNumberFormat="1" applyFont="1" applyBorder="1" applyAlignment="1">
      <alignment horizontal="center" vertical="center"/>
    </xf>
    <xf numFmtId="0" fontId="107" fillId="0" borderId="1" xfId="0" applyFont="1" applyBorder="1" applyAlignment="1">
      <alignment horizontal="center" vertical="center" wrapText="1"/>
    </xf>
    <xf numFmtId="165" fontId="2" fillId="0" borderId="1" xfId="0" applyNumberFormat="1" applyFont="1" applyBorder="1" applyAlignment="1">
      <alignment horizontal="center" vertical="center"/>
    </xf>
    <xf numFmtId="0" fontId="152" fillId="0" borderId="0" xfId="0" applyFont="1"/>
    <xf numFmtId="3" fontId="152" fillId="0" borderId="1" xfId="0" applyNumberFormat="1" applyFont="1" applyBorder="1" applyAlignment="1">
      <alignment horizontal="center" vertical="center"/>
    </xf>
    <xf numFmtId="0" fontId="152" fillId="0" borderId="0" xfId="0" applyFont="1" applyAlignment="1">
      <alignment horizontal="center" vertical="top" wrapText="1"/>
    </xf>
    <xf numFmtId="0" fontId="152" fillId="0" borderId="0" xfId="0" applyFont="1" applyAlignment="1">
      <alignment horizontal="left" vertical="top" wrapText="1"/>
    </xf>
    <xf numFmtId="167" fontId="152" fillId="0" borderId="0" xfId="0" applyNumberFormat="1" applyFont="1" applyAlignment="1">
      <alignment horizontal="center" vertical="center"/>
    </xf>
    <xf numFmtId="0" fontId="152" fillId="0" borderId="0" xfId="0" applyFont="1" applyAlignment="1">
      <alignment horizontal="center" vertical="center"/>
    </xf>
    <xf numFmtId="10" fontId="152" fillId="0" borderId="0" xfId="0" applyNumberFormat="1" applyFont="1"/>
    <xf numFmtId="0" fontId="152" fillId="0" borderId="1" xfId="0" applyFont="1" applyBorder="1" applyAlignment="1">
      <alignment horizontal="center" vertical="center"/>
    </xf>
    <xf numFmtId="167" fontId="152" fillId="0" borderId="1" xfId="0" applyNumberFormat="1" applyFont="1" applyBorder="1" applyAlignment="1">
      <alignment horizontal="center" vertical="center"/>
    </xf>
    <xf numFmtId="0" fontId="152" fillId="0" borderId="0" xfId="0" applyFont="1" applyAlignment="1">
      <alignment vertical="top"/>
    </xf>
    <xf numFmtId="0" fontId="152" fillId="0" borderId="0" xfId="0" applyFont="1" applyAlignment="1">
      <alignment vertical="top" wrapText="1"/>
    </xf>
    <xf numFmtId="167" fontId="152" fillId="0" borderId="65" xfId="0" applyNumberFormat="1" applyFont="1" applyBorder="1" applyAlignment="1">
      <alignment horizontal="center" vertical="center"/>
    </xf>
    <xf numFmtId="167" fontId="152" fillId="0" borderId="54" xfId="0" applyNumberFormat="1" applyFont="1" applyBorder="1" applyAlignment="1">
      <alignment horizontal="center" vertical="center"/>
    </xf>
    <xf numFmtId="167" fontId="152" fillId="0" borderId="54" xfId="0" applyNumberFormat="1" applyFont="1" applyBorder="1"/>
    <xf numFmtId="167" fontId="152" fillId="0" borderId="60" xfId="0" applyNumberFormat="1" applyFont="1" applyBorder="1"/>
    <xf numFmtId="184" fontId="152" fillId="0" borderId="0" xfId="0" applyNumberFormat="1" applyFont="1" applyAlignment="1">
      <alignment horizontal="center" vertical="center"/>
    </xf>
    <xf numFmtId="0" fontId="153" fillId="0" borderId="0" xfId="0" applyFont="1"/>
    <xf numFmtId="0" fontId="154" fillId="57" borderId="4" xfId="0" applyFont="1" applyFill="1" applyBorder="1"/>
    <xf numFmtId="0" fontId="153" fillId="57" borderId="83" xfId="0" applyFont="1" applyFill="1" applyBorder="1"/>
    <xf numFmtId="0" fontId="153" fillId="57" borderId="6" xfId="0" applyFont="1" applyFill="1" applyBorder="1"/>
    <xf numFmtId="0" fontId="153" fillId="57" borderId="7" xfId="0" applyFont="1" applyFill="1" applyBorder="1"/>
    <xf numFmtId="0" fontId="153" fillId="57" borderId="0" xfId="0" applyFont="1" applyFill="1" applyBorder="1"/>
    <xf numFmtId="0" fontId="153" fillId="57" borderId="8" xfId="0" applyFont="1" applyFill="1" applyBorder="1"/>
    <xf numFmtId="0" fontId="155" fillId="57" borderId="7" xfId="0" applyFont="1" applyFill="1" applyBorder="1"/>
    <xf numFmtId="0" fontId="153" fillId="57" borderId="1" xfId="0" applyFont="1" applyFill="1" applyBorder="1" applyAlignment="1">
      <alignment horizontal="center" vertical="center" wrapText="1"/>
    </xf>
    <xf numFmtId="0" fontId="153" fillId="57" borderId="1" xfId="0" applyFont="1" applyFill="1" applyBorder="1" applyAlignment="1">
      <alignment horizontal="center" vertical="center"/>
    </xf>
    <xf numFmtId="178" fontId="153" fillId="57" borderId="1" xfId="0" applyNumberFormat="1" applyFont="1" applyFill="1" applyBorder="1" applyAlignment="1">
      <alignment horizontal="center" vertical="center"/>
    </xf>
    <xf numFmtId="0" fontId="153" fillId="57" borderId="9" xfId="0" applyFont="1" applyFill="1" applyBorder="1"/>
    <xf numFmtId="0" fontId="153" fillId="57" borderId="1" xfId="0" applyFont="1" applyFill="1" applyBorder="1"/>
    <xf numFmtId="2" fontId="153" fillId="57" borderId="1" xfId="0" applyNumberFormat="1" applyFont="1" applyFill="1" applyBorder="1" applyAlignment="1">
      <alignment horizontal="center" vertical="center"/>
    </xf>
    <xf numFmtId="0" fontId="153" fillId="57" borderId="10" xfId="0" applyFont="1" applyFill="1" applyBorder="1"/>
    <xf numFmtId="0" fontId="153" fillId="57" borderId="11" xfId="0" applyFont="1" applyFill="1" applyBorder="1"/>
    <xf numFmtId="0" fontId="2" fillId="0" borderId="65" xfId="0" applyFont="1" applyBorder="1" applyAlignment="1">
      <alignment horizontal="left" vertical="top" wrapText="1"/>
    </xf>
    <xf numFmtId="0" fontId="2" fillId="0" borderId="65" xfId="0" applyFont="1" applyBorder="1" applyAlignment="1">
      <alignment horizontal="center" vertical="center"/>
    </xf>
    <xf numFmtId="169" fontId="2" fillId="0" borderId="65" xfId="0" applyNumberFormat="1" applyFont="1" applyBorder="1" applyAlignment="1">
      <alignment horizontal="center" vertical="center"/>
    </xf>
    <xf numFmtId="0" fontId="107" fillId="0" borderId="50" xfId="0" applyFont="1" applyBorder="1" applyAlignment="1">
      <alignment horizontal="center" vertical="center" wrapText="1"/>
    </xf>
    <xf numFmtId="0" fontId="2" fillId="0" borderId="2" xfId="0" applyFont="1" applyBorder="1" applyAlignment="1">
      <alignment horizontal="center" vertical="center"/>
    </xf>
    <xf numFmtId="0" fontId="2" fillId="0" borderId="65" xfId="0" applyFont="1" applyBorder="1"/>
    <xf numFmtId="0" fontId="157" fillId="0" borderId="0" xfId="0" applyFont="1"/>
    <xf numFmtId="0" fontId="158" fillId="58" borderId="50" xfId="0" applyFont="1" applyFill="1" applyBorder="1" applyAlignment="1">
      <alignment horizontal="center" vertical="center" wrapText="1"/>
    </xf>
    <xf numFmtId="0" fontId="157" fillId="0" borderId="50" xfId="0" applyFont="1" applyBorder="1" applyAlignment="1">
      <alignment horizontal="left" vertical="top" wrapText="1"/>
    </xf>
    <xf numFmtId="0" fontId="157" fillId="0" borderId="11" xfId="0" applyFont="1" applyBorder="1" applyAlignment="1">
      <alignment horizontal="left" vertical="top" wrapText="1"/>
    </xf>
    <xf numFmtId="0" fontId="157" fillId="0" borderId="50" xfId="0" applyFont="1" applyFill="1" applyBorder="1" applyAlignment="1">
      <alignment horizontal="left" vertical="top" wrapText="1"/>
    </xf>
    <xf numFmtId="0" fontId="157" fillId="0" borderId="50" xfId="0" applyFont="1" applyBorder="1" applyAlignment="1">
      <alignment horizontal="left" vertical="center"/>
    </xf>
    <xf numFmtId="0" fontId="157" fillId="59" borderId="3" xfId="0" applyFont="1" applyFill="1" applyBorder="1"/>
    <xf numFmtId="0" fontId="157" fillId="59" borderId="51" xfId="0" applyFont="1" applyFill="1" applyBorder="1"/>
    <xf numFmtId="0" fontId="157" fillId="59" borderId="52" xfId="0" applyFont="1" applyFill="1" applyBorder="1"/>
    <xf numFmtId="0" fontId="157" fillId="0" borderId="50" xfId="0" applyFont="1" applyBorder="1" applyAlignment="1">
      <alignment horizontal="left" vertical="top"/>
    </xf>
    <xf numFmtId="0" fontId="157" fillId="0" borderId="50" xfId="0" applyFont="1" applyBorder="1" applyAlignment="1">
      <alignment horizontal="left" vertical="center" wrapText="1"/>
    </xf>
    <xf numFmtId="0" fontId="157" fillId="0" borderId="52" xfId="0" applyFont="1" applyBorder="1" applyAlignment="1">
      <alignment horizontal="left" vertical="center" wrapText="1"/>
    </xf>
    <xf numFmtId="0" fontId="157" fillId="0" borderId="0" xfId="0" applyFont="1" applyAlignment="1">
      <alignment horizontal="left" vertical="top"/>
    </xf>
    <xf numFmtId="0" fontId="157" fillId="0" borderId="0" xfId="0" applyFont="1" applyAlignment="1">
      <alignment horizontal="center" vertical="center"/>
    </xf>
    <xf numFmtId="165" fontId="157" fillId="0" borderId="0" xfId="0" applyNumberFormat="1" applyFont="1" applyAlignment="1">
      <alignment horizontal="center" vertical="center"/>
    </xf>
    <xf numFmtId="0" fontId="159" fillId="0" borderId="0" xfId="0" applyFont="1" applyBorder="1" applyAlignment="1">
      <alignment vertical="top"/>
    </xf>
    <xf numFmtId="0" fontId="159" fillId="0" borderId="5" xfId="0" applyFont="1" applyBorder="1" applyAlignment="1">
      <alignment vertical="top"/>
    </xf>
    <xf numFmtId="0" fontId="159" fillId="8" borderId="50" xfId="0" applyFont="1" applyFill="1" applyBorder="1" applyAlignment="1">
      <alignment horizontal="center" vertical="center" wrapText="1"/>
    </xf>
    <xf numFmtId="0" fontId="159" fillId="8" borderId="3" xfId="0" applyFont="1" applyFill="1" applyBorder="1" applyAlignment="1">
      <alignment horizontal="center" vertical="center" wrapText="1"/>
    </xf>
    <xf numFmtId="0" fontId="159" fillId="0" borderId="50" xfId="0" applyFont="1" applyBorder="1" applyAlignment="1">
      <alignment horizontal="center" vertical="top" wrapText="1"/>
    </xf>
    <xf numFmtId="0" fontId="159" fillId="0" borderId="50" xfId="0" applyFont="1" applyBorder="1" applyAlignment="1">
      <alignment horizontal="left" vertical="top" wrapText="1"/>
    </xf>
    <xf numFmtId="0" fontId="159" fillId="0" borderId="50" xfId="0" applyFont="1" applyBorder="1" applyAlignment="1">
      <alignment horizontal="center" vertical="top"/>
    </xf>
    <xf numFmtId="0" fontId="159" fillId="0" borderId="1" xfId="0" applyFont="1" applyBorder="1" applyAlignment="1">
      <alignment horizontal="center" vertical="top" wrapText="1"/>
    </xf>
    <xf numFmtId="0" fontId="160" fillId="0" borderId="0" xfId="0" applyFont="1"/>
    <xf numFmtId="0" fontId="160" fillId="0" borderId="1" xfId="0" applyFont="1" applyBorder="1" applyAlignment="1">
      <alignment horizontal="center" vertical="center"/>
    </xf>
    <xf numFmtId="3" fontId="160" fillId="0" borderId="1" xfId="0" applyNumberFormat="1" applyFont="1" applyBorder="1" applyAlignment="1">
      <alignment horizontal="center" vertical="center"/>
    </xf>
    <xf numFmtId="167" fontId="160" fillId="0" borderId="1" xfId="0" applyNumberFormat="1" applyFont="1" applyBorder="1" applyAlignment="1">
      <alignment horizontal="center" vertical="center"/>
    </xf>
    <xf numFmtId="0" fontId="160" fillId="0" borderId="0" xfId="0" applyFont="1" applyAlignment="1">
      <alignment horizontal="center" vertical="top" wrapText="1"/>
    </xf>
    <xf numFmtId="0" fontId="160" fillId="0" borderId="0" xfId="0" applyFont="1" applyAlignment="1">
      <alignment vertical="top" wrapText="1"/>
    </xf>
    <xf numFmtId="167" fontId="160" fillId="0" borderId="54" xfId="0" applyNumberFormat="1" applyFont="1" applyBorder="1" applyAlignment="1">
      <alignment horizontal="center" vertical="center"/>
    </xf>
    <xf numFmtId="167" fontId="160" fillId="0" borderId="0" xfId="0" applyNumberFormat="1" applyFont="1" applyAlignment="1">
      <alignment horizontal="center" vertical="center"/>
    </xf>
    <xf numFmtId="0" fontId="160" fillId="0" borderId="0" xfId="0" applyFont="1" applyAlignment="1">
      <alignment horizontal="center" vertical="center"/>
    </xf>
    <xf numFmtId="0" fontId="160" fillId="0" borderId="0" xfId="0" applyFont="1" applyAlignment="1">
      <alignment vertical="top"/>
    </xf>
    <xf numFmtId="10" fontId="160" fillId="0" borderId="0" xfId="0" applyNumberFormat="1" applyFont="1"/>
    <xf numFmtId="167" fontId="160" fillId="0" borderId="54" xfId="0" applyNumberFormat="1" applyFont="1" applyBorder="1"/>
    <xf numFmtId="167" fontId="160" fillId="0" borderId="60" xfId="0" applyNumberFormat="1" applyFont="1" applyBorder="1"/>
    <xf numFmtId="184" fontId="160" fillId="0" borderId="0" xfId="0" applyNumberFormat="1" applyFont="1" applyAlignment="1">
      <alignment horizontal="center" vertical="center"/>
    </xf>
    <xf numFmtId="0" fontId="160" fillId="0" borderId="0" xfId="0" applyFont="1" applyAlignment="1">
      <alignment horizontal="left" vertical="top" wrapText="1"/>
    </xf>
    <xf numFmtId="167" fontId="160" fillId="0" borderId="65" xfId="0" applyNumberFormat="1" applyFont="1" applyBorder="1" applyAlignment="1">
      <alignment horizontal="center" vertical="center"/>
    </xf>
    <xf numFmtId="167" fontId="160" fillId="0" borderId="40" xfId="0" applyNumberFormat="1" applyFont="1" applyBorder="1"/>
    <xf numFmtId="0" fontId="160" fillId="0" borderId="0" xfId="0" applyFont="1" applyAlignment="1">
      <alignment horizontal="center"/>
    </xf>
    <xf numFmtId="167" fontId="160" fillId="0" borderId="0" xfId="0" applyNumberFormat="1" applyFont="1"/>
    <xf numFmtId="0" fontId="157" fillId="0" borderId="0" xfId="0" applyFont="1" applyAlignment="1">
      <alignment vertical="center"/>
    </xf>
    <xf numFmtId="0" fontId="157" fillId="0" borderId="1" xfId="0" applyFont="1" applyBorder="1" applyAlignment="1">
      <alignment horizontal="center" vertical="center"/>
    </xf>
    <xf numFmtId="0" fontId="167" fillId="0" borderId="0" xfId="0" applyFont="1"/>
    <xf numFmtId="0" fontId="157" fillId="0" borderId="10" xfId="0" applyFont="1" applyBorder="1" applyAlignment="1">
      <alignment horizontal="center" vertical="center"/>
    </xf>
    <xf numFmtId="0" fontId="157" fillId="0" borderId="0" xfId="0" applyFont="1" applyBorder="1" applyAlignment="1">
      <alignment horizontal="center" vertical="center"/>
    </xf>
    <xf numFmtId="0" fontId="169" fillId="0" borderId="0" xfId="0" applyFont="1"/>
    <xf numFmtId="0" fontId="157" fillId="0" borderId="1" xfId="0" applyFont="1" applyBorder="1" applyAlignment="1">
      <alignment horizontal="center" vertical="top" wrapText="1"/>
    </xf>
    <xf numFmtId="0" fontId="157" fillId="0" borderId="1" xfId="0" applyFont="1" applyBorder="1" applyAlignment="1">
      <alignment horizontal="left" vertical="top" wrapText="1"/>
    </xf>
    <xf numFmtId="0" fontId="157" fillId="0" borderId="5" xfId="0" applyFont="1" applyBorder="1"/>
    <xf numFmtId="0" fontId="157" fillId="0" borderId="6" xfId="0" applyFont="1" applyBorder="1"/>
    <xf numFmtId="0" fontId="157" fillId="0" borderId="7" xfId="0" applyFont="1" applyBorder="1"/>
    <xf numFmtId="0" fontId="157" fillId="0" borderId="0" xfId="0" applyFont="1" applyBorder="1"/>
    <xf numFmtId="0" fontId="157" fillId="0" borderId="8" xfId="0" applyFont="1" applyBorder="1"/>
    <xf numFmtId="0" fontId="157" fillId="0" borderId="9" xfId="0" applyFont="1" applyBorder="1"/>
    <xf numFmtId="0" fontId="157" fillId="0" borderId="10" xfId="0" applyFont="1" applyBorder="1"/>
    <xf numFmtId="0" fontId="157" fillId="0" borderId="11" xfId="0" applyFont="1" applyBorder="1"/>
    <xf numFmtId="0" fontId="167" fillId="2" borderId="4" xfId="0" applyFont="1" applyFill="1" applyBorder="1"/>
    <xf numFmtId="0" fontId="157" fillId="2" borderId="5" xfId="0" applyFont="1" applyFill="1" applyBorder="1"/>
    <xf numFmtId="0" fontId="170" fillId="0" borderId="7" xfId="0" applyFont="1" applyBorder="1"/>
    <xf numFmtId="0" fontId="167" fillId="42" borderId="4" xfId="0" applyFont="1" applyFill="1" applyBorder="1"/>
    <xf numFmtId="0" fontId="157" fillId="42" borderId="5" xfId="0" applyFont="1" applyFill="1" applyBorder="1"/>
    <xf numFmtId="0" fontId="167" fillId="8" borderId="4" xfId="0" applyFont="1" applyFill="1" applyBorder="1"/>
    <xf numFmtId="0" fontId="157" fillId="8" borderId="6" xfId="0" applyFont="1" applyFill="1" applyBorder="1"/>
    <xf numFmtId="0" fontId="171" fillId="0" borderId="0" xfId="0" applyFont="1"/>
    <xf numFmtId="0" fontId="157" fillId="0" borderId="2" xfId="0" applyFont="1" applyBorder="1" applyAlignment="1">
      <alignment horizontal="center" vertical="top" wrapText="1"/>
    </xf>
    <xf numFmtId="0" fontId="157" fillId="0" borderId="2" xfId="0" applyFont="1" applyBorder="1" applyAlignment="1">
      <alignment horizontal="left" vertical="top" wrapText="1"/>
    </xf>
    <xf numFmtId="167" fontId="157" fillId="0" borderId="1" xfId="0" applyNumberFormat="1" applyFont="1" applyBorder="1" applyAlignment="1">
      <alignment horizontal="center" vertical="center"/>
    </xf>
    <xf numFmtId="0" fontId="157" fillId="0" borderId="1" xfId="0" applyFont="1" applyBorder="1"/>
    <xf numFmtId="166" fontId="157" fillId="0" borderId="1" xfId="0" applyNumberFormat="1" applyFont="1" applyBorder="1" applyAlignment="1">
      <alignment horizontal="center" vertical="center"/>
    </xf>
    <xf numFmtId="0" fontId="157" fillId="0" borderId="0" xfId="0" applyFont="1" applyAlignment="1">
      <alignment horizontal="center" vertical="center" wrapText="1"/>
    </xf>
    <xf numFmtId="0" fontId="157" fillId="0" borderId="1" xfId="0" applyFont="1" applyBorder="1" applyAlignment="1">
      <alignment horizontal="left" vertical="center" wrapText="1"/>
    </xf>
    <xf numFmtId="3" fontId="157" fillId="0" borderId="1" xfId="0" applyNumberFormat="1" applyFont="1" applyBorder="1" applyAlignment="1">
      <alignment horizontal="center" vertical="center"/>
    </xf>
    <xf numFmtId="9" fontId="157" fillId="0" borderId="0" xfId="0" applyNumberFormat="1" applyFont="1" applyAlignment="1">
      <alignment horizontal="center"/>
    </xf>
    <xf numFmtId="0" fontId="157" fillId="0" borderId="0" xfId="0" applyFont="1" applyAlignment="1">
      <alignment horizontal="left" vertical="top" wrapText="1"/>
    </xf>
    <xf numFmtId="168" fontId="172" fillId="0" borderId="0" xfId="0" applyNumberFormat="1" applyFont="1" applyAlignment="1">
      <alignment horizontal="center" vertical="center"/>
    </xf>
    <xf numFmtId="0" fontId="172" fillId="0" borderId="0" xfId="0" applyFont="1"/>
    <xf numFmtId="167" fontId="172" fillId="0" borderId="0" xfId="0" applyNumberFormat="1" applyFont="1" applyAlignment="1">
      <alignment horizontal="center" vertical="center"/>
    </xf>
    <xf numFmtId="0" fontId="157" fillId="0" borderId="0" xfId="0" applyFont="1" applyAlignment="1">
      <alignment horizontal="center"/>
    </xf>
    <xf numFmtId="0" fontId="172" fillId="0" borderId="0" xfId="0" applyFont="1" applyAlignment="1">
      <alignment horizontal="center" vertical="center"/>
    </xf>
    <xf numFmtId="9" fontId="157" fillId="0" borderId="0" xfId="0" applyNumberFormat="1" applyFont="1" applyAlignment="1">
      <alignment horizontal="center" vertical="center"/>
    </xf>
    <xf numFmtId="0" fontId="167" fillId="62" borderId="4" xfId="0" applyFont="1" applyFill="1" applyBorder="1"/>
    <xf numFmtId="0" fontId="157" fillId="62" borderId="5" xfId="0" applyFont="1" applyFill="1" applyBorder="1"/>
    <xf numFmtId="0" fontId="157" fillId="62" borderId="6" xfId="0" applyFont="1" applyFill="1" applyBorder="1"/>
    <xf numFmtId="0" fontId="157" fillId="62" borderId="7" xfId="0" applyFont="1" applyFill="1" applyBorder="1"/>
    <xf numFmtId="0" fontId="157" fillId="62" borderId="0" xfId="0" applyFont="1" applyFill="1" applyBorder="1"/>
    <xf numFmtId="0" fontId="157" fillId="62" borderId="8" xfId="0" applyFont="1" applyFill="1" applyBorder="1"/>
    <xf numFmtId="0" fontId="157" fillId="62" borderId="9" xfId="0" applyFont="1" applyFill="1" applyBorder="1"/>
    <xf numFmtId="0" fontId="157" fillId="62" borderId="10" xfId="0" applyFont="1" applyFill="1" applyBorder="1"/>
    <xf numFmtId="0" fontId="157" fillId="62" borderId="11" xfId="0" applyFont="1" applyFill="1" applyBorder="1"/>
    <xf numFmtId="0" fontId="170" fillId="62" borderId="7" xfId="0" applyFont="1" applyFill="1" applyBorder="1"/>
    <xf numFmtId="0" fontId="1" fillId="0" borderId="0" xfId="0" applyFont="1" applyAlignment="1">
      <alignment vertical="center"/>
    </xf>
    <xf numFmtId="0" fontId="173" fillId="0" borderId="0" xfId="0" applyFont="1" applyAlignment="1">
      <alignment horizontal="right" vertical="center"/>
    </xf>
    <xf numFmtId="0" fontId="175" fillId="0" borderId="0" xfId="0" applyFont="1" applyAlignment="1">
      <alignment vertical="center"/>
    </xf>
    <xf numFmtId="0" fontId="1" fillId="0" borderId="0" xfId="0" applyFont="1" applyAlignment="1">
      <alignment horizontal="center" vertical="center"/>
    </xf>
    <xf numFmtId="0" fontId="179" fillId="0" borderId="0" xfId="0" applyFont="1" applyAlignment="1">
      <alignment vertical="center"/>
    </xf>
    <xf numFmtId="0" fontId="168" fillId="43" borderId="44" xfId="0" applyFont="1" applyFill="1" applyBorder="1" applyAlignment="1">
      <alignment horizontal="center" vertical="center" wrapText="1"/>
    </xf>
    <xf numFmtId="0" fontId="168" fillId="43" borderId="45" xfId="0" applyFont="1" applyFill="1" applyBorder="1" applyAlignment="1">
      <alignment horizontal="center" vertical="center" wrapText="1"/>
    </xf>
    <xf numFmtId="0" fontId="1" fillId="0" borderId="46" xfId="0" applyFont="1" applyBorder="1" applyAlignment="1">
      <alignment horizontal="center" vertical="center" wrapText="1"/>
    </xf>
    <xf numFmtId="3" fontId="1" fillId="0" borderId="43" xfId="0" applyNumberFormat="1" applyFont="1" applyBorder="1" applyAlignment="1">
      <alignment horizontal="center" vertical="center" wrapText="1"/>
    </xf>
    <xf numFmtId="0" fontId="180" fillId="0" borderId="0" xfId="0" applyFont="1" applyAlignment="1">
      <alignment horizontal="left" vertical="center" indent="1"/>
    </xf>
    <xf numFmtId="0" fontId="1" fillId="0" borderId="0" xfId="0" applyFont="1" applyAlignment="1">
      <alignment horizontal="left" vertical="center" indent="1"/>
    </xf>
    <xf numFmtId="0" fontId="157" fillId="0" borderId="0" xfId="0" applyFont="1" applyAlignment="1">
      <alignment horizontal="left" vertical="center" indent="1"/>
    </xf>
    <xf numFmtId="0" fontId="166" fillId="0" borderId="0" xfId="0" applyFont="1" applyAlignment="1">
      <alignment horizontal="left" vertical="center" indent="1"/>
    </xf>
    <xf numFmtId="0" fontId="1" fillId="0" borderId="0" xfId="0" applyFont="1" applyAlignment="1">
      <alignment horizontal="left" vertical="center" indent="2"/>
    </xf>
    <xf numFmtId="0" fontId="166" fillId="0" borderId="0" xfId="0" applyFont="1" applyAlignment="1">
      <alignment horizontal="left" vertical="center" indent="2"/>
    </xf>
    <xf numFmtId="0" fontId="1" fillId="0" borderId="0" xfId="0" applyFont="1" applyAlignment="1">
      <alignment horizontal="left" vertical="center" indent="3"/>
    </xf>
    <xf numFmtId="0" fontId="168" fillId="0" borderId="0" xfId="0" applyFont="1" applyAlignment="1">
      <alignment horizontal="left" vertical="center" indent="2"/>
    </xf>
    <xf numFmtId="0" fontId="181" fillId="0" borderId="0" xfId="1" applyFont="1" applyAlignment="1">
      <alignment vertical="center"/>
    </xf>
    <xf numFmtId="0" fontId="157" fillId="43" borderId="48" xfId="0" applyFont="1" applyFill="1" applyBorder="1" applyAlignment="1">
      <alignment vertical="center" wrapText="1"/>
    </xf>
    <xf numFmtId="0" fontId="174" fillId="43" borderId="49" xfId="0" applyFont="1" applyFill="1" applyBorder="1" applyAlignment="1">
      <alignment vertical="center" wrapText="1"/>
    </xf>
    <xf numFmtId="0" fontId="166" fillId="63" borderId="4" xfId="0" applyFont="1" applyFill="1" applyBorder="1"/>
    <xf numFmtId="0" fontId="166" fillId="63" borderId="83" xfId="0" applyFont="1" applyFill="1" applyBorder="1"/>
    <xf numFmtId="0" fontId="166" fillId="63" borderId="6" xfId="0" applyFont="1" applyFill="1" applyBorder="1"/>
    <xf numFmtId="0" fontId="166" fillId="63" borderId="7" xfId="0" applyFont="1" applyFill="1" applyBorder="1"/>
    <xf numFmtId="0" fontId="166" fillId="63" borderId="0" xfId="0" applyFont="1" applyFill="1" applyBorder="1"/>
    <xf numFmtId="0" fontId="166" fillId="63" borderId="8" xfId="0" applyFont="1" applyFill="1" applyBorder="1"/>
    <xf numFmtId="0" fontId="166" fillId="63" borderId="9" xfId="0" applyFont="1" applyFill="1" applyBorder="1"/>
    <xf numFmtId="0" fontId="166" fillId="63" borderId="10" xfId="0" applyFont="1" applyFill="1" applyBorder="1"/>
    <xf numFmtId="0" fontId="166" fillId="63" borderId="11" xfId="0" applyFont="1" applyFill="1" applyBorder="1"/>
    <xf numFmtId="0" fontId="183" fillId="58" borderId="1" xfId="0" applyFont="1" applyFill="1" applyBorder="1" applyAlignment="1">
      <alignment horizontal="center" vertical="center" wrapText="1"/>
    </xf>
    <xf numFmtId="0" fontId="184" fillId="0" borderId="1" xfId="0" applyFont="1" applyBorder="1" applyAlignment="1">
      <alignment horizontal="center" vertical="center" wrapText="1"/>
    </xf>
    <xf numFmtId="0" fontId="166" fillId="0" borderId="0" xfId="0" applyFont="1" applyAlignment="1">
      <alignment horizontal="center" vertical="top"/>
    </xf>
    <xf numFmtId="0" fontId="182" fillId="7" borderId="17" xfId="0" applyFont="1" applyFill="1" applyBorder="1" applyAlignment="1">
      <alignment horizontal="right" vertical="center"/>
    </xf>
    <xf numFmtId="0" fontId="182" fillId="0" borderId="18" xfId="0" applyFont="1" applyBorder="1" applyAlignment="1">
      <alignment horizontal="center" vertical="center"/>
    </xf>
    <xf numFmtId="0" fontId="165" fillId="0" borderId="53" xfId="0" applyFont="1" applyBorder="1" applyAlignment="1">
      <alignment horizontal="center" vertical="top" wrapText="1"/>
    </xf>
    <xf numFmtId="0" fontId="165" fillId="0" borderId="1" xfId="0" applyFont="1" applyBorder="1" applyAlignment="1">
      <alignment horizontal="center" vertical="top" wrapText="1"/>
    </xf>
    <xf numFmtId="185" fontId="166" fillId="0" borderId="1" xfId="0" applyNumberFormat="1" applyFont="1" applyBorder="1" applyAlignment="1">
      <alignment horizontal="center" vertical="top"/>
    </xf>
    <xf numFmtId="14" fontId="182" fillId="0" borderId="18" xfId="0" applyNumberFormat="1" applyFont="1" applyBorder="1" applyAlignment="1">
      <alignment horizontal="center" vertical="center"/>
    </xf>
    <xf numFmtId="0" fontId="182" fillId="7" borderId="42" xfId="0" applyFont="1" applyFill="1" applyBorder="1" applyAlignment="1">
      <alignment horizontal="right" vertical="center"/>
    </xf>
    <xf numFmtId="0" fontId="182" fillId="0" borderId="23" xfId="0" applyFont="1" applyBorder="1" applyAlignment="1">
      <alignment horizontal="center" vertical="center"/>
    </xf>
    <xf numFmtId="2" fontId="157" fillId="0" borderId="10" xfId="0" applyNumberFormat="1" applyFont="1" applyBorder="1" applyAlignment="1">
      <alignment horizontal="center" vertical="center"/>
    </xf>
    <xf numFmtId="171" fontId="157" fillId="0" borderId="10" xfId="0" applyNumberFormat="1" applyFont="1" applyBorder="1" applyAlignment="1">
      <alignment horizontal="center" vertical="center"/>
    </xf>
    <xf numFmtId="2" fontId="157" fillId="0" borderId="11" xfId="0" applyNumberFormat="1" applyFont="1" applyBorder="1" applyAlignment="1">
      <alignment horizontal="center" vertical="center"/>
    </xf>
    <xf numFmtId="182" fontId="157" fillId="0" borderId="11" xfId="0" applyNumberFormat="1" applyFont="1" applyBorder="1" applyAlignment="1">
      <alignment horizontal="center" vertical="center"/>
    </xf>
    <xf numFmtId="0" fontId="157" fillId="0" borderId="1" xfId="0" applyFont="1" applyBorder="1" applyAlignment="1">
      <alignment horizontal="left" vertical="center"/>
    </xf>
    <xf numFmtId="0" fontId="157" fillId="0" borderId="1" xfId="0" applyFont="1" applyBorder="1" applyAlignment="1">
      <alignment vertical="center"/>
    </xf>
    <xf numFmtId="9" fontId="157" fillId="0" borderId="1" xfId="0" applyNumberFormat="1" applyFont="1" applyBorder="1" applyAlignment="1">
      <alignment horizontal="center" vertical="center"/>
    </xf>
    <xf numFmtId="0" fontId="162" fillId="0" borderId="4" xfId="0" applyFont="1" applyBorder="1" applyAlignment="1">
      <alignment vertical="center"/>
    </xf>
    <xf numFmtId="0" fontId="157" fillId="0" borderId="5" xfId="0" applyFont="1" applyBorder="1" applyAlignment="1">
      <alignment vertical="center"/>
    </xf>
    <xf numFmtId="0" fontId="157" fillId="0" borderId="6" xfId="0" applyFont="1" applyBorder="1" applyAlignment="1">
      <alignment vertical="center"/>
    </xf>
    <xf numFmtId="0" fontId="157" fillId="0" borderId="0" xfId="0" applyFont="1" applyBorder="1" applyAlignment="1">
      <alignment vertical="center"/>
    </xf>
    <xf numFmtId="0" fontId="157" fillId="0" borderId="9" xfId="0" applyFont="1" applyBorder="1" applyAlignment="1">
      <alignment horizontal="left" vertical="center"/>
    </xf>
    <xf numFmtId="0" fontId="157" fillId="0" borderId="10" xfId="0" applyFont="1" applyBorder="1" applyAlignment="1">
      <alignment vertical="center"/>
    </xf>
    <xf numFmtId="0" fontId="157" fillId="0" borderId="11" xfId="0" applyFont="1" applyBorder="1" applyAlignment="1">
      <alignment vertical="center"/>
    </xf>
    <xf numFmtId="0" fontId="157" fillId="0" borderId="9" xfId="0" applyFont="1" applyBorder="1" applyAlignment="1">
      <alignment vertical="center"/>
    </xf>
    <xf numFmtId="167" fontId="157" fillId="0" borderId="11" xfId="0" applyNumberFormat="1" applyFont="1" applyBorder="1" applyAlignment="1">
      <alignment horizontal="center" vertical="center"/>
    </xf>
    <xf numFmtId="0" fontId="157" fillId="58" borderId="1" xfId="0" applyFont="1" applyFill="1" applyBorder="1" applyAlignment="1">
      <alignment horizontal="center" vertical="center" wrapText="1"/>
    </xf>
    <xf numFmtId="0" fontId="157" fillId="58" borderId="1" xfId="0" applyFont="1" applyFill="1" applyBorder="1" applyAlignment="1">
      <alignment horizontal="center" vertical="center"/>
    </xf>
    <xf numFmtId="0" fontId="157" fillId="0" borderId="65" xfId="0" applyFont="1" applyBorder="1" applyAlignment="1">
      <alignment horizontal="center" vertical="center"/>
    </xf>
    <xf numFmtId="0" fontId="157" fillId="0" borderId="0" xfId="0" applyFont="1" applyAlignment="1">
      <alignment horizontal="right"/>
    </xf>
    <xf numFmtId="0" fontId="157" fillId="0" borderId="50" xfId="0" applyFont="1" applyBorder="1" applyAlignment="1">
      <alignment horizontal="center" vertical="top"/>
    </xf>
    <xf numFmtId="0" fontId="157" fillId="0" borderId="3" xfId="0" applyFont="1" applyFill="1" applyBorder="1" applyAlignment="1">
      <alignment horizontal="center" vertical="top"/>
    </xf>
    <xf numFmtId="0" fontId="157" fillId="0" borderId="52" xfId="0" applyFont="1" applyFill="1" applyBorder="1" applyAlignment="1">
      <alignment horizontal="center" vertical="top"/>
    </xf>
    <xf numFmtId="0" fontId="157" fillId="0" borderId="50" xfId="0" applyFont="1" applyBorder="1" applyAlignment="1">
      <alignment horizontal="center" vertical="top" wrapText="1"/>
    </xf>
    <xf numFmtId="0" fontId="166" fillId="0" borderId="0" xfId="0" applyFont="1"/>
    <xf numFmtId="0" fontId="157" fillId="0" borderId="79" xfId="0" applyFont="1" applyBorder="1" applyAlignment="1">
      <alignment horizontal="center" vertical="center"/>
    </xf>
    <xf numFmtId="0" fontId="157" fillId="0" borderId="64" xfId="0" applyFont="1" applyBorder="1" applyAlignment="1">
      <alignment horizontal="center" vertical="center"/>
    </xf>
    <xf numFmtId="0" fontId="157" fillId="0" borderId="41" xfId="0" applyFont="1" applyBorder="1" applyAlignment="1">
      <alignment horizontal="center" vertical="center" wrapText="1"/>
    </xf>
    <xf numFmtId="170" fontId="157" fillId="0" borderId="0" xfId="0" applyNumberFormat="1" applyFont="1" applyAlignment="1">
      <alignment horizontal="right" vertical="center"/>
    </xf>
    <xf numFmtId="170" fontId="157" fillId="0" borderId="0" xfId="0" applyNumberFormat="1" applyFont="1" applyAlignment="1">
      <alignment horizontal="center" vertical="center"/>
    </xf>
    <xf numFmtId="0" fontId="1" fillId="0" borderId="0" xfId="0" applyFont="1"/>
    <xf numFmtId="0" fontId="1" fillId="0" borderId="4" xfId="0" applyFont="1" applyBorder="1"/>
    <xf numFmtId="0" fontId="1" fillId="0" borderId="5" xfId="0" applyFont="1" applyBorder="1"/>
    <xf numFmtId="0" fontId="1" fillId="0" borderId="6" xfId="0" applyFont="1" applyBorder="1"/>
    <xf numFmtId="0" fontId="1" fillId="0" borderId="7" xfId="0" applyFont="1" applyBorder="1"/>
    <xf numFmtId="0" fontId="1" fillId="0" borderId="0" xfId="0" applyFont="1" applyBorder="1"/>
    <xf numFmtId="0" fontId="1" fillId="0" borderId="8" xfId="0" applyFont="1" applyBorder="1"/>
    <xf numFmtId="0" fontId="1" fillId="0" borderId="9" xfId="0" applyFont="1" applyBorder="1"/>
    <xf numFmtId="0" fontId="1" fillId="0" borderId="10" xfId="0" applyFont="1" applyBorder="1"/>
    <xf numFmtId="0" fontId="1" fillId="0" borderId="11" xfId="0" applyFont="1" applyBorder="1"/>
    <xf numFmtId="0" fontId="162" fillId="8" borderId="1" xfId="0" applyFont="1" applyFill="1" applyBorder="1" applyAlignment="1">
      <alignment horizontal="center" vertical="center" wrapText="1"/>
    </xf>
    <xf numFmtId="0" fontId="157" fillId="0" borderId="1" xfId="0" applyFont="1" applyBorder="1" applyAlignment="1">
      <alignment horizontal="center"/>
    </xf>
    <xf numFmtId="3" fontId="157" fillId="0" borderId="1" xfId="0" applyNumberFormat="1" applyFont="1" applyBorder="1" applyAlignment="1">
      <alignment horizontal="center"/>
    </xf>
    <xf numFmtId="0" fontId="185" fillId="0" borderId="0" xfId="2" applyFont="1"/>
    <xf numFmtId="0" fontId="182" fillId="0" borderId="0" xfId="2" applyFont="1"/>
    <xf numFmtId="0" fontId="186" fillId="0" borderId="75" xfId="2" applyFont="1" applyBorder="1" applyAlignment="1">
      <alignment horizontal="center" vertical="center" wrapText="1"/>
    </xf>
    <xf numFmtId="0" fontId="186" fillId="0" borderId="0" xfId="2" applyFont="1" applyBorder="1" applyAlignment="1">
      <alignment horizontal="center" vertical="center" wrapText="1"/>
    </xf>
    <xf numFmtId="0" fontId="186" fillId="0" borderId="76" xfId="2" applyFont="1" applyBorder="1" applyAlignment="1">
      <alignment horizontal="center" vertical="center" wrapText="1"/>
    </xf>
    <xf numFmtId="0" fontId="187" fillId="0" borderId="75" xfId="2" applyFont="1" applyBorder="1" applyAlignment="1">
      <alignment horizontal="left" vertical="center"/>
    </xf>
    <xf numFmtId="0" fontId="182" fillId="0" borderId="0" xfId="2" applyFont="1" applyBorder="1" applyAlignment="1">
      <alignment horizontal="center" vertical="center"/>
    </xf>
    <xf numFmtId="0" fontId="187" fillId="0" borderId="76" xfId="2" applyFont="1" applyBorder="1" applyAlignment="1">
      <alignment horizontal="center" vertical="center"/>
    </xf>
    <xf numFmtId="0" fontId="182" fillId="0" borderId="75" xfId="2" applyFont="1" applyBorder="1" applyAlignment="1">
      <alignment horizontal="left" vertical="center"/>
    </xf>
    <xf numFmtId="0" fontId="182" fillId="0" borderId="76" xfId="2" applyFont="1" applyBorder="1" applyAlignment="1">
      <alignment horizontal="center" vertical="center"/>
    </xf>
    <xf numFmtId="0" fontId="182" fillId="0" borderId="77" xfId="2" applyFont="1" applyBorder="1" applyAlignment="1">
      <alignment horizontal="left" vertical="center"/>
    </xf>
    <xf numFmtId="0" fontId="182" fillId="0" borderId="78" xfId="2" applyFont="1" applyBorder="1" applyAlignment="1">
      <alignment horizontal="center" vertical="center"/>
    </xf>
    <xf numFmtId="0" fontId="182" fillId="0" borderId="28" xfId="2" applyFont="1" applyBorder="1" applyAlignment="1">
      <alignment horizontal="center" vertical="center"/>
    </xf>
    <xf numFmtId="0" fontId="182" fillId="0" borderId="0" xfId="2" applyFont="1" applyAlignment="1">
      <alignment horizontal="right" vertical="center"/>
    </xf>
    <xf numFmtId="0" fontId="182" fillId="0" borderId="0" xfId="2" applyFont="1" applyAlignment="1">
      <alignment horizontal="left" vertical="center"/>
    </xf>
    <xf numFmtId="175" fontId="182" fillId="0" borderId="0" xfId="2" applyNumberFormat="1" applyFont="1" applyAlignment="1">
      <alignment horizontal="left" vertical="center"/>
    </xf>
    <xf numFmtId="0" fontId="182" fillId="0" borderId="75" xfId="2" applyFont="1" applyBorder="1" applyAlignment="1">
      <alignment horizontal="center" vertical="center"/>
    </xf>
    <xf numFmtId="0" fontId="187" fillId="0" borderId="77" xfId="2" applyFont="1" applyBorder="1" applyAlignment="1">
      <alignment horizontal="center" vertical="center"/>
    </xf>
    <xf numFmtId="0" fontId="187" fillId="0" borderId="28" xfId="2" applyFont="1" applyBorder="1" applyAlignment="1">
      <alignment horizontal="center" vertical="center"/>
    </xf>
    <xf numFmtId="0" fontId="182" fillId="0" borderId="77" xfId="2" applyFont="1" applyBorder="1" applyAlignment="1">
      <alignment horizontal="center" vertical="center"/>
    </xf>
    <xf numFmtId="0" fontId="182" fillId="0" borderId="75" xfId="2" applyFont="1" applyBorder="1" applyAlignment="1">
      <alignment horizontal="right" vertical="center"/>
    </xf>
    <xf numFmtId="0" fontId="182" fillId="0" borderId="76" xfId="2" applyFont="1" applyBorder="1" applyAlignment="1">
      <alignment horizontal="left" vertical="center"/>
    </xf>
    <xf numFmtId="0" fontId="182" fillId="0" borderId="77" xfId="2" applyFont="1" applyBorder="1" applyAlignment="1">
      <alignment horizontal="right" vertical="center"/>
    </xf>
    <xf numFmtId="0" fontId="182" fillId="0" borderId="28" xfId="2" applyFont="1" applyBorder="1" applyAlignment="1">
      <alignment horizontal="left" vertical="center"/>
    </xf>
    <xf numFmtId="0" fontId="188" fillId="3" borderId="1" xfId="0" applyFont="1" applyFill="1" applyBorder="1" applyAlignment="1">
      <alignment horizontal="center" vertical="center" wrapText="1"/>
    </xf>
    <xf numFmtId="0" fontId="166" fillId="0" borderId="1" xfId="0" applyFont="1" applyBorder="1" applyAlignment="1">
      <alignment horizontal="center" vertical="center"/>
    </xf>
    <xf numFmtId="11" fontId="166" fillId="0" borderId="1" xfId="0" applyNumberFormat="1" applyFont="1" applyBorder="1" applyAlignment="1">
      <alignment horizontal="center" vertical="center"/>
    </xf>
    <xf numFmtId="11" fontId="166" fillId="0" borderId="0" xfId="0" applyNumberFormat="1" applyFont="1" applyBorder="1" applyAlignment="1">
      <alignment horizontal="center" vertical="center"/>
    </xf>
    <xf numFmtId="0" fontId="188" fillId="3" borderId="61" xfId="0" applyFont="1" applyFill="1" applyBorder="1" applyAlignment="1">
      <alignment horizontal="center" vertical="center" wrapText="1"/>
    </xf>
    <xf numFmtId="0" fontId="188" fillId="45" borderId="1" xfId="0" applyFont="1" applyFill="1" applyBorder="1" applyAlignment="1">
      <alignment horizontal="center" vertical="center"/>
    </xf>
    <xf numFmtId="171" fontId="188" fillId="45" borderId="1" xfId="0" applyNumberFormat="1" applyFont="1" applyFill="1" applyBorder="1" applyAlignment="1">
      <alignment horizontal="center" vertical="center"/>
    </xf>
    <xf numFmtId="11" fontId="188" fillId="49" borderId="1" xfId="0" applyNumberFormat="1" applyFont="1" applyFill="1" applyBorder="1" applyAlignment="1">
      <alignment horizontal="center" vertical="center"/>
    </xf>
    <xf numFmtId="3" fontId="188" fillId="49" borderId="1" xfId="0" applyNumberFormat="1" applyFont="1" applyFill="1" applyBorder="1" applyAlignment="1">
      <alignment horizontal="center" vertical="center"/>
    </xf>
    <xf numFmtId="0" fontId="166" fillId="0" borderId="0" xfId="0" applyFont="1" applyBorder="1" applyAlignment="1">
      <alignment horizontal="center" vertical="center"/>
    </xf>
    <xf numFmtId="3" fontId="166" fillId="0" borderId="62" xfId="0" applyNumberFormat="1" applyFont="1" applyBorder="1" applyAlignment="1">
      <alignment horizontal="center" vertical="center"/>
    </xf>
    <xf numFmtId="11" fontId="166" fillId="0" borderId="63" xfId="0" applyNumberFormat="1" applyFont="1" applyBorder="1" applyAlignment="1">
      <alignment horizontal="center" vertical="center"/>
    </xf>
    <xf numFmtId="0" fontId="188" fillId="48" borderId="64" xfId="0" applyFont="1" applyFill="1" applyBorder="1" applyAlignment="1">
      <alignment vertical="center"/>
    </xf>
    <xf numFmtId="0" fontId="188" fillId="48" borderId="0" xfId="0" applyFont="1" applyFill="1" applyBorder="1" applyAlignment="1">
      <alignment vertical="center"/>
    </xf>
    <xf numFmtId="0" fontId="188" fillId="50" borderId="1" xfId="0" applyFont="1" applyFill="1" applyBorder="1" applyAlignment="1">
      <alignment horizontal="center" vertical="center"/>
    </xf>
    <xf numFmtId="172" fontId="188" fillId="49" borderId="1" xfId="0" applyNumberFormat="1" applyFont="1" applyFill="1" applyBorder="1" applyAlignment="1">
      <alignment horizontal="center" vertical="center"/>
    </xf>
    <xf numFmtId="173" fontId="188" fillId="49" borderId="1" xfId="0" applyNumberFormat="1" applyFont="1" applyFill="1" applyBorder="1" applyAlignment="1">
      <alignment horizontal="center" vertical="center"/>
    </xf>
    <xf numFmtId="0" fontId="166" fillId="0" borderId="61" xfId="0" applyFont="1" applyFill="1" applyBorder="1" applyAlignment="1">
      <alignment horizontal="center" vertical="center"/>
    </xf>
    <xf numFmtId="4" fontId="166" fillId="0" borderId="62" xfId="0" applyNumberFormat="1" applyFont="1" applyBorder="1" applyAlignment="1">
      <alignment horizontal="center" vertical="center"/>
    </xf>
    <xf numFmtId="0" fontId="165" fillId="0" borderId="1" xfId="0" applyFont="1" applyBorder="1" applyAlignment="1">
      <alignment horizontal="center" vertical="center"/>
    </xf>
    <xf numFmtId="0" fontId="165" fillId="0" borderId="1" xfId="0" applyFont="1" applyBorder="1" applyAlignment="1">
      <alignment horizontal="center"/>
    </xf>
    <xf numFmtId="0" fontId="166" fillId="0" borderId="1" xfId="0" applyFont="1" applyBorder="1" applyAlignment="1">
      <alignment horizontal="left" vertical="top" wrapText="1"/>
    </xf>
    <xf numFmtId="2" fontId="166" fillId="0" borderId="1" xfId="0" applyNumberFormat="1" applyFont="1" applyBorder="1" applyAlignment="1">
      <alignment horizontal="center" vertical="center"/>
    </xf>
    <xf numFmtId="0" fontId="1" fillId="0" borderId="0" xfId="0" applyFont="1" applyAlignment="1">
      <alignment horizontal="center"/>
    </xf>
    <xf numFmtId="3" fontId="166" fillId="0" borderId="1" xfId="0" applyNumberFormat="1" applyFont="1" applyBorder="1" applyAlignment="1">
      <alignment horizontal="center" vertical="center"/>
    </xf>
    <xf numFmtId="9" fontId="166" fillId="0" borderId="1" xfId="0" applyNumberFormat="1" applyFont="1" applyBorder="1" applyAlignment="1">
      <alignment horizontal="center" vertical="center"/>
    </xf>
    <xf numFmtId="0" fontId="166" fillId="0" borderId="1" xfId="0" applyFont="1" applyBorder="1" applyAlignment="1">
      <alignment horizontal="left" vertical="top"/>
    </xf>
    <xf numFmtId="0" fontId="166" fillId="0" borderId="1" xfId="0" applyFont="1" applyBorder="1"/>
    <xf numFmtId="2" fontId="166" fillId="0" borderId="0" xfId="0" applyNumberFormat="1" applyFont="1" applyAlignment="1">
      <alignment horizontal="center" vertical="center"/>
    </xf>
    <xf numFmtId="2" fontId="1" fillId="0" borderId="0" xfId="0" applyNumberFormat="1" applyFont="1" applyAlignment="1">
      <alignment horizontal="center" vertical="center"/>
    </xf>
    <xf numFmtId="3" fontId="166" fillId="0" borderId="65" xfId="0" applyNumberFormat="1" applyFont="1" applyBorder="1" applyAlignment="1">
      <alignment horizontal="center"/>
    </xf>
    <xf numFmtId="3" fontId="166" fillId="0" borderId="65" xfId="0" applyNumberFormat="1" applyFont="1" applyBorder="1" applyAlignment="1">
      <alignment horizontal="center" vertical="center"/>
    </xf>
    <xf numFmtId="0" fontId="191" fillId="55" borderId="1" xfId="0" applyFont="1" applyFill="1" applyBorder="1" applyAlignment="1">
      <alignment horizontal="center" vertical="top" wrapText="1"/>
    </xf>
    <xf numFmtId="0" fontId="193" fillId="0" borderId="0" xfId="0" applyFont="1" applyAlignment="1">
      <alignment vertical="center"/>
    </xf>
    <xf numFmtId="0" fontId="194" fillId="0" borderId="0" xfId="0" applyFont="1" applyAlignment="1">
      <alignment vertical="center"/>
    </xf>
    <xf numFmtId="0" fontId="194" fillId="0" borderId="1" xfId="0" applyFont="1" applyBorder="1" applyAlignment="1">
      <alignment horizontal="center" vertical="center"/>
    </xf>
    <xf numFmtId="11" fontId="194" fillId="0" borderId="1" xfId="0" applyNumberFormat="1" applyFont="1" applyBorder="1" applyAlignment="1">
      <alignment horizontal="center" vertical="center"/>
    </xf>
    <xf numFmtId="0" fontId="194" fillId="0" borderId="0" xfId="0" applyFont="1"/>
    <xf numFmtId="2" fontId="194" fillId="0" borderId="1" xfId="0" applyNumberFormat="1" applyFont="1" applyBorder="1" applyAlignment="1">
      <alignment horizontal="center" vertical="center"/>
    </xf>
    <xf numFmtId="0" fontId="197" fillId="55" borderId="1" xfId="0" applyFont="1" applyFill="1" applyBorder="1" applyAlignment="1">
      <alignment horizontal="center" vertical="center" wrapText="1"/>
    </xf>
    <xf numFmtId="171" fontId="194" fillId="0" borderId="1" xfId="0" applyNumberFormat="1" applyFont="1" applyBorder="1" applyAlignment="1">
      <alignment horizontal="center" vertical="center"/>
    </xf>
    <xf numFmtId="0" fontId="194" fillId="0" borderId="0" xfId="0" applyFont="1" applyAlignment="1">
      <alignment horizontal="left" vertical="top"/>
    </xf>
    <xf numFmtId="0" fontId="194" fillId="0" borderId="0" xfId="0" applyFont="1" applyAlignment="1">
      <alignment horizontal="center" vertical="center"/>
    </xf>
    <xf numFmtId="0" fontId="194" fillId="0" borderId="41" xfId="0" applyFont="1" applyBorder="1" applyAlignment="1">
      <alignment horizontal="center" vertical="center"/>
    </xf>
    <xf numFmtId="0" fontId="194" fillId="0" borderId="0" xfId="0" applyFont="1" applyAlignment="1">
      <alignment horizontal="right" vertical="top"/>
    </xf>
    <xf numFmtId="3" fontId="194" fillId="0" borderId="0" xfId="0" applyNumberFormat="1" applyFont="1" applyAlignment="1">
      <alignment horizontal="center" vertical="center"/>
    </xf>
    <xf numFmtId="171" fontId="194" fillId="0" borderId="0" xfId="0" applyNumberFormat="1" applyFont="1" applyAlignment="1">
      <alignment horizontal="center" vertical="center"/>
    </xf>
    <xf numFmtId="165" fontId="194" fillId="0" borderId="0" xfId="0" applyNumberFormat="1" applyFont="1" applyAlignment="1">
      <alignment horizontal="center" vertical="center"/>
    </xf>
    <xf numFmtId="10" fontId="194" fillId="0" borderId="40" xfId="0" applyNumberFormat="1" applyFont="1" applyBorder="1" applyAlignment="1">
      <alignment horizontal="center" vertical="center"/>
    </xf>
    <xf numFmtId="165" fontId="194" fillId="0" borderId="40" xfId="0" applyNumberFormat="1" applyFont="1" applyBorder="1" applyAlignment="1">
      <alignment horizontal="center" vertical="center"/>
    </xf>
    <xf numFmtId="10" fontId="194" fillId="0" borderId="0" xfId="0" applyNumberFormat="1" applyFont="1" applyAlignment="1">
      <alignment horizontal="center" vertical="center"/>
    </xf>
    <xf numFmtId="0" fontId="199" fillId="0" borderId="0" xfId="0" applyFont="1"/>
    <xf numFmtId="0" fontId="200" fillId="0" borderId="0" xfId="0" applyFont="1"/>
    <xf numFmtId="0" fontId="100" fillId="0" borderId="56" xfId="0" applyFont="1" applyFill="1" applyBorder="1" applyAlignment="1">
      <alignment horizontal="center" vertical="center" wrapText="1"/>
    </xf>
    <xf numFmtId="0" fontId="100" fillId="0" borderId="57" xfId="0" applyFont="1" applyFill="1" applyBorder="1" applyAlignment="1">
      <alignment horizontal="center" vertical="center" wrapText="1"/>
    </xf>
    <xf numFmtId="0" fontId="100" fillId="0" borderId="58" xfId="0" applyFont="1" applyFill="1" applyBorder="1" applyAlignment="1">
      <alignment horizontal="center" vertical="center" wrapText="1"/>
    </xf>
    <xf numFmtId="0" fontId="101" fillId="0" borderId="53" xfId="0" applyFont="1" applyFill="1" applyBorder="1" applyAlignment="1">
      <alignment horizontal="center" vertical="center" wrapText="1"/>
    </xf>
    <xf numFmtId="0" fontId="101" fillId="0" borderId="54" xfId="0" applyFont="1" applyFill="1" applyBorder="1" applyAlignment="1">
      <alignment horizontal="center" vertical="center" wrapText="1"/>
    </xf>
    <xf numFmtId="0" fontId="101" fillId="0" borderId="55" xfId="0" applyFont="1" applyFill="1" applyBorder="1" applyAlignment="1">
      <alignment horizontal="center" vertical="center" wrapText="1"/>
    </xf>
    <xf numFmtId="0" fontId="100" fillId="0" borderId="20" xfId="0" applyFont="1" applyFill="1" applyBorder="1" applyAlignment="1">
      <alignment horizontal="center" vertical="center"/>
    </xf>
    <xf numFmtId="0" fontId="100" fillId="0" borderId="22" xfId="0" applyFont="1" applyFill="1" applyBorder="1" applyAlignment="1">
      <alignment horizontal="center" vertical="center"/>
    </xf>
    <xf numFmtId="0" fontId="95" fillId="0" borderId="1" xfId="0" applyFont="1" applyFill="1" applyBorder="1" applyAlignment="1">
      <alignment horizontal="center" vertical="center" wrapText="1"/>
    </xf>
    <xf numFmtId="0" fontId="96" fillId="0" borderId="1" xfId="0" applyFont="1" applyBorder="1" applyAlignment="1">
      <alignment horizontal="center" vertical="center"/>
    </xf>
    <xf numFmtId="0" fontId="3" fillId="3"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3" fillId="3" borderId="1" xfId="0" applyFont="1" applyFill="1" applyBorder="1" applyAlignment="1">
      <alignment horizontal="center" vertical="top" wrapText="1"/>
    </xf>
    <xf numFmtId="0" fontId="18" fillId="4" borderId="12" xfId="0" applyFont="1" applyFill="1" applyBorder="1" applyAlignment="1">
      <alignment horizontal="center" vertical="center"/>
    </xf>
    <xf numFmtId="0" fontId="45" fillId="7" borderId="14" xfId="0" applyFont="1" applyFill="1" applyBorder="1" applyAlignment="1">
      <alignment horizontal="center" vertical="center"/>
    </xf>
    <xf numFmtId="0" fontId="45" fillId="7" borderId="15" xfId="0" applyFont="1" applyFill="1" applyBorder="1" applyAlignment="1">
      <alignment horizontal="center" vertical="center"/>
    </xf>
    <xf numFmtId="0" fontId="45" fillId="7" borderId="16" xfId="0" applyFont="1" applyFill="1" applyBorder="1" applyAlignment="1">
      <alignment horizontal="center" vertical="center"/>
    </xf>
    <xf numFmtId="0" fontId="46" fillId="7" borderId="17" xfId="0" applyFont="1" applyFill="1" applyBorder="1" applyAlignment="1">
      <alignment horizontal="center" vertical="center"/>
    </xf>
    <xf numFmtId="0" fontId="46" fillId="7" borderId="18" xfId="0" applyFont="1" applyFill="1" applyBorder="1" applyAlignment="1">
      <alignment horizontal="center" vertical="center"/>
    </xf>
    <xf numFmtId="0" fontId="52" fillId="0" borderId="29" xfId="0" applyFont="1" applyBorder="1" applyAlignment="1">
      <alignment horizontal="center" vertical="center"/>
    </xf>
    <xf numFmtId="0" fontId="52" fillId="0" borderId="27" xfId="0" applyFont="1" applyBorder="1" applyAlignment="1">
      <alignment horizontal="center" vertical="center"/>
    </xf>
    <xf numFmtId="3" fontId="52" fillId="0" borderId="29" xfId="0" applyNumberFormat="1" applyFont="1" applyBorder="1" applyAlignment="1">
      <alignment horizontal="center" vertical="center" wrapText="1"/>
    </xf>
    <xf numFmtId="3" fontId="52" fillId="0" borderId="27" xfId="0" applyNumberFormat="1" applyFont="1" applyBorder="1" applyAlignment="1">
      <alignment horizontal="center" vertical="center" wrapText="1"/>
    </xf>
    <xf numFmtId="0" fontId="48" fillId="9" borderId="19" xfId="0" applyFont="1" applyFill="1" applyBorder="1" applyAlignment="1">
      <alignment horizontal="center" vertical="center"/>
    </xf>
    <xf numFmtId="0" fontId="51" fillId="10" borderId="24" xfId="0" applyFont="1" applyFill="1" applyBorder="1" applyAlignment="1">
      <alignment horizontal="center" vertical="center" wrapText="1"/>
    </xf>
    <xf numFmtId="0" fontId="51" fillId="10" borderId="25" xfId="0" applyFont="1" applyFill="1" applyBorder="1" applyAlignment="1">
      <alignment horizontal="center" vertical="center" wrapText="1"/>
    </xf>
    <xf numFmtId="0" fontId="51" fillId="10" borderId="26" xfId="0" applyFont="1" applyFill="1" applyBorder="1" applyAlignment="1">
      <alignment horizontal="center" vertical="center" wrapText="1"/>
    </xf>
    <xf numFmtId="0" fontId="51" fillId="10" borderId="29" xfId="0" applyFont="1" applyFill="1" applyBorder="1" applyAlignment="1">
      <alignment horizontal="center" vertical="center" wrapText="1"/>
    </xf>
    <xf numFmtId="0" fontId="51" fillId="10" borderId="27" xfId="0" applyFont="1" applyFill="1" applyBorder="1" applyAlignment="1">
      <alignment horizontal="center" vertical="center" wrapText="1"/>
    </xf>
    <xf numFmtId="0" fontId="91" fillId="7" borderId="17" xfId="0" applyFont="1" applyFill="1" applyBorder="1" applyAlignment="1">
      <alignment horizontal="center" vertical="center"/>
    </xf>
    <xf numFmtId="0" fontId="91" fillId="7" borderId="18" xfId="0" applyFont="1" applyFill="1" applyBorder="1" applyAlignment="1">
      <alignment horizontal="center" vertical="center"/>
    </xf>
    <xf numFmtId="0" fontId="83" fillId="2" borderId="20" xfId="0" applyFont="1" applyFill="1" applyBorder="1" applyAlignment="1">
      <alignment horizontal="center" vertical="center"/>
    </xf>
    <xf numFmtId="0" fontId="83" fillId="2" borderId="21" xfId="0" applyFont="1" applyFill="1" applyBorder="1" applyAlignment="1">
      <alignment horizontal="center" vertical="center"/>
    </xf>
    <xf numFmtId="0" fontId="83" fillId="2" borderId="22" xfId="0" applyFont="1" applyFill="1" applyBorder="1" applyAlignment="1">
      <alignment horizontal="center" vertical="center"/>
    </xf>
    <xf numFmtId="0" fontId="86" fillId="7" borderId="17" xfId="0" applyFont="1" applyFill="1" applyBorder="1" applyAlignment="1">
      <alignment horizontal="center" vertical="center"/>
    </xf>
    <xf numFmtId="0" fontId="86" fillId="7" borderId="18" xfId="0" applyFont="1" applyFill="1" applyBorder="1" applyAlignment="1">
      <alignment horizontal="center" vertical="center"/>
    </xf>
    <xf numFmtId="0" fontId="162" fillId="2" borderId="40" xfId="0" applyFont="1" applyFill="1" applyBorder="1" applyAlignment="1">
      <alignment horizontal="center" wrapText="1"/>
    </xf>
    <xf numFmtId="0" fontId="157" fillId="0" borderId="1" xfId="0" applyFont="1" applyBorder="1" applyAlignment="1">
      <alignment horizontal="left" vertical="top" wrapText="1"/>
    </xf>
    <xf numFmtId="0" fontId="162" fillId="2" borderId="1" xfId="0" applyFont="1" applyFill="1" applyBorder="1" applyAlignment="1">
      <alignment horizontal="center" wrapText="1"/>
    </xf>
    <xf numFmtId="0" fontId="157" fillId="0" borderId="47" xfId="0" applyFont="1" applyBorder="1" applyAlignment="1">
      <alignment horizontal="center" vertical="center"/>
    </xf>
    <xf numFmtId="0" fontId="157" fillId="0" borderId="47" xfId="0" applyFont="1" applyBorder="1"/>
    <xf numFmtId="0" fontId="159" fillId="44" borderId="20" xfId="0" applyFont="1" applyFill="1" applyBorder="1" applyAlignment="1">
      <alignment horizontal="center" vertical="center" wrapText="1"/>
    </xf>
    <xf numFmtId="0" fontId="159" fillId="44" borderId="21" xfId="0" applyFont="1" applyFill="1" applyBorder="1" applyAlignment="1">
      <alignment horizontal="center" vertical="center" wrapText="1"/>
    </xf>
    <xf numFmtId="0" fontId="159" fillId="44" borderId="22" xfId="0" applyFont="1" applyFill="1" applyBorder="1" applyAlignment="1">
      <alignment horizontal="center" vertical="center" wrapText="1"/>
    </xf>
    <xf numFmtId="0" fontId="159" fillId="60" borderId="3" xfId="0" applyFont="1" applyFill="1" applyBorder="1" applyAlignment="1">
      <alignment horizontal="center" vertical="center" wrapText="1"/>
    </xf>
    <xf numFmtId="0" fontId="159" fillId="60" borderId="51" xfId="0" applyFont="1" applyFill="1" applyBorder="1" applyAlignment="1">
      <alignment horizontal="center" vertical="center" wrapText="1"/>
    </xf>
    <xf numFmtId="0" fontId="159" fillId="60" borderId="52" xfId="0" applyFont="1" applyFill="1" applyBorder="1" applyAlignment="1">
      <alignment horizontal="center" vertical="center" wrapText="1"/>
    </xf>
    <xf numFmtId="0" fontId="159" fillId="52" borderId="3" xfId="0" applyFont="1" applyFill="1" applyBorder="1" applyAlignment="1">
      <alignment horizontal="center" vertical="center" wrapText="1"/>
    </xf>
    <xf numFmtId="0" fontId="159" fillId="52" borderId="51" xfId="0" applyFont="1" applyFill="1" applyBorder="1" applyAlignment="1">
      <alignment horizontal="center" vertical="center" wrapText="1"/>
    </xf>
    <xf numFmtId="0" fontId="159" fillId="52" borderId="52" xfId="0" applyFont="1" applyFill="1" applyBorder="1" applyAlignment="1">
      <alignment horizontal="center" vertical="center" wrapText="1"/>
    </xf>
    <xf numFmtId="0" fontId="159" fillId="61" borderId="3" xfId="0" applyFont="1" applyFill="1" applyBorder="1" applyAlignment="1">
      <alignment horizontal="center" vertical="center" wrapText="1"/>
    </xf>
    <xf numFmtId="0" fontId="159" fillId="61" borderId="51" xfId="0" applyFont="1" applyFill="1" applyBorder="1" applyAlignment="1">
      <alignment horizontal="center" vertical="center" wrapText="1"/>
    </xf>
    <xf numFmtId="0" fontId="159" fillId="61" borderId="52" xfId="0" applyFont="1" applyFill="1" applyBorder="1" applyAlignment="1">
      <alignment horizontal="center" vertical="center" wrapText="1"/>
    </xf>
    <xf numFmtId="0" fontId="159" fillId="0" borderId="3" xfId="0" applyFont="1" applyBorder="1" applyAlignment="1">
      <alignment horizontal="center" vertical="center" wrapText="1"/>
    </xf>
    <xf numFmtId="0" fontId="159" fillId="0" borderId="51" xfId="0" applyFont="1" applyBorder="1" applyAlignment="1">
      <alignment horizontal="center" vertical="center" wrapText="1"/>
    </xf>
    <xf numFmtId="0" fontId="159" fillId="0" borderId="52" xfId="0" applyFont="1" applyBorder="1" applyAlignment="1">
      <alignment horizontal="center" vertical="center" wrapText="1"/>
    </xf>
    <xf numFmtId="0" fontId="159" fillId="0" borderId="3" xfId="0" applyFont="1" applyBorder="1" applyAlignment="1">
      <alignment horizontal="center" vertical="center"/>
    </xf>
    <xf numFmtId="0" fontId="159" fillId="0" borderId="51" xfId="0" applyFont="1" applyBorder="1" applyAlignment="1">
      <alignment horizontal="center" vertical="center"/>
    </xf>
    <xf numFmtId="0" fontId="159" fillId="0" borderId="52" xfId="0" applyFont="1" applyBorder="1" applyAlignment="1">
      <alignment horizontal="center" vertical="center"/>
    </xf>
    <xf numFmtId="0" fontId="159" fillId="0" borderId="1" xfId="0" applyFont="1" applyBorder="1" applyAlignment="1">
      <alignment horizontal="center" vertical="center" wrapText="1"/>
    </xf>
    <xf numFmtId="0" fontId="159" fillId="0" borderId="4" xfId="0" applyFont="1" applyBorder="1" applyAlignment="1">
      <alignment horizontal="center" vertical="center" wrapText="1"/>
    </xf>
    <xf numFmtId="0" fontId="159" fillId="0" borderId="7" xfId="0" applyFont="1" applyBorder="1" applyAlignment="1">
      <alignment horizontal="center" vertical="center" wrapText="1"/>
    </xf>
    <xf numFmtId="0" fontId="107" fillId="0" borderId="60" xfId="0" applyFont="1" applyBorder="1" applyAlignment="1">
      <alignment horizontal="center" vertical="center"/>
    </xf>
    <xf numFmtId="0" fontId="108" fillId="0" borderId="40" xfId="0" applyFont="1" applyBorder="1" applyAlignment="1">
      <alignment horizontal="left" vertical="center" wrapText="1"/>
    </xf>
    <xf numFmtId="0" fontId="108" fillId="0" borderId="0" xfId="0" applyFont="1" applyBorder="1" applyAlignment="1">
      <alignment horizontal="left" vertical="center" wrapText="1"/>
    </xf>
    <xf numFmtId="0" fontId="108" fillId="0" borderId="60" xfId="0" applyFont="1" applyBorder="1" applyAlignment="1">
      <alignment horizontal="left" vertical="center" wrapText="1"/>
    </xf>
    <xf numFmtId="0" fontId="107" fillId="0" borderId="0" xfId="0" applyFont="1" applyAlignment="1">
      <alignment horizontal="center" vertical="center"/>
    </xf>
    <xf numFmtId="0" fontId="110" fillId="0" borderId="40" xfId="0" applyFont="1" applyBorder="1" applyAlignment="1">
      <alignment horizontal="left" vertical="center" wrapText="1"/>
    </xf>
    <xf numFmtId="0" fontId="110" fillId="0" borderId="0" xfId="0" applyFont="1" applyBorder="1" applyAlignment="1">
      <alignment horizontal="left" vertical="center" wrapText="1"/>
    </xf>
    <xf numFmtId="0" fontId="110" fillId="0" borderId="60" xfId="0" applyFont="1" applyBorder="1" applyAlignment="1">
      <alignment horizontal="left" vertical="center" wrapText="1"/>
    </xf>
    <xf numFmtId="0" fontId="188" fillId="48" borderId="1" xfId="0" applyFont="1" applyFill="1" applyBorder="1" applyAlignment="1">
      <alignment horizontal="center" vertical="center"/>
    </xf>
    <xf numFmtId="0" fontId="190" fillId="9" borderId="1" xfId="0" applyFont="1" applyFill="1" applyBorder="1" applyAlignment="1">
      <alignment horizontal="center"/>
    </xf>
    <xf numFmtId="0" fontId="186" fillId="7" borderId="14" xfId="2" applyFont="1" applyFill="1" applyBorder="1" applyAlignment="1">
      <alignment horizontal="center" vertical="center"/>
    </xf>
    <xf numFmtId="0" fontId="186" fillId="7" borderId="16" xfId="2" applyFont="1" applyFill="1" applyBorder="1" applyAlignment="1">
      <alignment horizontal="center" vertical="center"/>
    </xf>
    <xf numFmtId="0" fontId="186" fillId="7" borderId="15" xfId="2" applyFont="1" applyFill="1" applyBorder="1" applyAlignment="1">
      <alignment horizontal="center" vertical="center"/>
    </xf>
    <xf numFmtId="0" fontId="144" fillId="52" borderId="53" xfId="0" applyFont="1" applyFill="1" applyBorder="1" applyAlignment="1">
      <alignment horizontal="center" vertical="top"/>
    </xf>
    <xf numFmtId="0" fontId="144" fillId="52" borderId="54" xfId="0" applyFont="1" applyFill="1" applyBorder="1" applyAlignment="1">
      <alignment horizontal="center" vertical="top"/>
    </xf>
    <xf numFmtId="0" fontId="161" fillId="2" borderId="4" xfId="0" applyFont="1" applyFill="1" applyBorder="1" applyAlignment="1">
      <alignment horizontal="center" wrapText="1"/>
    </xf>
    <xf numFmtId="0" fontId="161" fillId="2" borderId="6" xfId="0" applyFont="1" applyFill="1" applyBorder="1" applyAlignment="1">
      <alignment horizontal="center" wrapText="1"/>
    </xf>
    <xf numFmtId="0" fontId="160" fillId="55" borderId="20" xfId="0" applyFont="1" applyFill="1" applyBorder="1" applyAlignment="1">
      <alignment horizontal="center" wrapText="1"/>
    </xf>
    <xf numFmtId="0" fontId="160" fillId="55" borderId="22" xfId="0" applyFont="1" applyFill="1" applyBorder="1" applyAlignment="1">
      <alignment horizontal="center" wrapText="1"/>
    </xf>
    <xf numFmtId="0" fontId="151" fillId="2" borderId="4" xfId="0" applyFont="1" applyFill="1" applyBorder="1" applyAlignment="1">
      <alignment horizontal="center" wrapText="1"/>
    </xf>
    <xf numFmtId="0" fontId="151" fillId="2" borderId="6" xfId="0" applyFont="1" applyFill="1" applyBorder="1" applyAlignment="1">
      <alignment horizontal="center" wrapText="1"/>
    </xf>
    <xf numFmtId="0" fontId="152" fillId="55" borderId="20" xfId="0" applyFont="1" applyFill="1" applyBorder="1" applyAlignment="1">
      <alignment horizontal="center" wrapText="1"/>
    </xf>
    <xf numFmtId="0" fontId="152" fillId="55" borderId="6" xfId="0" applyFont="1" applyFill="1" applyBorder="1" applyAlignment="1">
      <alignment horizontal="center" wrapText="1"/>
    </xf>
    <xf numFmtId="0" fontId="152" fillId="55" borderId="22" xfId="0" applyFont="1" applyFill="1" applyBorder="1" applyAlignment="1">
      <alignment horizontal="center" wrapText="1"/>
    </xf>
    <xf numFmtId="0" fontId="141" fillId="0" borderId="15" xfId="2" applyFont="1" applyBorder="1" applyAlignment="1">
      <alignment horizontal="left" vertical="center"/>
    </xf>
    <xf numFmtId="0" fontId="150" fillId="54" borderId="24" xfId="2" applyFont="1" applyFill="1" applyBorder="1" applyAlignment="1">
      <alignment horizontal="left" vertical="top"/>
    </xf>
    <xf numFmtId="0" fontId="150" fillId="54" borderId="25" xfId="2" applyFont="1" applyFill="1" applyBorder="1" applyAlignment="1">
      <alignment horizontal="left" vertical="top"/>
    </xf>
    <xf numFmtId="0" fontId="150" fillId="54" borderId="15" xfId="2" applyFont="1" applyFill="1" applyBorder="1" applyAlignment="1">
      <alignment horizontal="left" vertical="top"/>
    </xf>
    <xf numFmtId="0" fontId="150" fillId="54" borderId="16" xfId="2" applyFont="1" applyFill="1" applyBorder="1" applyAlignment="1">
      <alignment horizontal="left" vertical="top"/>
    </xf>
    <xf numFmtId="0" fontId="141" fillId="0" borderId="0" xfId="2" applyFont="1" applyAlignment="1">
      <alignment vertical="center"/>
    </xf>
    <xf numFmtId="0" fontId="141" fillId="0" borderId="82" xfId="2" applyFont="1" applyBorder="1" applyAlignment="1">
      <alignment horizontal="left" vertical="center"/>
    </xf>
    <xf numFmtId="0" fontId="149" fillId="53" borderId="14" xfId="2" applyFont="1" applyFill="1" applyBorder="1" applyAlignment="1">
      <alignment horizontal="center" vertical="center"/>
    </xf>
    <xf numFmtId="0" fontId="149" fillId="53" borderId="15" xfId="2" applyFont="1" applyFill="1" applyBorder="1" applyAlignment="1">
      <alignment horizontal="center" vertical="center"/>
    </xf>
    <xf numFmtId="0" fontId="149" fillId="53" borderId="16" xfId="2" applyFont="1" applyFill="1" applyBorder="1" applyAlignment="1">
      <alignment horizontal="center" vertical="center"/>
    </xf>
    <xf numFmtId="0" fontId="149" fillId="53" borderId="77" xfId="2" applyFont="1" applyFill="1" applyBorder="1" applyAlignment="1">
      <alignment horizontal="center" vertical="center"/>
    </xf>
    <xf numFmtId="0" fontId="149" fillId="53" borderId="78" xfId="2" applyFont="1" applyFill="1" applyBorder="1" applyAlignment="1">
      <alignment horizontal="center" vertical="center"/>
    </xf>
    <xf numFmtId="0" fontId="149" fillId="53" borderId="28" xfId="2" applyFont="1" applyFill="1" applyBorder="1" applyAlignment="1">
      <alignment horizontal="center" vertical="center"/>
    </xf>
    <xf numFmtId="0" fontId="150" fillId="54" borderId="24" xfId="2" applyFont="1" applyFill="1" applyBorder="1" applyAlignment="1">
      <alignment horizontal="left" vertical="center"/>
    </xf>
    <xf numFmtId="0" fontId="150" fillId="54" borderId="25" xfId="2" applyFont="1" applyFill="1" applyBorder="1" applyAlignment="1">
      <alignment horizontal="left" vertical="center"/>
    </xf>
    <xf numFmtId="0" fontId="150" fillId="54" borderId="26" xfId="2" applyFont="1" applyFill="1" applyBorder="1" applyAlignment="1">
      <alignment horizontal="left" vertical="center"/>
    </xf>
    <xf numFmtId="0" fontId="150" fillId="54" borderId="26" xfId="2" applyFont="1" applyFill="1" applyBorder="1" applyAlignment="1">
      <alignment horizontal="left" vertical="top"/>
    </xf>
    <xf numFmtId="0" fontId="165" fillId="56" borderId="4" xfId="0" applyFont="1" applyFill="1" applyBorder="1" applyAlignment="1">
      <alignment horizontal="center" vertical="top" wrapText="1"/>
    </xf>
    <xf numFmtId="0" fontId="165" fillId="56" borderId="83" xfId="0" applyFont="1" applyFill="1" applyBorder="1" applyAlignment="1">
      <alignment horizontal="center" vertical="top" wrapText="1"/>
    </xf>
    <xf numFmtId="0" fontId="165" fillId="56" borderId="6" xfId="0" applyFont="1" applyFill="1" applyBorder="1" applyAlignment="1">
      <alignment horizontal="center" vertical="top" wrapText="1"/>
    </xf>
    <xf numFmtId="0" fontId="183" fillId="7" borderId="17" xfId="0" applyFont="1" applyFill="1" applyBorder="1" applyAlignment="1">
      <alignment horizontal="center" vertical="center"/>
    </xf>
    <xf numFmtId="0" fontId="183" fillId="7" borderId="18" xfId="0" applyFont="1" applyFill="1" applyBorder="1" applyAlignment="1">
      <alignment horizontal="center" vertical="center"/>
    </xf>
    <xf numFmtId="0" fontId="157" fillId="0" borderId="3" xfId="0" applyFont="1" applyFill="1" applyBorder="1" applyAlignment="1">
      <alignment horizontal="center" vertical="center"/>
    </xf>
    <xf numFmtId="0" fontId="157" fillId="0" borderId="51" xfId="0" applyFont="1" applyFill="1" applyBorder="1" applyAlignment="1">
      <alignment horizontal="center" vertical="center"/>
    </xf>
    <xf numFmtId="0" fontId="157" fillId="0" borderId="52" xfId="0" applyFont="1" applyFill="1" applyBorder="1" applyAlignment="1">
      <alignment horizontal="center" vertical="center"/>
    </xf>
    <xf numFmtId="0" fontId="157" fillId="0" borderId="3" xfId="0" applyFont="1" applyFill="1" applyBorder="1" applyAlignment="1">
      <alignment horizontal="left" vertical="center" wrapText="1"/>
    </xf>
    <xf numFmtId="0" fontId="157" fillId="0" borderId="51" xfId="0" applyFont="1" applyFill="1" applyBorder="1" applyAlignment="1">
      <alignment horizontal="left" vertical="center" wrapText="1"/>
    </xf>
    <xf numFmtId="0" fontId="157" fillId="0" borderId="52" xfId="0" applyFont="1" applyFill="1" applyBorder="1" applyAlignment="1">
      <alignment horizontal="left" vertical="center" wrapText="1"/>
    </xf>
    <xf numFmtId="0" fontId="157" fillId="0" borderId="3" xfId="0" applyFont="1" applyBorder="1" applyAlignment="1">
      <alignment horizontal="left" vertical="center" wrapText="1"/>
    </xf>
    <xf numFmtId="0" fontId="157" fillId="0" borderId="52" xfId="0" applyFont="1" applyBorder="1" applyAlignment="1">
      <alignment horizontal="left" vertical="center" wrapText="1"/>
    </xf>
    <xf numFmtId="0" fontId="157" fillId="0" borderId="3" xfId="0" applyFont="1" applyFill="1" applyBorder="1" applyAlignment="1">
      <alignment horizontal="left" vertical="top" wrapText="1"/>
    </xf>
    <xf numFmtId="0" fontId="157" fillId="0" borderId="52" xfId="0" applyFont="1" applyFill="1" applyBorder="1" applyAlignment="1">
      <alignment horizontal="left" vertical="top" wrapText="1"/>
    </xf>
    <xf numFmtId="0" fontId="157" fillId="0" borderId="3" xfId="0" applyFont="1" applyBorder="1" applyAlignment="1">
      <alignment horizontal="left" vertical="center"/>
    </xf>
    <xf numFmtId="0" fontId="157" fillId="0" borderId="51" xfId="0" applyFont="1" applyBorder="1" applyAlignment="1">
      <alignment horizontal="left" vertical="center"/>
    </xf>
    <xf numFmtId="0" fontId="157" fillId="0" borderId="52" xfId="0" applyFont="1" applyBorder="1" applyAlignment="1">
      <alignment horizontal="left" vertical="center"/>
    </xf>
    <xf numFmtId="0" fontId="157" fillId="0" borderId="3" xfId="0" applyFont="1" applyBorder="1" applyAlignment="1">
      <alignment horizontal="center" vertical="center" wrapText="1"/>
    </xf>
    <xf numFmtId="0" fontId="157" fillId="0" borderId="52" xfId="0" applyFont="1" applyBorder="1" applyAlignment="1">
      <alignment horizontal="center" vertical="center" wrapText="1"/>
    </xf>
    <xf numFmtId="0" fontId="157" fillId="0" borderId="3" xfId="0" applyFont="1" applyBorder="1" applyAlignment="1">
      <alignment horizontal="left" vertical="top" wrapText="1"/>
    </xf>
    <xf numFmtId="0" fontId="157" fillId="0" borderId="52" xfId="0" applyFont="1" applyBorder="1" applyAlignment="1">
      <alignment horizontal="left" vertical="top" wrapText="1"/>
    </xf>
    <xf numFmtId="0" fontId="157" fillId="0" borderId="6" xfId="0" applyFont="1" applyBorder="1" applyAlignment="1">
      <alignment horizontal="center" vertical="center"/>
    </xf>
    <xf numFmtId="0" fontId="157" fillId="0" borderId="11" xfId="0" applyFont="1" applyBorder="1" applyAlignment="1">
      <alignment horizontal="center" vertical="center"/>
    </xf>
    <xf numFmtId="0" fontId="157" fillId="0" borderId="3" xfId="0" applyFont="1" applyBorder="1" applyAlignment="1">
      <alignment horizontal="center" vertical="center"/>
    </xf>
    <xf numFmtId="0" fontId="157" fillId="0" borderId="52" xfId="0" applyFont="1" applyBorder="1" applyAlignment="1">
      <alignment horizontal="center" vertical="center"/>
    </xf>
    <xf numFmtId="0" fontId="157" fillId="59" borderId="3" xfId="0" applyFont="1" applyFill="1" applyBorder="1" applyAlignment="1">
      <alignment horizontal="center" vertical="center" wrapText="1"/>
    </xf>
    <xf numFmtId="0" fontId="157" fillId="59" borderId="51" xfId="0" applyFont="1" applyFill="1" applyBorder="1" applyAlignment="1">
      <alignment horizontal="center" vertical="center" wrapText="1"/>
    </xf>
    <xf numFmtId="0" fontId="157" fillId="59" borderId="52" xfId="0" applyFont="1" applyFill="1" applyBorder="1" applyAlignment="1">
      <alignment horizontal="center" vertical="center" wrapText="1"/>
    </xf>
    <xf numFmtId="0" fontId="194" fillId="55" borderId="1" xfId="0" applyFont="1" applyFill="1" applyBorder="1" applyAlignment="1">
      <alignment horizontal="center" wrapText="1"/>
    </xf>
    <xf numFmtId="0" fontId="184" fillId="0" borderId="1" xfId="0" applyFont="1" applyBorder="1" applyAlignment="1">
      <alignment horizontal="left" vertical="center" wrapText="1"/>
    </xf>
    <xf numFmtId="0" fontId="182" fillId="58" borderId="7" xfId="0" applyFont="1" applyFill="1" applyBorder="1" applyAlignment="1">
      <alignment horizontal="left" vertical="top" wrapText="1"/>
    </xf>
    <xf numFmtId="0" fontId="182" fillId="58" borderId="0" xfId="0" applyFont="1" applyFill="1" applyBorder="1" applyAlignment="1">
      <alignment horizontal="left" vertical="top" wrapText="1"/>
    </xf>
    <xf numFmtId="0" fontId="182" fillId="58" borderId="8" xfId="0" applyFont="1" applyFill="1" applyBorder="1" applyAlignment="1">
      <alignment horizontal="left" vertical="top" wrapText="1"/>
    </xf>
    <xf numFmtId="0" fontId="182" fillId="58" borderId="9" xfId="0" applyFont="1" applyFill="1" applyBorder="1" applyAlignment="1">
      <alignment horizontal="left" vertical="top" wrapText="1"/>
    </xf>
    <xf numFmtId="0" fontId="182" fillId="58" borderId="10" xfId="0" applyFont="1" applyFill="1" applyBorder="1" applyAlignment="1">
      <alignment horizontal="left" vertical="top" wrapText="1"/>
    </xf>
    <xf numFmtId="0" fontId="182" fillId="58" borderId="11" xfId="0" applyFont="1" applyFill="1" applyBorder="1" applyAlignment="1">
      <alignment horizontal="left" vertical="top" wrapText="1"/>
    </xf>
    <xf numFmtId="0" fontId="183" fillId="61" borderId="1" xfId="0" applyFont="1" applyFill="1" applyBorder="1" applyAlignment="1">
      <alignment horizontal="center" vertical="center"/>
    </xf>
    <xf numFmtId="0" fontId="183" fillId="58" borderId="1" xfId="0" applyFont="1" applyFill="1" applyBorder="1" applyAlignment="1">
      <alignment horizontal="center" vertical="center" wrapText="1"/>
    </xf>
    <xf numFmtId="0" fontId="182" fillId="58" borderId="4" xfId="0" applyFont="1" applyFill="1" applyBorder="1" applyAlignment="1">
      <alignment horizontal="left" vertical="top" wrapText="1"/>
    </xf>
    <xf numFmtId="0" fontId="182" fillId="58" borderId="83" xfId="0" applyFont="1" applyFill="1" applyBorder="1" applyAlignment="1">
      <alignment horizontal="left" vertical="top" wrapText="1"/>
    </xf>
    <xf numFmtId="0" fontId="182" fillId="58" borderId="6" xfId="0" applyFont="1" applyFill="1" applyBorder="1" applyAlignment="1">
      <alignment horizontal="left" vertical="top" wrapText="1"/>
    </xf>
    <xf numFmtId="0" fontId="201" fillId="0" borderId="1" xfId="0" applyFont="1" applyBorder="1" applyAlignment="1">
      <alignment horizontal="left" vertical="top" wrapText="1"/>
    </xf>
    <xf numFmtId="0" fontId="201" fillId="0" borderId="0" xfId="0" applyFont="1" applyAlignment="1">
      <alignment horizontal="center" vertical="top"/>
    </xf>
    <xf numFmtId="0" fontId="202" fillId="0" borderId="1" xfId="0" applyFont="1" applyBorder="1" applyAlignment="1">
      <alignment horizontal="center" vertical="top"/>
    </xf>
    <xf numFmtId="0" fontId="201" fillId="0" borderId="1" xfId="0" applyFont="1" applyBorder="1" applyAlignment="1">
      <alignment horizontal="center" vertical="top" wrapText="1"/>
    </xf>
    <xf numFmtId="167" fontId="201" fillId="0" borderId="1" xfId="0" applyNumberFormat="1" applyFont="1" applyBorder="1" applyAlignment="1">
      <alignment horizontal="center" vertical="center"/>
    </xf>
    <xf numFmtId="0" fontId="201" fillId="0" borderId="1" xfId="0" applyFont="1" applyBorder="1" applyAlignment="1">
      <alignment horizontal="center" vertical="center"/>
    </xf>
    <xf numFmtId="3" fontId="201" fillId="0" borderId="1" xfId="0" applyNumberFormat="1" applyFont="1" applyBorder="1" applyAlignment="1">
      <alignment horizontal="center" vertical="center"/>
    </xf>
    <xf numFmtId="4" fontId="201" fillId="0" borderId="1" xfId="0" applyNumberFormat="1" applyFont="1" applyBorder="1" applyAlignment="1">
      <alignment horizontal="center" vertical="center"/>
    </xf>
    <xf numFmtId="9" fontId="201" fillId="0" borderId="1" xfId="0" applyNumberFormat="1" applyFont="1" applyBorder="1" applyAlignment="1">
      <alignment horizontal="center" vertical="center"/>
    </xf>
    <xf numFmtId="167" fontId="201" fillId="0" borderId="1" xfId="0" applyNumberFormat="1" applyFont="1" applyBorder="1" applyAlignment="1">
      <alignment horizontal="center" vertical="center" wrapText="1"/>
    </xf>
    <xf numFmtId="0" fontId="201" fillId="0" borderId="0" xfId="0" applyFont="1" applyBorder="1" applyAlignment="1">
      <alignment horizontal="center" vertical="top" wrapText="1"/>
    </xf>
    <xf numFmtId="0" fontId="201" fillId="0" borderId="0" xfId="0" applyFont="1" applyBorder="1" applyAlignment="1">
      <alignment horizontal="left" vertical="top" wrapText="1"/>
    </xf>
    <xf numFmtId="167" fontId="201" fillId="0" borderId="0" xfId="0" applyNumberFormat="1" applyFont="1" applyBorder="1" applyAlignment="1">
      <alignment horizontal="center" vertical="center"/>
    </xf>
    <xf numFmtId="167" fontId="201" fillId="0" borderId="0" xfId="0" applyNumberFormat="1" applyFont="1" applyBorder="1" applyAlignment="1">
      <alignment horizontal="center" vertical="center" wrapText="1"/>
    </xf>
    <xf numFmtId="183" fontId="201" fillId="0" borderId="0" xfId="0" applyNumberFormat="1" applyFont="1" applyAlignment="1">
      <alignment horizontal="center" vertical="top"/>
    </xf>
    <xf numFmtId="0" fontId="202" fillId="52" borderId="53" xfId="0" applyFont="1" applyFill="1" applyBorder="1" applyAlignment="1">
      <alignment horizontal="center" vertical="top"/>
    </xf>
    <xf numFmtId="0" fontId="202" fillId="52" borderId="54" xfId="0" applyFont="1" applyFill="1" applyBorder="1" applyAlignment="1">
      <alignment horizontal="center" vertical="top"/>
    </xf>
    <xf numFmtId="0" fontId="202" fillId="52" borderId="55" xfId="0" applyFont="1" applyFill="1" applyBorder="1" applyAlignment="1">
      <alignment horizontal="center" vertical="top"/>
    </xf>
    <xf numFmtId="0" fontId="202" fillId="0" borderId="0" xfId="0" applyFont="1" applyAlignment="1">
      <alignment horizontal="center" vertical="top"/>
    </xf>
    <xf numFmtId="0" fontId="202" fillId="2" borderId="2" xfId="0" applyFont="1" applyFill="1" applyBorder="1" applyAlignment="1">
      <alignment horizontal="center" vertical="top"/>
    </xf>
    <xf numFmtId="0" fontId="203" fillId="0" borderId="0" xfId="0" applyFont="1" applyAlignment="1">
      <alignment horizontal="center" vertical="top" wrapText="1"/>
    </xf>
    <xf numFmtId="167" fontId="203" fillId="0" borderId="1" xfId="0" applyNumberFormat="1" applyFont="1" applyBorder="1" applyAlignment="1">
      <alignment horizontal="center" vertical="top"/>
    </xf>
    <xf numFmtId="0" fontId="203" fillId="0" borderId="1" xfId="0" applyFont="1" applyBorder="1" applyAlignment="1">
      <alignment horizontal="center" vertical="top"/>
    </xf>
    <xf numFmtId="3" fontId="203" fillId="0" borderId="1" xfId="0" applyNumberFormat="1" applyFont="1" applyBorder="1" applyAlignment="1">
      <alignment horizontal="center" vertical="top"/>
    </xf>
    <xf numFmtId="183" fontId="203" fillId="0" borderId="1" xfId="0" applyNumberFormat="1" applyFont="1" applyBorder="1" applyAlignment="1">
      <alignment horizontal="center" vertical="top"/>
    </xf>
    <xf numFmtId="167" fontId="204" fillId="0" borderId="1" xfId="0" applyNumberFormat="1" applyFont="1" applyBorder="1" applyAlignment="1">
      <alignment horizontal="center" vertical="top" wrapText="1"/>
    </xf>
    <xf numFmtId="1" fontId="203" fillId="0" borderId="1" xfId="0" applyNumberFormat="1" applyFont="1" applyBorder="1" applyAlignment="1">
      <alignment horizontal="center" vertical="top"/>
    </xf>
    <xf numFmtId="2" fontId="203" fillId="0" borderId="1" xfId="0" applyNumberFormat="1" applyFont="1" applyBorder="1" applyAlignment="1">
      <alignment horizontal="center" vertical="top"/>
    </xf>
    <xf numFmtId="8" fontId="203" fillId="0" borderId="1" xfId="0" applyNumberFormat="1" applyFont="1" applyBorder="1" applyAlignment="1">
      <alignment horizontal="center" vertical="top"/>
    </xf>
    <xf numFmtId="8" fontId="202" fillId="0" borderId="0" xfId="0" applyNumberFormat="1" applyFont="1" applyAlignment="1">
      <alignment horizontal="center" vertical="top"/>
    </xf>
    <xf numFmtId="167" fontId="202" fillId="0" borderId="0" xfId="0" applyNumberFormat="1" applyFont="1" applyAlignment="1">
      <alignment horizontal="center" vertical="top"/>
    </xf>
    <xf numFmtId="8" fontId="201" fillId="0" borderId="0" xfId="0" applyNumberFormat="1" applyFont="1" applyAlignment="1">
      <alignment horizontal="center" vertical="top"/>
    </xf>
    <xf numFmtId="167" fontId="201" fillId="0" borderId="0" xfId="0" applyNumberFormat="1" applyFont="1" applyAlignment="1">
      <alignment horizontal="center" vertical="top"/>
    </xf>
    <xf numFmtId="0" fontId="203" fillId="0" borderId="0" xfId="0" applyFont="1" applyAlignment="1">
      <alignment horizontal="center" vertical="top"/>
    </xf>
    <xf numFmtId="182" fontId="203" fillId="0" borderId="0" xfId="0" applyNumberFormat="1" applyFont="1" applyAlignment="1">
      <alignment horizontal="center" vertical="top"/>
    </xf>
    <xf numFmtId="182" fontId="201" fillId="0" borderId="0" xfId="0" applyNumberFormat="1" applyFont="1" applyAlignment="1">
      <alignment horizontal="center" vertical="top"/>
    </xf>
  </cellXfs>
  <cellStyles count="102">
    <cellStyle name="20% - Accent1 2" xfId="28" xr:uid="{00000000-0005-0000-0000-000000000000}"/>
    <cellStyle name="20% - Accent1 3" xfId="74" xr:uid="{00000000-0005-0000-0000-000065000000}"/>
    <cellStyle name="20% - Accent2 2" xfId="32" xr:uid="{00000000-0005-0000-0000-000001000000}"/>
    <cellStyle name="20% - Accent2 3" xfId="78" xr:uid="{00000000-0005-0000-0000-000066000000}"/>
    <cellStyle name="20% - Accent3 2" xfId="36" xr:uid="{00000000-0005-0000-0000-000002000000}"/>
    <cellStyle name="20% - Accent3 3" xfId="82" xr:uid="{00000000-0005-0000-0000-000067000000}"/>
    <cellStyle name="20% - Accent4 2" xfId="40" xr:uid="{00000000-0005-0000-0000-000003000000}"/>
    <cellStyle name="20% - Accent4 3" xfId="86" xr:uid="{00000000-0005-0000-0000-000068000000}"/>
    <cellStyle name="20% - Accent5 2" xfId="44" xr:uid="{00000000-0005-0000-0000-000004000000}"/>
    <cellStyle name="20% - Accent5 3" xfId="90" xr:uid="{00000000-0005-0000-0000-000069000000}"/>
    <cellStyle name="20% - Accent6 2" xfId="48" xr:uid="{00000000-0005-0000-0000-000005000000}"/>
    <cellStyle name="20% - Accent6 3" xfId="94" xr:uid="{00000000-0005-0000-0000-00006A000000}"/>
    <cellStyle name="40% - Accent1 2" xfId="29" xr:uid="{00000000-0005-0000-0000-000006000000}"/>
    <cellStyle name="40% - Accent1 3" xfId="75" xr:uid="{00000000-0005-0000-0000-00006B000000}"/>
    <cellStyle name="40% - Accent2 2" xfId="33" xr:uid="{00000000-0005-0000-0000-000007000000}"/>
    <cellStyle name="40% - Accent2 3" xfId="79" xr:uid="{00000000-0005-0000-0000-00006C000000}"/>
    <cellStyle name="40% - Accent3 2" xfId="37" xr:uid="{00000000-0005-0000-0000-000008000000}"/>
    <cellStyle name="40% - Accent3 3" xfId="83" xr:uid="{00000000-0005-0000-0000-00006D000000}"/>
    <cellStyle name="40% - Accent4 2" xfId="41" xr:uid="{00000000-0005-0000-0000-000009000000}"/>
    <cellStyle name="40% - Accent4 3" xfId="87" xr:uid="{00000000-0005-0000-0000-00006E000000}"/>
    <cellStyle name="40% - Accent5 2" xfId="45" xr:uid="{00000000-0005-0000-0000-00000A000000}"/>
    <cellStyle name="40% - Accent5 3" xfId="91" xr:uid="{00000000-0005-0000-0000-00006F000000}"/>
    <cellStyle name="40% - Accent6 2" xfId="49" xr:uid="{00000000-0005-0000-0000-00000B000000}"/>
    <cellStyle name="40% - Accent6 3" xfId="95" xr:uid="{00000000-0005-0000-0000-000070000000}"/>
    <cellStyle name="60% - Accent1 2" xfId="30" xr:uid="{00000000-0005-0000-0000-00000C000000}"/>
    <cellStyle name="60% - Accent1 3" xfId="76" xr:uid="{00000000-0005-0000-0000-000071000000}"/>
    <cellStyle name="60% - Accent2 2" xfId="34" xr:uid="{00000000-0005-0000-0000-00000D000000}"/>
    <cellStyle name="60% - Accent2 3" xfId="80" xr:uid="{00000000-0005-0000-0000-000072000000}"/>
    <cellStyle name="60% - Accent3 2" xfId="38" xr:uid="{00000000-0005-0000-0000-00000E000000}"/>
    <cellStyle name="60% - Accent3 3" xfId="84" xr:uid="{00000000-0005-0000-0000-000073000000}"/>
    <cellStyle name="60% - Accent4 2" xfId="42" xr:uid="{00000000-0005-0000-0000-00000F000000}"/>
    <cellStyle name="60% - Accent4 3" xfId="88" xr:uid="{00000000-0005-0000-0000-000074000000}"/>
    <cellStyle name="60% - Accent5 2" xfId="46" xr:uid="{00000000-0005-0000-0000-000010000000}"/>
    <cellStyle name="60% - Accent5 3" xfId="92" xr:uid="{00000000-0005-0000-0000-000075000000}"/>
    <cellStyle name="60% - Accent6 2" xfId="50" xr:uid="{00000000-0005-0000-0000-000011000000}"/>
    <cellStyle name="60% - Accent6 3" xfId="96" xr:uid="{00000000-0005-0000-0000-000076000000}"/>
    <cellStyle name="Accent1 2" xfId="27" xr:uid="{00000000-0005-0000-0000-000012000000}"/>
    <cellStyle name="Accent1 3" xfId="73" xr:uid="{00000000-0005-0000-0000-000077000000}"/>
    <cellStyle name="Accent2 2" xfId="31" xr:uid="{00000000-0005-0000-0000-000013000000}"/>
    <cellStyle name="Accent2 3" xfId="77" xr:uid="{00000000-0005-0000-0000-000078000000}"/>
    <cellStyle name="Accent3 2" xfId="35" xr:uid="{00000000-0005-0000-0000-000014000000}"/>
    <cellStyle name="Accent3 3" xfId="81" xr:uid="{00000000-0005-0000-0000-000079000000}"/>
    <cellStyle name="Accent4 2" xfId="39" xr:uid="{00000000-0005-0000-0000-000015000000}"/>
    <cellStyle name="Accent4 3" xfId="85" xr:uid="{00000000-0005-0000-0000-00007A000000}"/>
    <cellStyle name="Accent5 2" xfId="43" xr:uid="{00000000-0005-0000-0000-000016000000}"/>
    <cellStyle name="Accent5 3" xfId="89" xr:uid="{00000000-0005-0000-0000-00007B000000}"/>
    <cellStyle name="Accent6 2" xfId="47" xr:uid="{00000000-0005-0000-0000-000017000000}"/>
    <cellStyle name="Accent6 3" xfId="93" xr:uid="{00000000-0005-0000-0000-00007C000000}"/>
    <cellStyle name="Bad 2" xfId="25" xr:uid="{00000000-0005-0000-0000-000018000000}"/>
    <cellStyle name="Bad 3" xfId="71" xr:uid="{00000000-0005-0000-0000-00007D000000}"/>
    <cellStyle name="Calculation 2" xfId="20" xr:uid="{00000000-0005-0000-0000-000019000000}"/>
    <cellStyle name="Calculation 3" xfId="66" xr:uid="{00000000-0005-0000-0000-00007E000000}"/>
    <cellStyle name="Check Cell 2" xfId="21" xr:uid="{00000000-0005-0000-0000-00001A000000}"/>
    <cellStyle name="Check Cell 3" xfId="67" xr:uid="{00000000-0005-0000-0000-00007F000000}"/>
    <cellStyle name="Comma [0] 2" xfId="7" xr:uid="{00000000-0005-0000-0000-00001B000000}"/>
    <cellStyle name="Comma 2" xfId="4" xr:uid="{00000000-0005-0000-0000-00001C000000}"/>
    <cellStyle name="Comma 3" xfId="52" xr:uid="{00000000-0005-0000-0000-00001D000000}"/>
    <cellStyle name="Comma 4" xfId="54" xr:uid="{00000000-0005-0000-0000-000080000000}"/>
    <cellStyle name="Comma 5" xfId="98" xr:uid="{00000000-0005-0000-0000-000091000000}"/>
    <cellStyle name="Comma 6" xfId="101" xr:uid="{00000000-0005-0000-0000-000093000000}"/>
    <cellStyle name="Currency [0] 2" xfId="8" xr:uid="{00000000-0005-0000-0000-00001E000000}"/>
    <cellStyle name="Currency 2" xfId="5" xr:uid="{00000000-0005-0000-0000-00001F000000}"/>
    <cellStyle name="Currency 3" xfId="53" xr:uid="{00000000-0005-0000-0000-000020000000}"/>
    <cellStyle name="Currency 4" xfId="55" xr:uid="{00000000-0005-0000-0000-000081000000}"/>
    <cellStyle name="Currency 5" xfId="99" xr:uid="{00000000-0005-0000-0000-000092000000}"/>
    <cellStyle name="Currency 6" xfId="100" xr:uid="{00000000-0005-0000-0000-000094000000}"/>
    <cellStyle name="Explanatory Text 2" xfId="51" xr:uid="{00000000-0005-0000-0000-000021000000}"/>
    <cellStyle name="Explanatory Text 3" xfId="97" xr:uid="{00000000-0005-0000-0000-000082000000}"/>
    <cellStyle name="Followed Hyperlink 2" xfId="10" xr:uid="{00000000-0005-0000-0000-000022000000}"/>
    <cellStyle name="Followed Hyperlink 3" xfId="57" xr:uid="{00000000-0005-0000-0000-000083000000}"/>
    <cellStyle name="Good 2" xfId="24" xr:uid="{00000000-0005-0000-0000-000023000000}"/>
    <cellStyle name="Good 3" xfId="70" xr:uid="{00000000-0005-0000-0000-000084000000}"/>
    <cellStyle name="Heading 1 2" xfId="14" xr:uid="{00000000-0005-0000-0000-000024000000}"/>
    <cellStyle name="Heading 1 3" xfId="60" xr:uid="{00000000-0005-0000-0000-000085000000}"/>
    <cellStyle name="Heading 2 2" xfId="15" xr:uid="{00000000-0005-0000-0000-000025000000}"/>
    <cellStyle name="Heading 2 3" xfId="61" xr:uid="{00000000-0005-0000-0000-000086000000}"/>
    <cellStyle name="Heading 3 2" xfId="16" xr:uid="{00000000-0005-0000-0000-000026000000}"/>
    <cellStyle name="Heading 3 3" xfId="62" xr:uid="{00000000-0005-0000-0000-000087000000}"/>
    <cellStyle name="Heading 4 2" xfId="17" xr:uid="{00000000-0005-0000-0000-000027000000}"/>
    <cellStyle name="Heading 4 3" xfId="63" xr:uid="{00000000-0005-0000-0000-000088000000}"/>
    <cellStyle name="Hyperlink" xfId="1" builtinId="8"/>
    <cellStyle name="Hyperlink 2" xfId="9" xr:uid="{00000000-0005-0000-0000-000029000000}"/>
    <cellStyle name="Hyperlink 3" xfId="56" xr:uid="{00000000-0005-0000-0000-000089000000}"/>
    <cellStyle name="Input 2" xfId="18" xr:uid="{00000000-0005-0000-0000-00002A000000}"/>
    <cellStyle name="Input 3" xfId="64" xr:uid="{00000000-0005-0000-0000-00008A000000}"/>
    <cellStyle name="Linked Cell 2" xfId="22" xr:uid="{00000000-0005-0000-0000-00002B000000}"/>
    <cellStyle name="Linked Cell 3" xfId="68" xr:uid="{00000000-0005-0000-0000-00008B000000}"/>
    <cellStyle name="Neutral 2" xfId="26" xr:uid="{00000000-0005-0000-0000-00002C000000}"/>
    <cellStyle name="Neutral 3" xfId="72" xr:uid="{00000000-0005-0000-0000-00008C000000}"/>
    <cellStyle name="Normal" xfId="0" builtinId="0"/>
    <cellStyle name="Normal 2" xfId="2" xr:uid="{00000000-0005-0000-0000-00002E000000}"/>
    <cellStyle name="Note 2" xfId="11" xr:uid="{00000000-0005-0000-0000-00002F000000}"/>
    <cellStyle name="Output 2" xfId="19" xr:uid="{00000000-0005-0000-0000-000030000000}"/>
    <cellStyle name="Output 3" xfId="65" xr:uid="{00000000-0005-0000-0000-00008D000000}"/>
    <cellStyle name="Percent 2" xfId="6" xr:uid="{00000000-0005-0000-0000-000031000000}"/>
    <cellStyle name="RSDefault" xfId="3" xr:uid="{00000000-0005-0000-0000-000032000000}"/>
    <cellStyle name="Title 2" xfId="13" xr:uid="{00000000-0005-0000-0000-000033000000}"/>
    <cellStyle name="Title 3" xfId="59" xr:uid="{00000000-0005-0000-0000-00008E000000}"/>
    <cellStyle name="Total 2" xfId="23" xr:uid="{00000000-0005-0000-0000-000034000000}"/>
    <cellStyle name="Total 3" xfId="69" xr:uid="{00000000-0005-0000-0000-00008F000000}"/>
    <cellStyle name="Warning Text 2" xfId="12" xr:uid="{00000000-0005-0000-0000-000035000000}"/>
    <cellStyle name="Warning Text 3" xfId="58" xr:uid="{00000000-0005-0000-0000-000090000000}"/>
  </cellStyles>
  <dxfs count="14">
    <dxf>
      <font>
        <b val="0"/>
        <i val="0"/>
        <strike val="0"/>
        <condense val="0"/>
        <extend val="0"/>
        <outline val="0"/>
        <shadow val="0"/>
        <u val="none"/>
        <vertAlign val="baseline"/>
        <sz val="11"/>
        <color theme="1"/>
        <name val="GE Inspira Book"/>
        <family val="2"/>
        <scheme val="none"/>
      </font>
      <numFmt numFmtId="170" formatCode="0.0"/>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GE Inspira Book"/>
        <family val="2"/>
        <scheme val="none"/>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GE Inspira Book"/>
        <family val="2"/>
        <scheme val="none"/>
      </font>
      <alignment horizontal="center"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GE Inspira Book"/>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GE Inspira Book"/>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GE Inspira Book"/>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GE Inspira Book"/>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GE Inspira Book"/>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GE Inspira Book"/>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GE Inspira Book"/>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GE Inspira Book"/>
        <family val="2"/>
        <scheme val="none"/>
      </font>
      <alignment horizontal="center" vertical="center" textRotation="0" wrapText="0" indent="0" justifyLastLine="0" shrinkToFit="0" readingOrder="0"/>
    </dxf>
  </dxfs>
  <tableStyles count="0" defaultTableStyle="TableStyleMedium2" defaultPivotStyle="PivotStyleLight16"/>
  <colors>
    <mruColors>
      <color rgb="FF0000E1"/>
      <color rgb="FF00FF00"/>
      <color rgb="FF373737"/>
      <color rgb="FF0000FF"/>
      <color rgb="FF336699"/>
      <color rgb="FF00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5.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6.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7.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8.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9.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0.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1.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2.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600" b="1" i="0" u="none" strike="noStrike" kern="1200" spc="0" normalizeH="0" baseline="0">
                <a:solidFill>
                  <a:schemeClr val="dk1">
                    <a:lumMod val="50000"/>
                    <a:lumOff val="50000"/>
                  </a:schemeClr>
                </a:solidFill>
                <a:latin typeface="GE Inspira Book" panose="020B0503030400020204" pitchFamily="34" charset="0"/>
                <a:ea typeface="+mj-ea"/>
                <a:cs typeface="+mj-cs"/>
              </a:defRPr>
            </a:pPr>
            <a:r>
              <a:rPr lang="en-US" sz="3600">
                <a:latin typeface="GE Inspira Book" panose="020B0503030400020204" pitchFamily="34" charset="0"/>
              </a:rPr>
              <a:t>Work Break Down Percentage</a:t>
            </a:r>
          </a:p>
        </c:rich>
      </c:tx>
      <c:layout>
        <c:manualLayout>
          <c:xMode val="edge"/>
          <c:yMode val="edge"/>
          <c:x val="0.40389426587396488"/>
          <c:y val="1.7284597321809866E-2"/>
        </c:manualLayout>
      </c:layout>
      <c:overlay val="0"/>
      <c:spPr>
        <a:noFill/>
        <a:ln>
          <a:noFill/>
        </a:ln>
        <a:effectLst/>
      </c:spPr>
      <c:txPr>
        <a:bodyPr rot="0" spcFirstLastPara="1" vertOverflow="ellipsis" vert="horz" wrap="square" anchor="ctr" anchorCtr="1"/>
        <a:lstStyle/>
        <a:p>
          <a:pPr>
            <a:defRPr sz="3600" b="1" i="0" u="none" strike="noStrike" kern="1200" spc="0" normalizeH="0" baseline="0">
              <a:solidFill>
                <a:schemeClr val="dk1">
                  <a:lumMod val="50000"/>
                  <a:lumOff val="50000"/>
                </a:schemeClr>
              </a:solidFill>
              <a:latin typeface="GE Inspira Book" panose="020B0503030400020204" pitchFamily="34" charset="0"/>
              <a:ea typeface="+mj-ea"/>
              <a:cs typeface="+mj-cs"/>
            </a:defRPr>
          </a:pPr>
          <a:endParaRPr lang="en-US"/>
        </a:p>
      </c:txPr>
    </c:title>
    <c:autoTitleDeleted val="0"/>
    <c:plotArea>
      <c:layout>
        <c:manualLayout>
          <c:layoutTarget val="inner"/>
          <c:xMode val="edge"/>
          <c:yMode val="edge"/>
          <c:x val="4.8565225718924784E-2"/>
          <c:y val="9.3920237405380816E-2"/>
          <c:w val="0.40429950669379444"/>
          <c:h val="0.81581580157702827"/>
        </c:manualLayout>
      </c:layout>
      <c:doughnutChart>
        <c:varyColors val="1"/>
        <c:ser>
          <c:idx val="0"/>
          <c:order val="0"/>
          <c:tx>
            <c:strRef>
              <c:f>'DFR Responsibilties '!$J$3</c:f>
              <c:strCache>
                <c:ptCount val="1"/>
                <c:pt idx="0">
                  <c:v>Percentage allocation</c:v>
                </c:pt>
              </c:strCache>
            </c:strRef>
          </c:tx>
          <c:spPr>
            <a:scene3d>
              <a:camera prst="orthographicFront"/>
              <a:lightRig rig="threePt" dir="t"/>
            </a:scene3d>
            <a:sp3d>
              <a:bevelT/>
            </a:sp3d>
          </c:spPr>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3-04FE-4643-ADF5-CDED1C045275}"/>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2-04FE-4643-ADF5-CDED1C045275}"/>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E-04FE-4643-ADF5-CDED1C045275}"/>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D-04FE-4643-ADF5-CDED1C045275}"/>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C-04FE-4643-ADF5-CDED1C045275}"/>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B-04FE-4643-ADF5-CDED1C045275}"/>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A-04FE-4643-ADF5-CDED1C045275}"/>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9-04FE-4643-ADF5-CDED1C045275}"/>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8-04FE-4643-ADF5-CDED1C045275}"/>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7-04FE-4643-ADF5-CDED1C045275}"/>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6-04FE-4643-ADF5-CDED1C045275}"/>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5-04FE-4643-ADF5-CDED1C045275}"/>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4-04FE-4643-ADF5-CDED1C045275}"/>
              </c:ext>
            </c:extLst>
          </c:dPt>
          <c:dLbls>
            <c:dLbl>
              <c:idx val="0"/>
              <c:layout>
                <c:manualLayout>
                  <c:x val="-1.098301856570486E-2"/>
                  <c:y val="-0.12658328726123666"/>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4FE-4643-ADF5-CDED1C045275}"/>
                </c:ext>
              </c:extLst>
            </c:dLbl>
            <c:dLbl>
              <c:idx val="1"/>
              <c:layout>
                <c:manualLayout>
                  <c:x val="2.2764228341772587E-2"/>
                  <c:y val="-0.1072619877384390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4FE-4643-ADF5-CDED1C045275}"/>
                </c:ext>
              </c:extLst>
            </c:dLbl>
            <c:dLbl>
              <c:idx val="2"/>
              <c:layout>
                <c:manualLayout>
                  <c:x val="5.0543024559713094E-2"/>
                  <c:y val="-0.10562809474439364"/>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E-04FE-4643-ADF5-CDED1C045275}"/>
                </c:ext>
              </c:extLst>
            </c:dLbl>
            <c:dLbl>
              <c:idx val="3"/>
              <c:layout>
                <c:manualLayout>
                  <c:x val="3.9515455564866596E-2"/>
                  <c:y val="-0.1517203542692199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D-04FE-4643-ADF5-CDED1C045275}"/>
                </c:ext>
              </c:extLst>
            </c:dLbl>
            <c:dLbl>
              <c:idx val="4"/>
              <c:layout>
                <c:manualLayout>
                  <c:x val="5.0543024559713094E-2"/>
                  <c:y val="-0.10946911637146241"/>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C-04FE-4643-ADF5-CDED1C045275}"/>
                </c:ext>
              </c:extLst>
            </c:dLbl>
            <c:dLbl>
              <c:idx val="5"/>
              <c:layout>
                <c:manualLayout>
                  <c:x val="4.8705096393905342E-2"/>
                  <c:y val="0.14403831101508208"/>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B-04FE-4643-ADF5-CDED1C045275}"/>
                </c:ext>
              </c:extLst>
            </c:dLbl>
            <c:dLbl>
              <c:idx val="6"/>
              <c:layout>
                <c:manualLayout>
                  <c:x val="6.6165413969078893E-2"/>
                  <c:y val="0.11138962718499677"/>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A-04FE-4643-ADF5-CDED1C045275}"/>
                </c:ext>
              </c:extLst>
            </c:dLbl>
            <c:dLbl>
              <c:idx val="7"/>
              <c:layout>
                <c:manualLayout>
                  <c:x val="-0.10843776178265717"/>
                  <c:y val="9.2184519049652608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04FE-4643-ADF5-CDED1C045275}"/>
                </c:ext>
              </c:extLst>
            </c:dLbl>
            <c:dLbl>
              <c:idx val="8"/>
              <c:layout>
                <c:manualLayout>
                  <c:x val="-5.6975773140040216E-2"/>
                  <c:y val="0.11523064881206577"/>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8-04FE-4643-ADF5-CDED1C045275}"/>
                </c:ext>
              </c:extLst>
            </c:dLbl>
            <c:dLbl>
              <c:idx val="9"/>
              <c:layout>
                <c:manualLayout>
                  <c:x val="-5.5137844974232471E-2"/>
                  <c:y val="-0.13251524613387564"/>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04FE-4643-ADF5-CDED1C045275}"/>
                </c:ext>
              </c:extLst>
            </c:dLbl>
            <c:dLbl>
              <c:idx val="10"/>
              <c:layout>
                <c:manualLayout>
                  <c:x val="-4.9624060476809236E-2"/>
                  <c:y val="-0.1440383110150822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6-04FE-4643-ADF5-CDED1C045275}"/>
                </c:ext>
              </c:extLst>
            </c:dLbl>
            <c:dLbl>
              <c:idx val="11"/>
              <c:layout>
                <c:manualLayout>
                  <c:x val="-6.6165413969078962E-2"/>
                  <c:y val="-0.11138962718499691"/>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FE-4643-ADF5-CDED1C045275}"/>
                </c:ext>
              </c:extLst>
            </c:dLbl>
            <c:dLbl>
              <c:idx val="12"/>
              <c:layout>
                <c:manualLayout>
                  <c:x val="-2.5495935742785334E-2"/>
                  <c:y val="-0.11478914477271544"/>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04FE-4643-ADF5-CDED1C045275}"/>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dk1">
                        <a:lumMod val="75000"/>
                        <a:lumOff val="25000"/>
                      </a:schemeClr>
                    </a:solidFill>
                    <a:latin typeface="GE Inspira Book" panose="020B0503030400020204" pitchFamily="34" charset="0"/>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'DFR Responsibilties '!$B$4:$B$16</c:f>
              <c:strCache>
                <c:ptCount val="13"/>
                <c:pt idx="0">
                  <c:v>Develop and deliver training on RAM tools</c:v>
                </c:pt>
                <c:pt idx="1">
                  <c:v>Develop reliability procedures</c:v>
                </c:pt>
                <c:pt idx="2">
                  <c:v>Write reliability reports </c:v>
                </c:pt>
                <c:pt idx="3">
                  <c:v>Setting RAM Requirements</c:v>
                </c:pt>
                <c:pt idx="4">
                  <c:v>Manage reliability program scorecard</c:v>
                </c:pt>
                <c:pt idx="5">
                  <c:v>Reliability program planning</c:v>
                </c:pt>
                <c:pt idx="6">
                  <c:v>Reliability predictions </c:v>
                </c:pt>
                <c:pt idx="7">
                  <c:v>System reliability analyses [RAM analysis; reliability allocation]</c:v>
                </c:pt>
                <c:pt idx="8">
                  <c:v>Analyze accelerated life test, reliability demsonstration test &amp; field data </c:v>
                </c:pt>
                <c:pt idx="9">
                  <c:v>Support design reviews and engineering team meetings</c:v>
                </c:pt>
                <c:pt idx="10">
                  <c:v>Facilitate and execute FMECAs</c:v>
                </c:pt>
                <c:pt idx="11">
                  <c:v>Create reliability demonstration, growth, HALT and accelerated life test plans </c:v>
                </c:pt>
                <c:pt idx="12">
                  <c:v>RCA of test &amp; field failures</c:v>
                </c:pt>
              </c:strCache>
            </c:strRef>
          </c:cat>
          <c:val>
            <c:numRef>
              <c:f>'DFR Responsibilties '!$J$4:$J$16</c:f>
              <c:numCache>
                <c:formatCode>0%</c:formatCode>
                <c:ptCount val="13"/>
                <c:pt idx="0">
                  <c:v>1.9607843137254902E-2</c:v>
                </c:pt>
                <c:pt idx="1">
                  <c:v>1.9607843137254902E-2</c:v>
                </c:pt>
                <c:pt idx="2">
                  <c:v>9.8039215686274508E-2</c:v>
                </c:pt>
                <c:pt idx="3">
                  <c:v>9.8039215686274508E-2</c:v>
                </c:pt>
                <c:pt idx="4">
                  <c:v>7.8431372549019607E-2</c:v>
                </c:pt>
                <c:pt idx="5">
                  <c:v>7.8431372549019607E-2</c:v>
                </c:pt>
                <c:pt idx="6">
                  <c:v>9.8039215686274508E-2</c:v>
                </c:pt>
                <c:pt idx="7">
                  <c:v>9.8039215686274508E-2</c:v>
                </c:pt>
                <c:pt idx="8">
                  <c:v>9.8039215686274508E-2</c:v>
                </c:pt>
                <c:pt idx="9">
                  <c:v>9.8039215686274508E-2</c:v>
                </c:pt>
                <c:pt idx="10">
                  <c:v>9.8039215686274508E-2</c:v>
                </c:pt>
                <c:pt idx="11">
                  <c:v>5.8823529411764705E-2</c:v>
                </c:pt>
                <c:pt idx="12">
                  <c:v>5.8823529411764705E-2</c:v>
                </c:pt>
              </c:numCache>
            </c:numRef>
          </c:val>
          <c:extLst>
            <c:ext xmlns:c16="http://schemas.microsoft.com/office/drawing/2014/chart" uri="{C3380CC4-5D6E-409C-BE32-E72D297353CC}">
              <c16:uniqueId val="{00000000-04FE-4643-ADF5-CDED1C045275}"/>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layout>
        <c:manualLayout>
          <c:xMode val="edge"/>
          <c:yMode val="edge"/>
          <c:x val="0.48090430360356617"/>
          <c:y val="9.7092173200351253E-2"/>
          <c:w val="0.5076072867699194"/>
          <c:h val="0.82650619463031227"/>
        </c:manualLayout>
      </c:layout>
      <c:overlay val="0"/>
      <c:spPr>
        <a:solidFill>
          <a:schemeClr val="lt1">
            <a:alpha val="50000"/>
          </a:schemeClr>
        </a:solidFill>
        <a:ln>
          <a:noFill/>
        </a:ln>
        <a:effectLst/>
      </c:spPr>
      <c:txPr>
        <a:bodyPr rot="0" spcFirstLastPara="1" vertOverflow="ellipsis" vert="horz" wrap="square" anchor="ctr" anchorCtr="1"/>
        <a:lstStyle/>
        <a:p>
          <a:pPr>
            <a:defRPr sz="2000" b="1" i="0" u="none" strike="noStrike" kern="1200" baseline="0">
              <a:solidFill>
                <a:schemeClr val="dk1">
                  <a:lumMod val="65000"/>
                  <a:lumOff val="35000"/>
                </a:schemeClr>
              </a:solidFill>
              <a:latin typeface="GE Inspira Book" panose="020B0503030400020204" pitchFamily="34" charset="0"/>
              <a:ea typeface="+mn-ea"/>
              <a:cs typeface="+mn-cs"/>
            </a:defRPr>
          </a:pPr>
          <a:endParaRPr lang="en-US"/>
        </a:p>
      </c:txPr>
    </c:legend>
    <c:plotVisOnly val="1"/>
    <c:dispBlanksAs val="gap"/>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Fixed and Variable Cost Tasks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spPr>
            <a:scene3d>
              <a:camera prst="orthographicFront"/>
              <a:lightRig rig="threePt" dir="t"/>
            </a:scene3d>
            <a:sp3d>
              <a:bevelT/>
            </a:sp3d>
          </c:spPr>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a:bevelT/>
              </a:sp3d>
            </c:spPr>
            <c:extLst>
              <c:ext xmlns:c16="http://schemas.microsoft.com/office/drawing/2014/chart" uri="{C3380CC4-5D6E-409C-BE32-E72D297353CC}">
                <c16:uniqueId val="{00000001-73F3-4B70-8890-D1C0A6A3261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a:bevelT/>
              </a:sp3d>
            </c:spPr>
            <c:extLst>
              <c:ext xmlns:c16="http://schemas.microsoft.com/office/drawing/2014/chart" uri="{C3380CC4-5D6E-409C-BE32-E72D297353CC}">
                <c16:uniqueId val="{00000003-73F3-4B70-8890-D1C0A6A32617}"/>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GE Inspira Book" panose="020B0503030400020204" pitchFamily="34" charset="0"/>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'DFR Responsibilties '!$B$24:$B$25</c:f>
              <c:strCache>
                <c:ptCount val="2"/>
                <c:pt idx="0">
                  <c:v>Fixed cost tasks %</c:v>
                </c:pt>
                <c:pt idx="1">
                  <c:v>Variable cost tasks %</c:v>
                </c:pt>
              </c:strCache>
            </c:strRef>
          </c:cat>
          <c:val>
            <c:numRef>
              <c:f>'DFR Responsibilties '!$C$24:$C$25</c:f>
              <c:numCache>
                <c:formatCode>0%</c:formatCode>
                <c:ptCount val="2"/>
                <c:pt idx="0">
                  <c:v>0.78431372549019607</c:v>
                </c:pt>
                <c:pt idx="1">
                  <c:v>0.21568627450980393</c:v>
                </c:pt>
              </c:numCache>
            </c:numRef>
          </c:val>
          <c:extLst>
            <c:ext xmlns:c16="http://schemas.microsoft.com/office/drawing/2014/chart" uri="{C3380CC4-5D6E-409C-BE32-E72D297353CC}">
              <c16:uniqueId val="{00000000-B0AF-41B8-BBA3-8848708EDD2C}"/>
            </c:ext>
          </c:extLst>
        </c:ser>
        <c:dLbls>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GE Inspira Book" panose="020B0503030400020204" pitchFamily="34" charset="0"/>
              <a:ea typeface="+mn-ea"/>
              <a:cs typeface="+mn-cs"/>
            </a:defRPr>
          </a:pPr>
          <a:endParaRPr lang="en-US"/>
        </a:p>
      </c:txPr>
    </c:legend>
    <c:plotVisOnly val="1"/>
    <c:dispBlanksAs val="gap"/>
    <c:showDLblsOverMax val="0"/>
  </c:chart>
  <c:spPr>
    <a:solidFill>
      <a:schemeClr val="bg1"/>
    </a:solidFill>
    <a:ln w="254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X Variable 1  Residual Plot</a:t>
            </a:r>
          </a:p>
        </c:rich>
      </c:tx>
      <c:overlay val="0"/>
    </c:title>
    <c:autoTitleDeleted val="0"/>
    <c:plotArea>
      <c:layout/>
      <c:scatterChart>
        <c:scatterStyle val="lineMarker"/>
        <c:varyColors val="0"/>
        <c:ser>
          <c:idx val="0"/>
          <c:order val="0"/>
          <c:spPr>
            <a:ln w="19050">
              <a:noFill/>
            </a:ln>
          </c:spPr>
          <c:xVal>
            <c:numRef>
              <c:f>'Straight line Fit'!$A$2:$A$6</c:f>
              <c:numCache>
                <c:formatCode>General</c:formatCode>
                <c:ptCount val="5"/>
                <c:pt idx="0">
                  <c:v>2</c:v>
                </c:pt>
                <c:pt idx="1">
                  <c:v>4</c:v>
                </c:pt>
                <c:pt idx="2">
                  <c:v>7</c:v>
                </c:pt>
                <c:pt idx="3">
                  <c:v>11</c:v>
                </c:pt>
                <c:pt idx="4">
                  <c:v>17</c:v>
                </c:pt>
              </c:numCache>
            </c:numRef>
          </c:xVal>
          <c:yVal>
            <c:numRef>
              <c:f>'Straight line statistics'!$C$25:$C$29</c:f>
              <c:numCache>
                <c:formatCode>General</c:formatCode>
                <c:ptCount val="5"/>
                <c:pt idx="0">
                  <c:v>-0.3088235294117645</c:v>
                </c:pt>
                <c:pt idx="1">
                  <c:v>0.16176470588235281</c:v>
                </c:pt>
                <c:pt idx="2">
                  <c:v>-0.38235294117647101</c:v>
                </c:pt>
                <c:pt idx="3">
                  <c:v>1.0588235294117645</c:v>
                </c:pt>
                <c:pt idx="4">
                  <c:v>-0.52941176470588402</c:v>
                </c:pt>
              </c:numCache>
            </c:numRef>
          </c:yVal>
          <c:smooth val="0"/>
          <c:extLst>
            <c:ext xmlns:c16="http://schemas.microsoft.com/office/drawing/2014/chart" uri="{C3380CC4-5D6E-409C-BE32-E72D297353CC}">
              <c16:uniqueId val="{00000004-7E45-4F40-BFCC-97BDB6D456BA}"/>
            </c:ext>
          </c:extLst>
        </c:ser>
        <c:dLbls>
          <c:showLegendKey val="0"/>
          <c:showVal val="0"/>
          <c:showCatName val="0"/>
          <c:showSerName val="0"/>
          <c:showPercent val="0"/>
          <c:showBubbleSize val="0"/>
        </c:dLbls>
        <c:axId val="888837280"/>
        <c:axId val="888837608"/>
      </c:scatterChart>
      <c:valAx>
        <c:axId val="888837280"/>
        <c:scaling>
          <c:orientation val="minMax"/>
        </c:scaling>
        <c:delete val="0"/>
        <c:axPos val="b"/>
        <c:title>
          <c:tx>
            <c:rich>
              <a:bodyPr/>
              <a:lstStyle/>
              <a:p>
                <a:pPr>
                  <a:defRPr/>
                </a:pPr>
                <a:r>
                  <a:rPr lang="en-US"/>
                  <a:t>X Variable 1</a:t>
                </a:r>
              </a:p>
            </c:rich>
          </c:tx>
          <c:overlay val="0"/>
        </c:title>
        <c:numFmt formatCode="General" sourceLinked="1"/>
        <c:majorTickMark val="out"/>
        <c:minorTickMark val="none"/>
        <c:tickLblPos val="nextTo"/>
        <c:crossAx val="888837608"/>
        <c:crosses val="autoZero"/>
        <c:crossBetween val="midCat"/>
      </c:valAx>
      <c:valAx>
        <c:axId val="888837608"/>
        <c:scaling>
          <c:orientation val="minMax"/>
        </c:scaling>
        <c:delete val="0"/>
        <c:axPos val="l"/>
        <c:title>
          <c:tx>
            <c:rich>
              <a:bodyPr/>
              <a:lstStyle/>
              <a:p>
                <a:pPr>
                  <a:defRPr/>
                </a:pPr>
                <a:r>
                  <a:rPr lang="en-US"/>
                  <a:t>Residuals</a:t>
                </a:r>
              </a:p>
            </c:rich>
          </c:tx>
          <c:overlay val="0"/>
        </c:title>
        <c:numFmt formatCode="General" sourceLinked="1"/>
        <c:majorTickMark val="out"/>
        <c:minorTickMark val="none"/>
        <c:tickLblPos val="nextTo"/>
        <c:crossAx val="888837280"/>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X Variable 1 Line Fit  Plot</a:t>
            </a:r>
          </a:p>
        </c:rich>
      </c:tx>
      <c:overlay val="0"/>
    </c:title>
    <c:autoTitleDeleted val="0"/>
    <c:plotArea>
      <c:layout/>
      <c:scatterChart>
        <c:scatterStyle val="lineMarker"/>
        <c:varyColors val="0"/>
        <c:ser>
          <c:idx val="0"/>
          <c:order val="0"/>
          <c:spPr>
            <a:ln w="19050">
              <a:noFill/>
            </a:ln>
          </c:spPr>
          <c:xVal>
            <c:numRef>
              <c:f>'Straight line Fit'!$A$2:$A$6</c:f>
              <c:numCache>
                <c:formatCode>General</c:formatCode>
                <c:ptCount val="5"/>
                <c:pt idx="0">
                  <c:v>2</c:v>
                </c:pt>
                <c:pt idx="1">
                  <c:v>4</c:v>
                </c:pt>
                <c:pt idx="2">
                  <c:v>7</c:v>
                </c:pt>
                <c:pt idx="3">
                  <c:v>11</c:v>
                </c:pt>
                <c:pt idx="4">
                  <c:v>17</c:v>
                </c:pt>
              </c:numCache>
            </c:numRef>
          </c:xVal>
          <c:yVal>
            <c:numRef>
              <c:f>'Straight line Fit'!$B$2:$B$6</c:f>
              <c:numCache>
                <c:formatCode>0.0</c:formatCode>
                <c:ptCount val="5"/>
                <c:pt idx="0">
                  <c:v>2</c:v>
                </c:pt>
                <c:pt idx="1">
                  <c:v>3.5</c:v>
                </c:pt>
                <c:pt idx="2">
                  <c:v>4.5</c:v>
                </c:pt>
                <c:pt idx="3">
                  <c:v>8</c:v>
                </c:pt>
                <c:pt idx="4">
                  <c:v>9.5</c:v>
                </c:pt>
              </c:numCache>
            </c:numRef>
          </c:yVal>
          <c:smooth val="0"/>
          <c:extLst>
            <c:ext xmlns:c16="http://schemas.microsoft.com/office/drawing/2014/chart" uri="{C3380CC4-5D6E-409C-BE32-E72D297353CC}">
              <c16:uniqueId val="{00000004-7E9E-4A62-AC7C-09C652D238CC}"/>
            </c:ext>
          </c:extLst>
        </c:ser>
        <c:ser>
          <c:idx val="1"/>
          <c:order val="1"/>
          <c:tx>
            <c:v>Predicted Y</c:v>
          </c:tx>
          <c:spPr>
            <a:ln w="19050">
              <a:noFill/>
            </a:ln>
          </c:spPr>
          <c:xVal>
            <c:numRef>
              <c:f>'Straight line Fit'!$A$2:$A$6</c:f>
              <c:numCache>
                <c:formatCode>General</c:formatCode>
                <c:ptCount val="5"/>
                <c:pt idx="0">
                  <c:v>2</c:v>
                </c:pt>
                <c:pt idx="1">
                  <c:v>4</c:v>
                </c:pt>
                <c:pt idx="2">
                  <c:v>7</c:v>
                </c:pt>
                <c:pt idx="3">
                  <c:v>11</c:v>
                </c:pt>
                <c:pt idx="4">
                  <c:v>17</c:v>
                </c:pt>
              </c:numCache>
            </c:numRef>
          </c:xVal>
          <c:yVal>
            <c:numRef>
              <c:f>'Straight line statistics'!$B$25:$B$29</c:f>
              <c:numCache>
                <c:formatCode>General</c:formatCode>
                <c:ptCount val="5"/>
                <c:pt idx="0">
                  <c:v>2.3088235294117645</c:v>
                </c:pt>
                <c:pt idx="1">
                  <c:v>3.3382352941176472</c:v>
                </c:pt>
                <c:pt idx="2">
                  <c:v>4.882352941176471</c:v>
                </c:pt>
                <c:pt idx="3">
                  <c:v>6.9411764705882355</c:v>
                </c:pt>
                <c:pt idx="4">
                  <c:v>10.029411764705884</c:v>
                </c:pt>
              </c:numCache>
            </c:numRef>
          </c:yVal>
          <c:smooth val="0"/>
          <c:extLst>
            <c:ext xmlns:c16="http://schemas.microsoft.com/office/drawing/2014/chart" uri="{C3380CC4-5D6E-409C-BE32-E72D297353CC}">
              <c16:uniqueId val="{00000005-7E9E-4A62-AC7C-09C652D238CC}"/>
            </c:ext>
          </c:extLst>
        </c:ser>
        <c:dLbls>
          <c:showLegendKey val="0"/>
          <c:showVal val="0"/>
          <c:showCatName val="0"/>
          <c:showSerName val="0"/>
          <c:showPercent val="0"/>
          <c:showBubbleSize val="0"/>
        </c:dLbls>
        <c:axId val="888838920"/>
        <c:axId val="888838592"/>
      </c:scatterChart>
      <c:valAx>
        <c:axId val="888838920"/>
        <c:scaling>
          <c:orientation val="minMax"/>
        </c:scaling>
        <c:delete val="0"/>
        <c:axPos val="b"/>
        <c:title>
          <c:tx>
            <c:rich>
              <a:bodyPr/>
              <a:lstStyle/>
              <a:p>
                <a:pPr>
                  <a:defRPr/>
                </a:pPr>
                <a:r>
                  <a:rPr lang="en-US"/>
                  <a:t>X Variable 1</a:t>
                </a:r>
              </a:p>
            </c:rich>
          </c:tx>
          <c:overlay val="0"/>
        </c:title>
        <c:numFmt formatCode="General" sourceLinked="1"/>
        <c:majorTickMark val="out"/>
        <c:minorTickMark val="none"/>
        <c:tickLblPos val="nextTo"/>
        <c:crossAx val="888838592"/>
        <c:crosses val="autoZero"/>
        <c:crossBetween val="midCat"/>
      </c:valAx>
      <c:valAx>
        <c:axId val="888838592"/>
        <c:scaling>
          <c:orientation val="minMax"/>
        </c:scaling>
        <c:delete val="0"/>
        <c:axPos val="l"/>
        <c:title>
          <c:tx>
            <c:rich>
              <a:bodyPr/>
              <a:lstStyle/>
              <a:p>
                <a:pPr>
                  <a:defRPr/>
                </a:pPr>
                <a:r>
                  <a:rPr lang="en-US"/>
                  <a:t>Y</a:t>
                </a:r>
              </a:p>
            </c:rich>
          </c:tx>
          <c:overlay val="0"/>
        </c:title>
        <c:numFmt formatCode="0.0" sourceLinked="1"/>
        <c:majorTickMark val="out"/>
        <c:minorTickMark val="none"/>
        <c:tickLblPos val="nextTo"/>
        <c:crossAx val="888838920"/>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Normal Probability Plot</a:t>
            </a:r>
          </a:p>
        </c:rich>
      </c:tx>
      <c:overlay val="0"/>
    </c:title>
    <c:autoTitleDeleted val="0"/>
    <c:plotArea>
      <c:layout/>
      <c:scatterChart>
        <c:scatterStyle val="lineMarker"/>
        <c:varyColors val="0"/>
        <c:ser>
          <c:idx val="0"/>
          <c:order val="0"/>
          <c:spPr>
            <a:ln w="19050">
              <a:noFill/>
            </a:ln>
          </c:spPr>
          <c:xVal>
            <c:numRef>
              <c:f>'Straight line statistics'!$F$25:$F$29</c:f>
              <c:numCache>
                <c:formatCode>General</c:formatCode>
                <c:ptCount val="5"/>
                <c:pt idx="0">
                  <c:v>10</c:v>
                </c:pt>
                <c:pt idx="1">
                  <c:v>30</c:v>
                </c:pt>
                <c:pt idx="2">
                  <c:v>50</c:v>
                </c:pt>
                <c:pt idx="3">
                  <c:v>70</c:v>
                </c:pt>
                <c:pt idx="4">
                  <c:v>90</c:v>
                </c:pt>
              </c:numCache>
            </c:numRef>
          </c:xVal>
          <c:yVal>
            <c:numRef>
              <c:f>'Straight line statistics'!$G$25:$G$29</c:f>
              <c:numCache>
                <c:formatCode>General</c:formatCode>
                <c:ptCount val="5"/>
                <c:pt idx="0">
                  <c:v>2</c:v>
                </c:pt>
                <c:pt idx="1">
                  <c:v>3.5</c:v>
                </c:pt>
                <c:pt idx="2">
                  <c:v>4.5</c:v>
                </c:pt>
                <c:pt idx="3">
                  <c:v>8</c:v>
                </c:pt>
                <c:pt idx="4">
                  <c:v>9.5</c:v>
                </c:pt>
              </c:numCache>
            </c:numRef>
          </c:yVal>
          <c:smooth val="0"/>
          <c:extLst>
            <c:ext xmlns:c16="http://schemas.microsoft.com/office/drawing/2014/chart" uri="{C3380CC4-5D6E-409C-BE32-E72D297353CC}">
              <c16:uniqueId val="{00000001-88E6-4048-B64C-06858A66F303}"/>
            </c:ext>
          </c:extLst>
        </c:ser>
        <c:dLbls>
          <c:showLegendKey val="0"/>
          <c:showVal val="0"/>
          <c:showCatName val="0"/>
          <c:showSerName val="0"/>
          <c:showPercent val="0"/>
          <c:showBubbleSize val="0"/>
        </c:dLbls>
        <c:axId val="847593800"/>
        <c:axId val="847594456"/>
      </c:scatterChart>
      <c:valAx>
        <c:axId val="847593800"/>
        <c:scaling>
          <c:orientation val="minMax"/>
        </c:scaling>
        <c:delete val="0"/>
        <c:axPos val="b"/>
        <c:title>
          <c:tx>
            <c:rich>
              <a:bodyPr/>
              <a:lstStyle/>
              <a:p>
                <a:pPr>
                  <a:defRPr/>
                </a:pPr>
                <a:r>
                  <a:rPr lang="en-US"/>
                  <a:t>Sample Percentile</a:t>
                </a:r>
              </a:p>
            </c:rich>
          </c:tx>
          <c:overlay val="0"/>
        </c:title>
        <c:numFmt formatCode="General" sourceLinked="1"/>
        <c:majorTickMark val="out"/>
        <c:minorTickMark val="none"/>
        <c:tickLblPos val="nextTo"/>
        <c:crossAx val="847594456"/>
        <c:crosses val="autoZero"/>
        <c:crossBetween val="midCat"/>
      </c:valAx>
      <c:valAx>
        <c:axId val="847594456"/>
        <c:scaling>
          <c:orientation val="minMax"/>
        </c:scaling>
        <c:delete val="0"/>
        <c:axPos val="l"/>
        <c:title>
          <c:tx>
            <c:rich>
              <a:bodyPr/>
              <a:lstStyle/>
              <a:p>
                <a:pPr>
                  <a:defRPr/>
                </a:pPr>
                <a:r>
                  <a:rPr lang="en-US"/>
                  <a:t>Y</a:t>
                </a:r>
              </a:p>
            </c:rich>
          </c:tx>
          <c:overlay val="0"/>
        </c:title>
        <c:numFmt formatCode="General" sourceLinked="1"/>
        <c:majorTickMark val="out"/>
        <c:minorTickMark val="none"/>
        <c:tickLblPos val="nextTo"/>
        <c:crossAx val="847593800"/>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GE Inspira Book" panose="020B0503030400020204" pitchFamily="34" charset="0"/>
              <a:ea typeface="+mn-ea"/>
              <a:cs typeface="+mn-cs"/>
            </a:defRPr>
          </a:pPr>
          <a:endParaRPr lang="en-US"/>
        </a:p>
      </c:txPr>
    </c:title>
    <c:autoTitleDeleted val="0"/>
    <c:plotArea>
      <c:layout/>
      <c:scatterChart>
        <c:scatterStyle val="lineMarker"/>
        <c:varyColors val="0"/>
        <c:ser>
          <c:idx val="0"/>
          <c:order val="0"/>
          <c:tx>
            <c:strRef>
              <c:f>'Straight line Fit'!$B$1</c:f>
              <c:strCache>
                <c:ptCount val="1"/>
                <c:pt idx="0">
                  <c:v>Force (N)</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2"/>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GE Inspira Book" panose="020B0503030400020204" pitchFamily="34" charset="0"/>
                      <a:ea typeface="+mn-ea"/>
                      <a:cs typeface="+mn-cs"/>
                    </a:defRPr>
                  </a:pPr>
                  <a:endParaRPr lang="en-US"/>
                </a:p>
              </c:txPr>
            </c:trendlineLbl>
          </c:trendline>
          <c:xVal>
            <c:numRef>
              <c:f>'Straight line Fit'!$A$2:$A$6</c:f>
              <c:numCache>
                <c:formatCode>General</c:formatCode>
                <c:ptCount val="5"/>
                <c:pt idx="0">
                  <c:v>2</c:v>
                </c:pt>
                <c:pt idx="1">
                  <c:v>4</c:v>
                </c:pt>
                <c:pt idx="2">
                  <c:v>7</c:v>
                </c:pt>
                <c:pt idx="3">
                  <c:v>11</c:v>
                </c:pt>
                <c:pt idx="4">
                  <c:v>17</c:v>
                </c:pt>
              </c:numCache>
            </c:numRef>
          </c:xVal>
          <c:yVal>
            <c:numRef>
              <c:f>'Straight line Fit'!$B$2:$B$6</c:f>
              <c:numCache>
                <c:formatCode>0.0</c:formatCode>
                <c:ptCount val="5"/>
                <c:pt idx="0">
                  <c:v>2</c:v>
                </c:pt>
                <c:pt idx="1">
                  <c:v>3.5</c:v>
                </c:pt>
                <c:pt idx="2">
                  <c:v>4.5</c:v>
                </c:pt>
                <c:pt idx="3">
                  <c:v>8</c:v>
                </c:pt>
                <c:pt idx="4">
                  <c:v>9.5</c:v>
                </c:pt>
              </c:numCache>
            </c:numRef>
          </c:yVal>
          <c:smooth val="0"/>
          <c:extLst>
            <c:ext xmlns:c16="http://schemas.microsoft.com/office/drawing/2014/chart" uri="{C3380CC4-5D6E-409C-BE32-E72D297353CC}">
              <c16:uniqueId val="{00000000-5C1E-4572-90AE-528DAE310DF8}"/>
            </c:ext>
          </c:extLst>
        </c:ser>
        <c:dLbls>
          <c:showLegendKey val="0"/>
          <c:showVal val="0"/>
          <c:showCatName val="0"/>
          <c:showSerName val="0"/>
          <c:showPercent val="0"/>
          <c:showBubbleSize val="0"/>
        </c:dLbls>
        <c:axId val="876829384"/>
        <c:axId val="876829712"/>
      </c:scatterChart>
      <c:valAx>
        <c:axId val="8768293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GE Inspira Book" panose="020B0503030400020204" pitchFamily="34" charset="0"/>
                    <a:ea typeface="+mn-ea"/>
                    <a:cs typeface="+mn-cs"/>
                  </a:defRPr>
                </a:pPr>
                <a:r>
                  <a:rPr lang="en-US"/>
                  <a:t>Distance</a:t>
                </a:r>
                <a:r>
                  <a:rPr lang="en-US" baseline="0"/>
                  <a:t> from Equilibrium Position, cm</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GE Inspira Book" panose="020B0503030400020204" pitchFamily="34" charset="0"/>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GE Inspira Book" panose="020B0503030400020204" pitchFamily="34" charset="0"/>
                <a:ea typeface="+mn-ea"/>
                <a:cs typeface="+mn-cs"/>
              </a:defRPr>
            </a:pPr>
            <a:endParaRPr lang="en-US"/>
          </a:p>
        </c:txPr>
        <c:crossAx val="876829712"/>
        <c:crosses val="autoZero"/>
        <c:crossBetween val="midCat"/>
      </c:valAx>
      <c:valAx>
        <c:axId val="876829712"/>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GE Inspira Book" panose="020B0503030400020204" pitchFamily="34" charset="0"/>
                    <a:ea typeface="+mn-ea"/>
                    <a:cs typeface="+mn-cs"/>
                  </a:defRPr>
                </a:pPr>
                <a:r>
                  <a:rPr lang="en-US" sz="1000" b="0" i="0" u="none" strike="noStrike" kern="1200" baseline="0">
                    <a:solidFill>
                      <a:sysClr val="windowText" lastClr="000000">
                        <a:lumMod val="65000"/>
                        <a:lumOff val="35000"/>
                      </a:sysClr>
                    </a:solidFill>
                    <a:latin typeface="GE Inspira Book" panose="020B0503030400020204" pitchFamily="34" charset="0"/>
                    <a:ea typeface="+mn-ea"/>
                    <a:cs typeface="+mn-cs"/>
                  </a:rPr>
                  <a:t>Force, N</a:t>
                </a:r>
              </a:p>
            </c:rich>
          </c:tx>
          <c:overlay val="0"/>
          <c:spPr>
            <a:noFill/>
            <a:ln>
              <a:noFill/>
            </a:ln>
            <a:effectLst/>
          </c:spPr>
          <c:txPr>
            <a:bodyPr rot="-540000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GE Inspira Book" panose="020B0503030400020204" pitchFamily="34" charset="0"/>
                  <a:ea typeface="+mn-ea"/>
                  <a:cs typeface="+mn-cs"/>
                </a:defRPr>
              </a:pPr>
              <a:endParaRPr lang="en-US"/>
            </a:p>
          </c:txPr>
        </c:title>
        <c:numFmt formatCode="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GE Inspira Book" panose="020B0503030400020204" pitchFamily="34" charset="0"/>
                <a:ea typeface="+mn-ea"/>
                <a:cs typeface="+mn-cs"/>
              </a:defRPr>
            </a:pPr>
            <a:endParaRPr lang="en-US"/>
          </a:p>
        </c:txPr>
        <c:crossAx val="87682938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GE Inspira Book" panose="020B0503030400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GE Inspira Book" panose="020B0503030400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PSRT!$B$8:$B$14</c:f>
              <c:numCache>
                <c:formatCode>General</c:formatCode>
                <c:ptCount val="7"/>
                <c:pt idx="0">
                  <c:v>1</c:v>
                </c:pt>
                <c:pt idx="1">
                  <c:v>2</c:v>
                </c:pt>
                <c:pt idx="2">
                  <c:v>3</c:v>
                </c:pt>
                <c:pt idx="3">
                  <c:v>4</c:v>
                </c:pt>
                <c:pt idx="4">
                  <c:v>5</c:v>
                </c:pt>
                <c:pt idx="5">
                  <c:v>6</c:v>
                </c:pt>
                <c:pt idx="6">
                  <c:v>7</c:v>
                </c:pt>
              </c:numCache>
            </c:numRef>
          </c:val>
          <c:smooth val="0"/>
          <c:extLst>
            <c:ext xmlns:c16="http://schemas.microsoft.com/office/drawing/2014/chart" uri="{C3380CC4-5D6E-409C-BE32-E72D297353CC}">
              <c16:uniqueId val="{00000000-2FB6-41EE-A8CD-A11B5BC8A9DB}"/>
            </c:ext>
          </c:extLst>
        </c:ser>
        <c:ser>
          <c:idx val="1"/>
          <c:order val="1"/>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PSRT!$E$8:$E$14</c:f>
              <c:numCache>
                <c:formatCode>#,##0</c:formatCode>
                <c:ptCount val="7"/>
                <c:pt idx="0">
                  <c:v>76650.320000000007</c:v>
                </c:pt>
                <c:pt idx="1">
                  <c:v>97964.02</c:v>
                </c:pt>
                <c:pt idx="2">
                  <c:v>119277.72</c:v>
                </c:pt>
                <c:pt idx="3">
                  <c:v>140591.42000000001</c:v>
                </c:pt>
                <c:pt idx="4">
                  <c:v>161905.12</c:v>
                </c:pt>
                <c:pt idx="5">
                  <c:v>183218.82</c:v>
                </c:pt>
                <c:pt idx="6">
                  <c:v>204532.52</c:v>
                </c:pt>
              </c:numCache>
            </c:numRef>
          </c:val>
          <c:smooth val="0"/>
          <c:extLst>
            <c:ext xmlns:c16="http://schemas.microsoft.com/office/drawing/2014/chart" uri="{C3380CC4-5D6E-409C-BE32-E72D297353CC}">
              <c16:uniqueId val="{00000001-2FB6-41EE-A8CD-A11B5BC8A9DB}"/>
            </c:ext>
          </c:extLst>
        </c:ser>
        <c:ser>
          <c:idx val="2"/>
          <c:order val="2"/>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PSRT!$G$8:$G$14</c:f>
              <c:numCache>
                <c:formatCode>#,##0</c:formatCode>
                <c:ptCount val="7"/>
                <c:pt idx="0">
                  <c:v>0</c:v>
                </c:pt>
                <c:pt idx="1">
                  <c:v>0</c:v>
                </c:pt>
                <c:pt idx="2">
                  <c:v>0</c:v>
                </c:pt>
                <c:pt idx="3">
                  <c:v>14209.600000000006</c:v>
                </c:pt>
                <c:pt idx="4">
                  <c:v>35523.300000000003</c:v>
                </c:pt>
                <c:pt idx="5">
                  <c:v>56837.000000000015</c:v>
                </c:pt>
                <c:pt idx="6">
                  <c:v>78150.7</c:v>
                </c:pt>
              </c:numCache>
            </c:numRef>
          </c:val>
          <c:smooth val="0"/>
          <c:extLst>
            <c:ext xmlns:c16="http://schemas.microsoft.com/office/drawing/2014/chart" uri="{C3380CC4-5D6E-409C-BE32-E72D297353CC}">
              <c16:uniqueId val="{00000002-2FB6-41EE-A8CD-A11B5BC8A9DB}"/>
            </c:ext>
          </c:extLst>
        </c:ser>
        <c:dLbls>
          <c:showLegendKey val="0"/>
          <c:showVal val="0"/>
          <c:showCatName val="0"/>
          <c:showSerName val="0"/>
          <c:showPercent val="0"/>
          <c:showBubbleSize val="0"/>
        </c:dLbls>
        <c:smooth val="0"/>
        <c:axId val="691802208"/>
        <c:axId val="691802536"/>
      </c:lineChart>
      <c:catAx>
        <c:axId val="69180220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91802536"/>
        <c:crosses val="autoZero"/>
        <c:auto val="1"/>
        <c:lblAlgn val="ctr"/>
        <c:lblOffset val="100"/>
        <c:noMultiLvlLbl val="0"/>
      </c:catAx>
      <c:valAx>
        <c:axId val="69180253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918022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PSRT!$E$8:$E$14</c:f>
              <c:numCache>
                <c:formatCode>#,##0</c:formatCode>
                <c:ptCount val="7"/>
                <c:pt idx="0">
                  <c:v>76650.320000000007</c:v>
                </c:pt>
                <c:pt idx="1">
                  <c:v>97964.02</c:v>
                </c:pt>
                <c:pt idx="2">
                  <c:v>119277.72</c:v>
                </c:pt>
                <c:pt idx="3">
                  <c:v>140591.42000000001</c:v>
                </c:pt>
                <c:pt idx="4">
                  <c:v>161905.12</c:v>
                </c:pt>
                <c:pt idx="5">
                  <c:v>183218.82</c:v>
                </c:pt>
                <c:pt idx="6">
                  <c:v>204532.52</c:v>
                </c:pt>
              </c:numCache>
            </c:numRef>
          </c:val>
          <c:smooth val="0"/>
          <c:extLst>
            <c:ext xmlns:c16="http://schemas.microsoft.com/office/drawing/2014/chart" uri="{C3380CC4-5D6E-409C-BE32-E72D297353CC}">
              <c16:uniqueId val="{00000000-EA8C-41D6-AB47-D80AAFD4F9F8}"/>
            </c:ext>
          </c:extLst>
        </c:ser>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PSRT!$G$8:$G$14</c:f>
              <c:numCache>
                <c:formatCode>#,##0</c:formatCode>
                <c:ptCount val="7"/>
                <c:pt idx="0">
                  <c:v>0</c:v>
                </c:pt>
                <c:pt idx="1">
                  <c:v>0</c:v>
                </c:pt>
                <c:pt idx="2">
                  <c:v>0</c:v>
                </c:pt>
                <c:pt idx="3">
                  <c:v>14209.600000000006</c:v>
                </c:pt>
                <c:pt idx="4">
                  <c:v>35523.300000000003</c:v>
                </c:pt>
                <c:pt idx="5">
                  <c:v>56837.000000000015</c:v>
                </c:pt>
                <c:pt idx="6">
                  <c:v>78150.7</c:v>
                </c:pt>
              </c:numCache>
            </c:numRef>
          </c:val>
          <c:smooth val="0"/>
          <c:extLst>
            <c:ext xmlns:c16="http://schemas.microsoft.com/office/drawing/2014/chart" uri="{C3380CC4-5D6E-409C-BE32-E72D297353CC}">
              <c16:uniqueId val="{00000001-EA8C-41D6-AB47-D80AAFD4F9F8}"/>
            </c:ext>
          </c:extLst>
        </c:ser>
        <c:dLbls>
          <c:showLegendKey val="0"/>
          <c:showVal val="0"/>
          <c:showCatName val="0"/>
          <c:showSerName val="0"/>
          <c:showPercent val="0"/>
          <c:showBubbleSize val="0"/>
        </c:dLbls>
        <c:smooth val="0"/>
        <c:axId val="153531024"/>
        <c:axId val="153531680"/>
      </c:lineChart>
      <c:catAx>
        <c:axId val="15353102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1680"/>
        <c:crosses val="autoZero"/>
        <c:auto val="1"/>
        <c:lblAlgn val="ctr"/>
        <c:lblOffset val="100"/>
        <c:noMultiLvlLbl val="0"/>
      </c:catAx>
      <c:valAx>
        <c:axId val="15353168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1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Life Cycle Cost</a:t>
            </a:r>
          </a:p>
        </c:rich>
      </c:tx>
      <c:layout>
        <c:manualLayout>
          <c:xMode val="edge"/>
          <c:yMode val="edge"/>
          <c:x val="0.41549773520891187"/>
          <c:y val="2.7748636680451508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barChart>
        <c:barDir val="col"/>
        <c:grouping val="clustered"/>
        <c:varyColors val="0"/>
        <c:ser>
          <c:idx val="0"/>
          <c:order val="0"/>
          <c:spPr>
            <a:pattFill prst="ltUpDiag">
              <a:fgClr>
                <a:schemeClr val="accent1"/>
              </a:fgClr>
              <a:bgClr>
                <a:schemeClr val="lt1"/>
              </a:bgClr>
            </a:pattFill>
            <a:ln>
              <a:noFill/>
            </a:ln>
            <a:effectLst/>
            <a:scene3d>
              <a:camera prst="orthographicFront"/>
              <a:lightRig rig="threePt" dir="t"/>
            </a:scene3d>
            <a:sp3d>
              <a:bevelT/>
            </a:sp3d>
          </c:spPr>
          <c:invertIfNegative val="0"/>
          <c:dLbls>
            <c:spPr>
              <a:solidFill>
                <a:srgbClr val="5B9BD5">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('Medical Device LCC'!$A$26,'Medical Device LCC'!$A$36,'Medical Device LCC'!$A$47)</c:f>
              <c:strCache>
                <c:ptCount val="3"/>
                <c:pt idx="0">
                  <c:v>LCCA</c:v>
                </c:pt>
                <c:pt idx="1">
                  <c:v>LCCB</c:v>
                </c:pt>
                <c:pt idx="2">
                  <c:v>LCCC</c:v>
                </c:pt>
              </c:strCache>
            </c:strRef>
          </c:cat>
          <c:val>
            <c:numRef>
              <c:f>('Medical Device LCC'!$B$26,'Medical Device LCC'!$B$36,'Medical Device LCC'!$B$47)</c:f>
              <c:numCache>
                <c:formatCode>"$"#,##0.00</c:formatCode>
                <c:ptCount val="3"/>
                <c:pt idx="0">
                  <c:v>242843.84739968888</c:v>
                </c:pt>
                <c:pt idx="1">
                  <c:v>252870.36161156459</c:v>
                </c:pt>
                <c:pt idx="2">
                  <c:v>192870.36161156459</c:v>
                </c:pt>
              </c:numCache>
            </c:numRef>
          </c:val>
          <c:extLst>
            <c:ext xmlns:c16="http://schemas.microsoft.com/office/drawing/2014/chart" uri="{C3380CC4-5D6E-409C-BE32-E72D297353CC}">
              <c16:uniqueId val="{00000000-49A9-48E0-AADB-41BC95795334}"/>
            </c:ext>
          </c:extLst>
        </c:ser>
        <c:dLbls>
          <c:showLegendKey val="0"/>
          <c:showVal val="0"/>
          <c:showCatName val="0"/>
          <c:showSerName val="0"/>
          <c:showPercent val="0"/>
          <c:showBubbleSize val="0"/>
        </c:dLbls>
        <c:gapWidth val="269"/>
        <c:overlap val="-20"/>
        <c:axId val="1284364168"/>
        <c:axId val="947475744"/>
      </c:barChart>
      <c:catAx>
        <c:axId val="1284364168"/>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947475744"/>
        <c:crosses val="autoZero"/>
        <c:auto val="1"/>
        <c:lblAlgn val="ctr"/>
        <c:lblOffset val="100"/>
        <c:noMultiLvlLbl val="0"/>
      </c:catAx>
      <c:valAx>
        <c:axId val="947475744"/>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lt1"/>
                    </a:solidFill>
                    <a:latin typeface="+mn-lt"/>
                    <a:ea typeface="+mn-ea"/>
                    <a:cs typeface="+mn-cs"/>
                  </a:defRPr>
                </a:pPr>
                <a:r>
                  <a:rPr lang="en-US"/>
                  <a:t>cOST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84364168"/>
        <c:crosses val="autoZero"/>
        <c:crossBetween val="between"/>
      </c:valAx>
      <c:dTable>
        <c:showHorzBorder val="1"/>
        <c:showVertBorder val="1"/>
        <c:showOutline val="1"/>
        <c:showKeys val="1"/>
        <c:spPr>
          <a:noFill/>
          <a:ln w="9525">
            <a:solidFill>
              <a:schemeClr val="accent1">
                <a:lumMod val="60000"/>
                <a:lumOff val="40000"/>
              </a:schemeClr>
            </a:solid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'Medical Device LCC (2)'!$B$34:$Q$34</c:f>
              <c:numCache>
                <c:formatCode>"$"#,##0.00_);[Red]\("$"#,##0.00\)</c:formatCode>
                <c:ptCount val="16"/>
                <c:pt idx="0" formatCode="&quot;$&quot;#,##0">
                  <c:v>0</c:v>
                </c:pt>
                <c:pt idx="1">
                  <c:v>139.40786062024455</c:v>
                </c:pt>
                <c:pt idx="2">
                  <c:v>259.14678896293731</c:v>
                </c:pt>
                <c:pt idx="3">
                  <c:v>361.32518257005694</c:v>
                </c:pt>
                <c:pt idx="4">
                  <c:v>447.8480275903114</c:v>
                </c:pt>
                <c:pt idx="5">
                  <c:v>520.43551515713511</c:v>
                </c:pt>
                <c:pt idx="6">
                  <c:v>580.64000395011658</c:v>
                </c:pt>
                <c:pt idx="7">
                  <c:v>629.86147324832837</c:v>
                </c:pt>
                <c:pt idx="8">
                  <c:v>669.36159833255715</c:v>
                </c:pt>
                <c:pt idx="9">
                  <c:v>700.27656870857061</c:v>
                </c:pt>
                <c:pt idx="10">
                  <c:v>723.62875921447733</c:v>
                </c:pt>
                <c:pt idx="11">
                  <c:v>740.33735455855549</c:v>
                </c:pt>
                <c:pt idx="12">
                  <c:v>751.22801913370131</c:v>
                </c:pt>
                <c:pt idx="13">
                  <c:v>757.04169600101147</c:v>
                </c:pt>
                <c:pt idx="14">
                  <c:v>758.44261166438037</c:v>
                </c:pt>
                <c:pt idx="15">
                  <c:v>756.0255566119539</c:v>
                </c:pt>
              </c:numCache>
            </c:numRef>
          </c:val>
          <c:smooth val="0"/>
          <c:extLst>
            <c:ext xmlns:c16="http://schemas.microsoft.com/office/drawing/2014/chart" uri="{C3380CC4-5D6E-409C-BE32-E72D297353CC}">
              <c16:uniqueId val="{00000000-5988-4479-BB76-32BDA124F0A4}"/>
            </c:ext>
          </c:extLst>
        </c:ser>
        <c:ser>
          <c:idx val="1"/>
          <c:order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'Medical Device LCC (2)'!$B$35:$Q$35</c:f>
              <c:numCache>
                <c:formatCode>"$"#,##0.00_);[Red]\("$"#,##0.00\)</c:formatCode>
                <c:ptCount val="16"/>
                <c:pt idx="0" formatCode="&quot;$&quot;#,##0">
                  <c:v>0</c:v>
                </c:pt>
                <c:pt idx="1">
                  <c:v>4716.9811320754716</c:v>
                </c:pt>
                <c:pt idx="2">
                  <c:v>4449.9822000711993</c:v>
                </c:pt>
                <c:pt idx="3">
                  <c:v>4198.096415161508</c:v>
                </c:pt>
                <c:pt idx="4">
                  <c:v>3960.4683161901021</c:v>
                </c:pt>
                <c:pt idx="5">
                  <c:v>3736.2908643302844</c:v>
                </c:pt>
                <c:pt idx="6">
                  <c:v>3524.8027021983812</c:v>
                </c:pt>
                <c:pt idx="7">
                  <c:v>3325.2855681116798</c:v>
                </c:pt>
                <c:pt idx="8">
                  <c:v>3137.0618567091324</c:v>
                </c:pt>
                <c:pt idx="9">
                  <c:v>2959.4923176501247</c:v>
                </c:pt>
                <c:pt idx="10">
                  <c:v>2791.9738845755892</c:v>
                </c:pt>
                <c:pt idx="11">
                  <c:v>2633.9376269581026</c:v>
                </c:pt>
                <c:pt idx="12">
                  <c:v>2484.8468178850026</c:v>
                </c:pt>
                <c:pt idx="13">
                  <c:v>2344.1951112122665</c:v>
                </c:pt>
                <c:pt idx="14">
                  <c:v>2211.5048218983648</c:v>
                </c:pt>
                <c:pt idx="15">
                  <c:v>2086.3253036777019</c:v>
                </c:pt>
              </c:numCache>
            </c:numRef>
          </c:val>
          <c:smooth val="0"/>
          <c:extLst>
            <c:ext xmlns:c16="http://schemas.microsoft.com/office/drawing/2014/chart" uri="{C3380CC4-5D6E-409C-BE32-E72D297353CC}">
              <c16:uniqueId val="{00000001-5988-4479-BB76-32BDA124F0A4}"/>
            </c:ext>
          </c:extLst>
        </c:ser>
        <c:dLbls>
          <c:showLegendKey val="0"/>
          <c:showVal val="0"/>
          <c:showCatName val="0"/>
          <c:showSerName val="0"/>
          <c:showPercent val="0"/>
          <c:showBubbleSize val="0"/>
        </c:dLbls>
        <c:axId val="1036428816"/>
        <c:axId val="1036428488"/>
        <c:axId val="613273336"/>
      </c:line3DChart>
      <c:catAx>
        <c:axId val="1036428816"/>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36428488"/>
        <c:crosses val="autoZero"/>
        <c:auto val="1"/>
        <c:lblAlgn val="ctr"/>
        <c:lblOffset val="100"/>
        <c:noMultiLvlLbl val="0"/>
      </c:catAx>
      <c:valAx>
        <c:axId val="1036428488"/>
        <c:scaling>
          <c:orientation val="minMax"/>
        </c:scaling>
        <c:delete val="0"/>
        <c:axPos val="l"/>
        <c:majorGridlines>
          <c:spPr>
            <a:ln w="9525" cap="flat" cmpd="sng" algn="ctr">
              <a:solidFill>
                <a:schemeClr val="dk1">
                  <a:lumMod val="50000"/>
                  <a:lumOff val="5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36428816"/>
        <c:crosses val="autoZero"/>
        <c:crossBetween val="between"/>
      </c:valAx>
      <c:serAx>
        <c:axId val="613273336"/>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36428488"/>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tx>
            <c:strRef>
              <c:f>IRR!$C$11</c:f>
              <c:strCache>
                <c:ptCount val="1"/>
                <c:pt idx="0">
                  <c:v>NPV</c:v>
                </c:pt>
              </c:strCache>
            </c:strRef>
          </c:tx>
          <c:spPr>
            <a:ln w="25400" cap="rnd">
              <a:no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trendline>
            <c:spPr>
              <a:ln w="25400" cap="rnd">
                <a:solidFill>
                  <a:schemeClr val="accent1">
                    <a:alpha val="50000"/>
                  </a:schemeClr>
                </a:solidFill>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trendlineLbl>
          </c:trendline>
          <c:xVal>
            <c:numRef>
              <c:f>IRR!$B$12:$B$20</c:f>
              <c:numCache>
                <c:formatCode>General</c:formatCode>
                <c:ptCount val="9"/>
                <c:pt idx="0">
                  <c:v>0</c:v>
                </c:pt>
                <c:pt idx="1">
                  <c:v>0.03</c:v>
                </c:pt>
                <c:pt idx="2">
                  <c:v>0.05</c:v>
                </c:pt>
                <c:pt idx="3">
                  <c:v>0.09</c:v>
                </c:pt>
                <c:pt idx="4">
                  <c:v>0.12</c:v>
                </c:pt>
                <c:pt idx="5">
                  <c:v>0.15</c:v>
                </c:pt>
                <c:pt idx="6">
                  <c:v>0.18</c:v>
                </c:pt>
                <c:pt idx="7">
                  <c:v>0.21</c:v>
                </c:pt>
              </c:numCache>
            </c:numRef>
          </c:xVal>
          <c:yVal>
            <c:numRef>
              <c:f>IRR!$C$12:$C$20</c:f>
              <c:numCache>
                <c:formatCode>#,##0</c:formatCode>
                <c:ptCount val="9"/>
                <c:pt idx="0">
                  <c:v>65000</c:v>
                </c:pt>
                <c:pt idx="1">
                  <c:v>46638.855620883172</c:v>
                </c:pt>
                <c:pt idx="2">
                  <c:v>35975.349753779767</c:v>
                </c:pt>
                <c:pt idx="3">
                  <c:v>17750.702684332675</c:v>
                </c:pt>
                <c:pt idx="4">
                  <c:v>6321.9680386015389</c:v>
                </c:pt>
                <c:pt idx="5">
                  <c:v>-3548.855642701601</c:v>
                </c:pt>
                <c:pt idx="6">
                  <c:v>-12118.924791248326</c:v>
                </c:pt>
                <c:pt idx="7">
                  <c:v>-19596.719181738226</c:v>
                </c:pt>
              </c:numCache>
            </c:numRef>
          </c:yVal>
          <c:smooth val="0"/>
          <c:extLst>
            <c:ext xmlns:c16="http://schemas.microsoft.com/office/drawing/2014/chart" uri="{C3380CC4-5D6E-409C-BE32-E72D297353CC}">
              <c16:uniqueId val="{00000000-664F-4897-90E4-A5135138BB88}"/>
            </c:ext>
          </c:extLst>
        </c:ser>
        <c:dLbls>
          <c:showLegendKey val="0"/>
          <c:showVal val="0"/>
          <c:showCatName val="0"/>
          <c:showSerName val="0"/>
          <c:showPercent val="0"/>
          <c:showBubbleSize val="0"/>
        </c:dLbls>
        <c:axId val="1138701880"/>
        <c:axId val="1138702208"/>
      </c:scatterChart>
      <c:valAx>
        <c:axId val="1138701880"/>
        <c:scaling>
          <c:orientation val="minMax"/>
        </c:scaling>
        <c:delete val="0"/>
        <c:axPos val="b"/>
        <c:majorGridlines>
          <c:spPr>
            <a:ln w="9525" cap="flat" cmpd="sng" algn="ctr">
              <a:solidFill>
                <a:schemeClr val="dk1">
                  <a:lumMod val="65000"/>
                  <a:lumOff val="35000"/>
                  <a:alpha val="75000"/>
                </a:schemeClr>
              </a:solidFill>
              <a:round/>
            </a:ln>
            <a:effectLst/>
          </c:spPr>
        </c:majorGridlines>
        <c:title>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38702208"/>
        <c:crosses val="autoZero"/>
        <c:crossBetween val="midCat"/>
      </c:valAx>
      <c:valAx>
        <c:axId val="1138702208"/>
        <c:scaling>
          <c:orientation val="minMax"/>
        </c:scaling>
        <c:delete val="0"/>
        <c:axPos val="l"/>
        <c:majorGridlines>
          <c:spPr>
            <a:ln w="9525" cap="flat" cmpd="sng" algn="ctr">
              <a:solidFill>
                <a:schemeClr val="dk1">
                  <a:lumMod val="65000"/>
                  <a:lumOff val="35000"/>
                  <a:alpha val="75000"/>
                </a:schemeClr>
              </a:soli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38701880"/>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Present value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IRR!$B$2</c:f>
              <c:strCache>
                <c:ptCount val="1"/>
                <c:pt idx="0">
                  <c:v>End of Year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IRR!$B$3:$B$9</c:f>
              <c:numCache>
                <c:formatCode>General</c:formatCode>
                <c:ptCount val="7"/>
                <c:pt idx="0">
                  <c:v>0</c:v>
                </c:pt>
                <c:pt idx="1">
                  <c:v>1</c:v>
                </c:pt>
                <c:pt idx="2">
                  <c:v>2</c:v>
                </c:pt>
                <c:pt idx="3">
                  <c:v>3</c:v>
                </c:pt>
                <c:pt idx="4">
                  <c:v>4</c:v>
                </c:pt>
                <c:pt idx="5">
                  <c:v>5</c:v>
                </c:pt>
                <c:pt idx="6">
                  <c:v>6</c:v>
                </c:pt>
              </c:numCache>
            </c:numRef>
          </c:val>
          <c:extLst>
            <c:ext xmlns:c16="http://schemas.microsoft.com/office/drawing/2014/chart" uri="{C3380CC4-5D6E-409C-BE32-E72D297353CC}">
              <c16:uniqueId val="{00000000-66EB-422D-AE96-D5EEADB6F7EB}"/>
            </c:ext>
          </c:extLst>
        </c:ser>
        <c:ser>
          <c:idx val="1"/>
          <c:order val="1"/>
          <c:tx>
            <c:strRef>
              <c:f>IRR!$C$2</c:f>
              <c:strCache>
                <c:ptCount val="1"/>
                <c:pt idx="0">
                  <c:v>Cash Flow</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IRR!$C$3:$C$9</c:f>
              <c:numCache>
                <c:formatCode>#,##0</c:formatCode>
                <c:ptCount val="7"/>
                <c:pt idx="0">
                  <c:v>-100000</c:v>
                </c:pt>
                <c:pt idx="1">
                  <c:v>15000</c:v>
                </c:pt>
                <c:pt idx="2">
                  <c:v>20000</c:v>
                </c:pt>
                <c:pt idx="3">
                  <c:v>25000</c:v>
                </c:pt>
                <c:pt idx="4">
                  <c:v>30000</c:v>
                </c:pt>
                <c:pt idx="5">
                  <c:v>35000</c:v>
                </c:pt>
                <c:pt idx="6">
                  <c:v>40000</c:v>
                </c:pt>
              </c:numCache>
            </c:numRef>
          </c:val>
          <c:extLst>
            <c:ext xmlns:c16="http://schemas.microsoft.com/office/drawing/2014/chart" uri="{C3380CC4-5D6E-409C-BE32-E72D297353CC}">
              <c16:uniqueId val="{00000001-66EB-422D-AE96-D5EEADB6F7EB}"/>
            </c:ext>
          </c:extLst>
        </c:ser>
        <c:dLbls>
          <c:showLegendKey val="0"/>
          <c:showVal val="0"/>
          <c:showCatName val="0"/>
          <c:showSerName val="0"/>
          <c:showPercent val="0"/>
          <c:showBubbleSize val="0"/>
        </c:dLbls>
        <c:gapWidth val="100"/>
        <c:overlap val="-24"/>
        <c:axId val="590453848"/>
        <c:axId val="825536432"/>
      </c:barChart>
      <c:catAx>
        <c:axId val="590453848"/>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25536432"/>
        <c:crosses val="autoZero"/>
        <c:auto val="1"/>
        <c:lblAlgn val="ctr"/>
        <c:lblOffset val="100"/>
        <c:noMultiLvlLbl val="0"/>
      </c:catAx>
      <c:valAx>
        <c:axId val="825536432"/>
        <c:scaling>
          <c:orientation val="minMax"/>
          <c:max val="40000"/>
        </c:scaling>
        <c:delete val="0"/>
        <c:axPos val="l"/>
        <c:majorGridlines>
          <c:spPr>
            <a:ln w="9525" cap="flat" cmpd="sng" algn="ctr">
              <a:solidFill>
                <a:schemeClr val="lt1">
                  <a:lumMod val="95000"/>
                  <a:alpha val="10000"/>
                </a:schemeClr>
              </a:soli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0453848"/>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Long</a:t>
            </a:r>
            <a:r>
              <a:rPr lang="en-US" baseline="0"/>
              <a:t> Term Cost of Ownership</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'Reliability Model &amp; Costs (2)'!$D$28:$I$28</c:f>
              <c:numCache>
                <c:formatCode>General</c:formatCode>
                <c:ptCount val="6"/>
                <c:pt idx="0" formatCode="&quot;$&quot;#,##0">
                  <c:v>785800</c:v>
                </c:pt>
                <c:pt idx="2" formatCode="&quot;$&quot;#,##0">
                  <c:v>362800</c:v>
                </c:pt>
                <c:pt idx="4" formatCode="&quot;$&quot;#,##0">
                  <c:v>368192</c:v>
                </c:pt>
              </c:numCache>
            </c:numRef>
          </c:val>
          <c:extLst>
            <c:ext xmlns:c16="http://schemas.microsoft.com/office/drawing/2014/chart" uri="{C3380CC4-5D6E-409C-BE32-E72D297353CC}">
              <c16:uniqueId val="{00000000-E7B6-4FEF-BEDC-F60A6E5DD2E3}"/>
            </c:ext>
          </c:extLst>
        </c:ser>
        <c:dLbls>
          <c:showLegendKey val="0"/>
          <c:showVal val="0"/>
          <c:showCatName val="0"/>
          <c:showSerName val="0"/>
          <c:showPercent val="0"/>
          <c:showBubbleSize val="0"/>
        </c:dLbls>
        <c:gapWidth val="100"/>
        <c:overlap val="-24"/>
        <c:axId val="723735664"/>
        <c:axId val="723735992"/>
      </c:barChart>
      <c:catAx>
        <c:axId val="723735664"/>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3735992"/>
        <c:crosses val="autoZero"/>
        <c:auto val="1"/>
        <c:lblAlgn val="ctr"/>
        <c:lblOffset val="100"/>
        <c:noMultiLvlLbl val="0"/>
      </c:catAx>
      <c:valAx>
        <c:axId val="723735992"/>
        <c:scaling>
          <c:orientation val="minMax"/>
        </c:scaling>
        <c:delete val="0"/>
        <c:axPos val="l"/>
        <c:majorGridlines>
          <c:spPr>
            <a:ln w="9525" cap="flat" cmpd="sng" algn="ctr">
              <a:solidFill>
                <a:schemeClr val="lt1">
                  <a:lumMod val="95000"/>
                  <a:alpha val="1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3735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'Reliability Model &amp; Costs'!$D$25:$I$25</c:f>
              <c:numCache>
                <c:formatCode>General</c:formatCode>
                <c:ptCount val="6"/>
                <c:pt idx="0" formatCode="&quot;$&quot;#,##0">
                  <c:v>698200</c:v>
                </c:pt>
                <c:pt idx="2" formatCode="&quot;$&quot;#,##0">
                  <c:v>345280</c:v>
                </c:pt>
                <c:pt idx="4" formatCode="&quot;$&quot;#,##0">
                  <c:v>366440</c:v>
                </c:pt>
              </c:numCache>
            </c:numRef>
          </c:val>
          <c:extLst>
            <c:ext xmlns:c16="http://schemas.microsoft.com/office/drawing/2014/chart" uri="{C3380CC4-5D6E-409C-BE32-E72D297353CC}">
              <c16:uniqueId val="{00000000-8E53-47A3-8517-DE1284280C8F}"/>
            </c:ext>
          </c:extLst>
        </c:ser>
        <c:dLbls>
          <c:showLegendKey val="0"/>
          <c:showVal val="0"/>
          <c:showCatName val="0"/>
          <c:showSerName val="0"/>
          <c:showPercent val="0"/>
          <c:showBubbleSize val="0"/>
        </c:dLbls>
        <c:gapWidth val="100"/>
        <c:overlap val="-24"/>
        <c:axId val="723735664"/>
        <c:axId val="723735992"/>
      </c:barChart>
      <c:catAx>
        <c:axId val="723735664"/>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3735992"/>
        <c:crosses val="autoZero"/>
        <c:auto val="1"/>
        <c:lblAlgn val="ctr"/>
        <c:lblOffset val="100"/>
        <c:noMultiLvlLbl val="0"/>
      </c:catAx>
      <c:valAx>
        <c:axId val="723735992"/>
        <c:scaling>
          <c:orientation val="minMax"/>
        </c:scaling>
        <c:delete val="0"/>
        <c:axPos val="l"/>
        <c:majorGridlines>
          <c:spPr>
            <a:ln w="9525" cap="flat" cmpd="sng" algn="ctr">
              <a:solidFill>
                <a:schemeClr val="lt1">
                  <a:lumMod val="95000"/>
                  <a:alpha val="1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3735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rgbClr val="00FF00"/>
                </a:solidFill>
                <a:effectLst>
                  <a:outerShdw blurRad="50800" dist="38100" dir="5400000" algn="t" rotWithShape="0">
                    <a:prstClr val="black">
                      <a:alpha val="40000"/>
                    </a:prstClr>
                  </a:outerShdw>
                </a:effectLst>
                <a:latin typeface="+mn-lt"/>
                <a:ea typeface="+mn-ea"/>
                <a:cs typeface="+mn-cs"/>
              </a:defRPr>
            </a:pPr>
            <a:r>
              <a:rPr lang="en-US">
                <a:solidFill>
                  <a:srgbClr val="00FF00"/>
                </a:solidFill>
              </a:rPr>
              <a:t>Supplier Cost</a:t>
            </a:r>
          </a:p>
        </c:rich>
      </c:tx>
      <c:overlay val="0"/>
      <c:spPr>
        <a:noFill/>
        <a:ln>
          <a:noFill/>
        </a:ln>
        <a:effectLst/>
      </c:spPr>
      <c:txPr>
        <a:bodyPr rot="0" spcFirstLastPara="1" vertOverflow="ellipsis" vert="horz" wrap="square" anchor="ctr" anchorCtr="1"/>
        <a:lstStyle/>
        <a:p>
          <a:pPr>
            <a:defRPr sz="1600" b="1" i="0" u="none" strike="noStrike" kern="1200" spc="100" baseline="0">
              <a:solidFill>
                <a:srgbClr val="00FF0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FF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'Financial Impact of Supplier'!$I$13:$I$14</c:f>
              <c:strCache>
                <c:ptCount val="2"/>
                <c:pt idx="0">
                  <c:v>A</c:v>
                </c:pt>
                <c:pt idx="1">
                  <c:v>B</c:v>
                </c:pt>
              </c:strCache>
            </c:strRef>
          </c:cat>
          <c:val>
            <c:numRef>
              <c:f>'Financial Impact of Supplier'!$J$13:$J$14</c:f>
              <c:numCache>
                <c:formatCode>"$"#,##0</c:formatCode>
                <c:ptCount val="2"/>
                <c:pt idx="0">
                  <c:v>612163.12339002418</c:v>
                </c:pt>
                <c:pt idx="1">
                  <c:v>1545108.7065583016</c:v>
                </c:pt>
              </c:numCache>
            </c:numRef>
          </c:val>
          <c:extLst>
            <c:ext xmlns:c16="http://schemas.microsoft.com/office/drawing/2014/chart" uri="{C3380CC4-5D6E-409C-BE32-E72D297353CC}">
              <c16:uniqueId val="{00000000-153F-4E1C-838F-3DE84C0CE14A}"/>
            </c:ext>
          </c:extLst>
        </c:ser>
        <c:dLbls>
          <c:showLegendKey val="0"/>
          <c:showVal val="0"/>
          <c:showCatName val="0"/>
          <c:showSerName val="0"/>
          <c:showPercent val="0"/>
          <c:showBubbleSize val="0"/>
        </c:dLbls>
        <c:gapWidth val="100"/>
        <c:overlap val="-24"/>
        <c:axId val="805255152"/>
        <c:axId val="805256792"/>
      </c:barChart>
      <c:catAx>
        <c:axId val="80525515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rgbClr val="00FF00"/>
                </a:solidFill>
                <a:latin typeface="+mn-lt"/>
                <a:ea typeface="+mn-ea"/>
                <a:cs typeface="+mn-cs"/>
              </a:defRPr>
            </a:pPr>
            <a:endParaRPr lang="en-US"/>
          </a:p>
        </c:txPr>
        <c:crossAx val="805256792"/>
        <c:crosses val="autoZero"/>
        <c:auto val="1"/>
        <c:lblAlgn val="ctr"/>
        <c:lblOffset val="100"/>
        <c:noMultiLvlLbl val="0"/>
      </c:catAx>
      <c:valAx>
        <c:axId val="805256792"/>
        <c:scaling>
          <c:orientation val="minMax"/>
        </c:scaling>
        <c:delete val="0"/>
        <c:axPos val="l"/>
        <c:majorGridlines>
          <c:spPr>
            <a:ln w="9525" cap="flat" cmpd="sng" algn="ctr">
              <a:solidFill>
                <a:schemeClr val="lt1">
                  <a:lumMod val="95000"/>
                  <a:alpha val="1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FF00"/>
                </a:solidFill>
                <a:latin typeface="+mn-lt"/>
                <a:ea typeface="+mn-ea"/>
                <a:cs typeface="+mn-cs"/>
              </a:defRPr>
            </a:pPr>
            <a:endParaRPr lang="en-US"/>
          </a:p>
        </c:txPr>
        <c:crossAx val="805255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tx>
            <c:strRef>
              <c:f>'DFR Survey Score'!$C$2</c:f>
              <c:strCache>
                <c:ptCount val="1"/>
                <c:pt idx="0">
                  <c:v>DFR Survey Score (%)</c:v>
                </c:pt>
              </c:strCache>
            </c:strRef>
          </c:tx>
          <c:spPr>
            <a:ln w="25400" cap="rnd">
              <a:no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trendline>
            <c:spPr>
              <a:ln w="25400" cap="rnd">
                <a:solidFill>
                  <a:schemeClr val="accent1">
                    <a:alpha val="50000"/>
                  </a:schemeClr>
                </a:solidFill>
              </a:ln>
              <a:effectLst/>
            </c:spPr>
            <c:trendlineType val="movingAvg"/>
            <c:period val="2"/>
            <c:dispRSqr val="0"/>
            <c:dispEq val="0"/>
          </c:trendline>
          <c:xVal>
            <c:numRef>
              <c:f>'DFR Survey Score'!$B$3:$B$10</c:f>
              <c:numCache>
                <c:formatCode>0.0%</c:formatCode>
                <c:ptCount val="8"/>
                <c:pt idx="0" formatCode="0%">
                  <c:v>0</c:v>
                </c:pt>
                <c:pt idx="1">
                  <c:v>1.7999999999999999E-2</c:v>
                </c:pt>
                <c:pt idx="2" formatCode="0%">
                  <c:v>0.02</c:v>
                </c:pt>
                <c:pt idx="3">
                  <c:v>2.1999999999999999E-2</c:v>
                </c:pt>
                <c:pt idx="4" formatCode="0%">
                  <c:v>0.03</c:v>
                </c:pt>
                <c:pt idx="5" formatCode="0%">
                  <c:v>0.04</c:v>
                </c:pt>
                <c:pt idx="6">
                  <c:v>4.8000000000000001E-2</c:v>
                </c:pt>
                <c:pt idx="7" formatCode="0%">
                  <c:v>0.06</c:v>
                </c:pt>
              </c:numCache>
            </c:numRef>
          </c:xVal>
          <c:yVal>
            <c:numRef>
              <c:f>'DFR Survey Score'!$C$3:$C$10</c:f>
              <c:numCache>
                <c:formatCode>0%</c:formatCode>
                <c:ptCount val="8"/>
                <c:pt idx="1">
                  <c:v>0.9</c:v>
                </c:pt>
                <c:pt idx="2">
                  <c:v>0.8</c:v>
                </c:pt>
                <c:pt idx="3">
                  <c:v>0.7</c:v>
                </c:pt>
                <c:pt idx="4">
                  <c:v>0.5</c:v>
                </c:pt>
                <c:pt idx="5">
                  <c:v>0.4</c:v>
                </c:pt>
                <c:pt idx="6">
                  <c:v>0.3</c:v>
                </c:pt>
                <c:pt idx="7">
                  <c:v>0.1</c:v>
                </c:pt>
              </c:numCache>
            </c:numRef>
          </c:yVal>
          <c:smooth val="0"/>
          <c:extLst>
            <c:ext xmlns:c16="http://schemas.microsoft.com/office/drawing/2014/chart" uri="{C3380CC4-5D6E-409C-BE32-E72D297353CC}">
              <c16:uniqueId val="{00000000-112D-435E-B10D-56FBC04CDD6C}"/>
            </c:ext>
          </c:extLst>
        </c:ser>
        <c:dLbls>
          <c:showLegendKey val="0"/>
          <c:showVal val="0"/>
          <c:showCatName val="0"/>
          <c:showSerName val="0"/>
          <c:showPercent val="0"/>
          <c:showBubbleSize val="0"/>
        </c:dLbls>
        <c:axId val="939263320"/>
        <c:axId val="939263648"/>
      </c:scatterChart>
      <c:valAx>
        <c:axId val="9392633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39263648"/>
        <c:crosses val="autoZero"/>
        <c:crossBetween val="midCat"/>
      </c:valAx>
      <c:valAx>
        <c:axId val="9392636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392633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tx>
            <c:strRef>
              <c:f>'Logarithmic Plot'!$C$5</c:f>
              <c:strCache>
                <c:ptCount val="1"/>
                <c:pt idx="0">
                  <c:v>Voltage</c:v>
                </c:pt>
              </c:strCache>
            </c:strRef>
          </c:tx>
          <c:spPr>
            <a:ln w="25400" cap="rnd">
              <a:no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trendline>
            <c:spPr>
              <a:ln w="25400" cap="rnd">
                <a:solidFill>
                  <a:schemeClr val="accent1">
                    <a:alpha val="50000"/>
                  </a:schemeClr>
                </a:solidFill>
              </a:ln>
              <a:effectLst/>
            </c:spPr>
            <c:trendlineType val="exp"/>
            <c:dispRSqr val="0"/>
            <c:dispEq val="0"/>
          </c:trendline>
          <c:xVal>
            <c:numRef>
              <c:f>'Logarithmic Plot'!$B$6:$B$16</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xVal>
          <c:yVal>
            <c:numRef>
              <c:f>'Logarithmic Plot'!$C$6:$C$16</c:f>
              <c:numCache>
                <c:formatCode>General</c:formatCode>
                <c:ptCount val="11"/>
                <c:pt idx="0">
                  <c:v>10</c:v>
                </c:pt>
                <c:pt idx="1">
                  <c:v>6.0650000000000004</c:v>
                </c:pt>
                <c:pt idx="2">
                  <c:v>3.6789999999999998</c:v>
                </c:pt>
                <c:pt idx="3">
                  <c:v>2.2309999999999999</c:v>
                </c:pt>
                <c:pt idx="4">
                  <c:v>1.353</c:v>
                </c:pt>
                <c:pt idx="5">
                  <c:v>0.82099999999999995</c:v>
                </c:pt>
                <c:pt idx="6">
                  <c:v>0.498</c:v>
                </c:pt>
                <c:pt idx="7">
                  <c:v>0.30199999999999999</c:v>
                </c:pt>
                <c:pt idx="8">
                  <c:v>0.183</c:v>
                </c:pt>
                <c:pt idx="9">
                  <c:v>0.111</c:v>
                </c:pt>
                <c:pt idx="10">
                  <c:v>6.7000000000000004E-2</c:v>
                </c:pt>
              </c:numCache>
            </c:numRef>
          </c:yVal>
          <c:smooth val="0"/>
          <c:extLst>
            <c:ext xmlns:c16="http://schemas.microsoft.com/office/drawing/2014/chart" uri="{C3380CC4-5D6E-409C-BE32-E72D297353CC}">
              <c16:uniqueId val="{00000000-7847-45BF-A4DA-B3DA5B06DCEC}"/>
            </c:ext>
          </c:extLst>
        </c:ser>
        <c:dLbls>
          <c:showLegendKey val="0"/>
          <c:showVal val="0"/>
          <c:showCatName val="0"/>
          <c:showSerName val="0"/>
          <c:showPercent val="0"/>
          <c:showBubbleSize val="0"/>
        </c:dLbls>
        <c:axId val="714812472"/>
        <c:axId val="714813128"/>
      </c:scatterChart>
      <c:valAx>
        <c:axId val="7148124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14813128"/>
        <c:crossesAt val="1.0000000000000002E-2"/>
        <c:crossBetween val="midCat"/>
      </c:valAx>
      <c:valAx>
        <c:axId val="714813128"/>
        <c:scaling>
          <c:orientation val="minMax"/>
          <c:max val="10"/>
        </c:scaling>
        <c:delete val="0"/>
        <c:axPos val="l"/>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14812472"/>
        <c:crosses val="autoZero"/>
        <c:crossBetween val="midCat"/>
        <c:majorUnit val="10"/>
        <c:minorUnit val="1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trendline>
            <c:spPr>
              <a:ln w="19050" cap="rnd">
                <a:solidFill>
                  <a:schemeClr val="accent1"/>
                </a:solidFill>
                <a:prstDash val="sysDash"/>
              </a:ln>
              <a:effectLst/>
            </c:spPr>
            <c:trendlineType val="poly"/>
            <c:order val="2"/>
            <c:dispRSqr val="0"/>
            <c:dispEq val="0"/>
          </c:trendline>
          <c:xVal>
            <c:numRef>
              <c:f>'Logarithmic Plot'!$B$20:$B$30</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xVal>
          <c:yVal>
            <c:numRef>
              <c:f>'Logarithmic Plot'!$C$20:$C$30</c:f>
              <c:numCache>
                <c:formatCode>General</c:formatCode>
                <c:ptCount val="11"/>
                <c:pt idx="0">
                  <c:v>0</c:v>
                </c:pt>
                <c:pt idx="1">
                  <c:v>12.56</c:v>
                </c:pt>
                <c:pt idx="2">
                  <c:v>50.24</c:v>
                </c:pt>
                <c:pt idx="3">
                  <c:v>113.04</c:v>
                </c:pt>
                <c:pt idx="4">
                  <c:v>200.96</c:v>
                </c:pt>
                <c:pt idx="5">
                  <c:v>314</c:v>
                </c:pt>
                <c:pt idx="6">
                  <c:v>452.16</c:v>
                </c:pt>
                <c:pt idx="7">
                  <c:v>615.44000000000005</c:v>
                </c:pt>
                <c:pt idx="8">
                  <c:v>803.84</c:v>
                </c:pt>
                <c:pt idx="9">
                  <c:v>1017.36</c:v>
                </c:pt>
                <c:pt idx="10">
                  <c:v>1256</c:v>
                </c:pt>
              </c:numCache>
            </c:numRef>
          </c:yVal>
          <c:smooth val="0"/>
          <c:extLst>
            <c:ext xmlns:c16="http://schemas.microsoft.com/office/drawing/2014/chart" uri="{C3380CC4-5D6E-409C-BE32-E72D297353CC}">
              <c16:uniqueId val="{00000000-21C7-4EC2-B5B1-9398018027B5}"/>
            </c:ext>
          </c:extLst>
        </c:ser>
        <c:ser>
          <c:idx val="1"/>
          <c:order val="1"/>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cap="rnd">
                <a:solidFill>
                  <a:schemeClr val="accent2"/>
                </a:solidFill>
                <a:round/>
              </a:ln>
              <a:effectLst>
                <a:outerShdw blurRad="57150" dist="19050" dir="5400000" algn="ctr" rotWithShape="0">
                  <a:srgbClr val="000000">
                    <a:alpha val="63000"/>
                  </a:srgbClr>
                </a:outerShdw>
              </a:effectLst>
            </c:spPr>
          </c:marker>
          <c:trendline>
            <c:spPr>
              <a:ln w="19050" cap="rnd">
                <a:solidFill>
                  <a:schemeClr val="accent2"/>
                </a:solidFill>
                <a:prstDash val="sysDash"/>
              </a:ln>
              <a:effectLst/>
            </c:spPr>
            <c:trendlineType val="log"/>
            <c:dispRSqr val="0"/>
            <c:dispEq val="0"/>
          </c:trendline>
          <c:trendline>
            <c:spPr>
              <a:ln w="19050" cap="rnd">
                <a:solidFill>
                  <a:schemeClr val="accent2"/>
                </a:solidFill>
                <a:prstDash val="sysDash"/>
              </a:ln>
              <a:effectLst/>
            </c:spPr>
            <c:trendlineType val="poly"/>
            <c:order val="2"/>
            <c:dispRSqr val="0"/>
            <c:dispEq val="0"/>
          </c:trendline>
          <c:xVal>
            <c:numRef>
              <c:f>'Logarithmic Plot'!$B$20:$B$30</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xVal>
          <c:yVal>
            <c:numRef>
              <c:f>'Logarithmic Plot'!$D$20:$D$30</c:f>
              <c:numCache>
                <c:formatCode>General</c:formatCode>
                <c:ptCount val="11"/>
                <c:pt idx="0">
                  <c:v>0</c:v>
                </c:pt>
                <c:pt idx="1">
                  <c:v>4.1866666666666665</c:v>
                </c:pt>
                <c:pt idx="2">
                  <c:v>33.493333333333332</c:v>
                </c:pt>
                <c:pt idx="3">
                  <c:v>113.03999999999999</c:v>
                </c:pt>
                <c:pt idx="4">
                  <c:v>267.94666666666666</c:v>
                </c:pt>
                <c:pt idx="5">
                  <c:v>523.33333333333337</c:v>
                </c:pt>
                <c:pt idx="6">
                  <c:v>904.31999999999994</c:v>
                </c:pt>
                <c:pt idx="7">
                  <c:v>1436.0266666666666</c:v>
                </c:pt>
                <c:pt idx="8">
                  <c:v>2143.5733333333333</c:v>
                </c:pt>
                <c:pt idx="9">
                  <c:v>3052.08</c:v>
                </c:pt>
                <c:pt idx="10">
                  <c:v>4186.666666666667</c:v>
                </c:pt>
              </c:numCache>
            </c:numRef>
          </c:yVal>
          <c:smooth val="0"/>
          <c:extLst>
            <c:ext xmlns:c16="http://schemas.microsoft.com/office/drawing/2014/chart" uri="{C3380CC4-5D6E-409C-BE32-E72D297353CC}">
              <c16:uniqueId val="{00000001-21C7-4EC2-B5B1-9398018027B5}"/>
            </c:ext>
          </c:extLst>
        </c:ser>
        <c:dLbls>
          <c:showLegendKey val="0"/>
          <c:showVal val="0"/>
          <c:showCatName val="0"/>
          <c:showSerName val="0"/>
          <c:showPercent val="0"/>
          <c:showBubbleSize val="0"/>
        </c:dLbls>
        <c:axId val="1023243384"/>
        <c:axId val="1023245024"/>
      </c:scatterChart>
      <c:valAx>
        <c:axId val="102324338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23245024"/>
        <c:crosses val="autoZero"/>
        <c:crossBetween val="midCat"/>
      </c:valAx>
      <c:valAx>
        <c:axId val="102324502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232433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'Bacteria concentration'!$G$2</c:f>
              <c:strCache>
                <c:ptCount val="1"/>
                <c:pt idx="0">
                  <c:v>ln CA</c:v>
                </c:pt>
              </c:strCache>
            </c:strRef>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trendline>
            <c:spPr>
              <a:ln w="25400" cap="rnd">
                <a:solidFill>
                  <a:schemeClr val="accent1">
                    <a:alpha val="50000"/>
                  </a:schemeClr>
                </a:solidFill>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trendlineLbl>
          </c:trendline>
          <c:xVal>
            <c:numRef>
              <c:f>'Bacteria concentration'!$F$3:$F$13</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xVal>
          <c:yVal>
            <c:numRef>
              <c:f>'Bacteria concentration'!$G$3:$G$13</c:f>
              <c:numCache>
                <c:formatCode>0.00</c:formatCode>
                <c:ptCount val="11"/>
                <c:pt idx="0">
                  <c:v>1.791759469228055</c:v>
                </c:pt>
                <c:pt idx="1">
                  <c:v>2.1972245773362196</c:v>
                </c:pt>
                <c:pt idx="2">
                  <c:v>2.7080502011022101</c:v>
                </c:pt>
                <c:pt idx="3">
                  <c:v>2.9444389791664403</c:v>
                </c:pt>
                <c:pt idx="4">
                  <c:v>3.4657359027997265</c:v>
                </c:pt>
                <c:pt idx="5">
                  <c:v>3.7376696182833684</c:v>
                </c:pt>
                <c:pt idx="6">
                  <c:v>4.1431347263915326</c:v>
                </c:pt>
                <c:pt idx="7">
                  <c:v>4.6249728132842707</c:v>
                </c:pt>
                <c:pt idx="8">
                  <c:v>5.0304379213924353</c:v>
                </c:pt>
                <c:pt idx="9">
                  <c:v>5.393627546352362</c:v>
                </c:pt>
                <c:pt idx="10">
                  <c:v>5.7930136083841441</c:v>
                </c:pt>
              </c:numCache>
            </c:numRef>
          </c:yVal>
          <c:smooth val="0"/>
          <c:extLst>
            <c:ext xmlns:c16="http://schemas.microsoft.com/office/drawing/2014/chart" uri="{C3380CC4-5D6E-409C-BE32-E72D297353CC}">
              <c16:uniqueId val="{00000000-58A4-4336-A109-679A2B38A716}"/>
            </c:ext>
          </c:extLst>
        </c:ser>
        <c:dLbls>
          <c:showLegendKey val="0"/>
          <c:showVal val="0"/>
          <c:showCatName val="0"/>
          <c:showSerName val="0"/>
          <c:showPercent val="0"/>
          <c:showBubbleSize val="0"/>
        </c:dLbls>
        <c:axId val="945377784"/>
        <c:axId val="945378112"/>
      </c:scatterChart>
      <c:valAx>
        <c:axId val="9453777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45378112"/>
        <c:crosses val="autoZero"/>
        <c:crossBetween val="midCat"/>
      </c:valAx>
      <c:valAx>
        <c:axId val="9453781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453777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'Bacteria concentration'!$G$18</c:f>
              <c:strCache>
                <c:ptCount val="1"/>
                <c:pt idx="0">
                  <c:v>ln CB</c:v>
                </c:pt>
              </c:strCache>
            </c:strRef>
          </c:tx>
          <c:spPr>
            <a:ln w="25400" cap="rnd">
              <a:no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trendline>
            <c:spPr>
              <a:ln w="25400" cap="rnd">
                <a:solidFill>
                  <a:schemeClr val="accent1">
                    <a:alpha val="50000"/>
                  </a:schemeClr>
                </a:solidFill>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trendlineLbl>
          </c:trendline>
          <c:xVal>
            <c:numRef>
              <c:f>'Bacteria concentration'!$F$19:$F$29</c:f>
              <c:numCache>
                <c:formatCode>0.000</c:formatCode>
                <c:ptCount val="11"/>
                <c:pt idx="0">
                  <c:v>0</c:v>
                </c:pt>
                <c:pt idx="1">
                  <c:v>0</c:v>
                </c:pt>
                <c:pt idx="2">
                  <c:v>0.69314718055994529</c:v>
                </c:pt>
                <c:pt idx="3">
                  <c:v>1.0986122886681098</c:v>
                </c:pt>
                <c:pt idx="4">
                  <c:v>1.3862943611198906</c:v>
                </c:pt>
                <c:pt idx="5">
                  <c:v>1.6094379124341003</c:v>
                </c:pt>
                <c:pt idx="6">
                  <c:v>1.791759469228055</c:v>
                </c:pt>
                <c:pt idx="7">
                  <c:v>1.9459101490553132</c:v>
                </c:pt>
                <c:pt idx="8">
                  <c:v>2.0794415416798357</c:v>
                </c:pt>
                <c:pt idx="9">
                  <c:v>2.1972245773362196</c:v>
                </c:pt>
                <c:pt idx="10">
                  <c:v>2.3025850929940459</c:v>
                </c:pt>
              </c:numCache>
            </c:numRef>
          </c:xVal>
          <c:yVal>
            <c:numRef>
              <c:f>'Bacteria concentration'!$G$19:$G$29</c:f>
              <c:numCache>
                <c:formatCode>0.00</c:formatCode>
                <c:ptCount val="11"/>
                <c:pt idx="0">
                  <c:v>1.791759469228055</c:v>
                </c:pt>
                <c:pt idx="1">
                  <c:v>2.1972245773362196</c:v>
                </c:pt>
                <c:pt idx="2">
                  <c:v>2.7080502011022101</c:v>
                </c:pt>
                <c:pt idx="3">
                  <c:v>2.9444389791664403</c:v>
                </c:pt>
                <c:pt idx="4">
                  <c:v>3.4657359027997265</c:v>
                </c:pt>
                <c:pt idx="5">
                  <c:v>3.7376696182833684</c:v>
                </c:pt>
                <c:pt idx="6">
                  <c:v>4.1431347263915326</c:v>
                </c:pt>
                <c:pt idx="7">
                  <c:v>4.6249728132842707</c:v>
                </c:pt>
                <c:pt idx="8">
                  <c:v>5.0304379213924353</c:v>
                </c:pt>
                <c:pt idx="9">
                  <c:v>5.393627546352362</c:v>
                </c:pt>
                <c:pt idx="10">
                  <c:v>5.7930136083841441</c:v>
                </c:pt>
              </c:numCache>
            </c:numRef>
          </c:yVal>
          <c:smooth val="0"/>
          <c:extLst>
            <c:ext xmlns:c16="http://schemas.microsoft.com/office/drawing/2014/chart" uri="{C3380CC4-5D6E-409C-BE32-E72D297353CC}">
              <c16:uniqueId val="{00000000-1195-4846-BA39-BDD61FC0CAC3}"/>
            </c:ext>
          </c:extLst>
        </c:ser>
        <c:dLbls>
          <c:showLegendKey val="0"/>
          <c:showVal val="0"/>
          <c:showCatName val="0"/>
          <c:showSerName val="0"/>
          <c:showPercent val="0"/>
          <c:showBubbleSize val="0"/>
        </c:dLbls>
        <c:axId val="804243680"/>
        <c:axId val="804244008"/>
      </c:scatterChart>
      <c:valAx>
        <c:axId val="8042436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0.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04244008"/>
        <c:crosses val="autoZero"/>
        <c:crossBetween val="midCat"/>
      </c:valAx>
      <c:valAx>
        <c:axId val="8042440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0424368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Growth rate, CB</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tx>
            <c:strRef>
              <c:f>'Bacteria concentration'!$J$2</c:f>
              <c:strCache>
                <c:ptCount val="1"/>
                <c:pt idx="0">
                  <c:v>Growth rate, CB</c:v>
                </c:pt>
              </c:strCache>
            </c:strRef>
          </c:tx>
          <c:spPr>
            <a:ln w="25400" cap="rnd">
              <a:no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trendline>
            <c:spPr>
              <a:ln w="25400" cap="rnd">
                <a:solidFill>
                  <a:schemeClr val="accent1">
                    <a:alpha val="50000"/>
                  </a:schemeClr>
                </a:solidFill>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trendlineLbl>
          </c:trendline>
          <c:yVal>
            <c:numRef>
              <c:f>'Bacteria concentration'!$J$3:$J$13</c:f>
              <c:numCache>
                <c:formatCode>0.00E+00</c:formatCode>
                <c:ptCount val="11"/>
                <c:pt idx="0">
                  <c:v>0</c:v>
                </c:pt>
                <c:pt idx="1">
                  <c:v>5.4889999999999999</c:v>
                </c:pt>
                <c:pt idx="2">
                  <c:v>15.84376540023737</c:v>
                </c:pt>
                <c:pt idx="3">
                  <c:v>29.454710978773686</c:v>
                </c:pt>
                <c:pt idx="4">
                  <c:v>45.732355995219315</c:v>
                </c:pt>
                <c:pt idx="5">
                  <c:v>64.332148891428204</c:v>
                </c:pt>
                <c:pt idx="6">
                  <c:v>85.019772395606893</c:v>
                </c:pt>
                <c:pt idx="7">
                  <c:v>107.62214988775104</c:v>
                </c:pt>
                <c:pt idx="8">
                  <c:v>132.00450347757217</c:v>
                </c:pt>
                <c:pt idx="9">
                  <c:v>158.0579338391494</c:v>
                </c:pt>
                <c:pt idx="10">
                  <c:v>185.69201580049727</c:v>
                </c:pt>
              </c:numCache>
            </c:numRef>
          </c:yVal>
          <c:smooth val="0"/>
          <c:extLst>
            <c:ext xmlns:c16="http://schemas.microsoft.com/office/drawing/2014/chart" uri="{C3380CC4-5D6E-409C-BE32-E72D297353CC}">
              <c16:uniqueId val="{00000000-A40C-4115-B809-E27C37852AFB}"/>
            </c:ext>
          </c:extLst>
        </c:ser>
        <c:dLbls>
          <c:showLegendKey val="0"/>
          <c:showVal val="0"/>
          <c:showCatName val="0"/>
          <c:showSerName val="0"/>
          <c:showPercent val="0"/>
          <c:showBubbleSize val="0"/>
        </c:dLbls>
        <c:axId val="808741504"/>
        <c:axId val="808741832"/>
      </c:scatterChart>
      <c:valAx>
        <c:axId val="808741504"/>
        <c:scaling>
          <c:orientation val="minMax"/>
        </c:scaling>
        <c:delete val="0"/>
        <c:axPos val="b"/>
        <c:majorGridlines>
          <c:spPr>
            <a:ln w="9525" cap="flat" cmpd="sng" algn="ctr">
              <a:solidFill>
                <a:schemeClr val="dk1">
                  <a:lumMod val="65000"/>
                  <a:lumOff val="35000"/>
                  <a:alpha val="75000"/>
                </a:schemeClr>
              </a:solidFill>
              <a:round/>
            </a:ln>
            <a:effectLst/>
          </c:spPr>
        </c:majorGridlines>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08741832"/>
        <c:crosses val="autoZero"/>
        <c:crossBetween val="midCat"/>
      </c:valAx>
      <c:valAx>
        <c:axId val="8087418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E+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0874150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Growth rate, CA</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tx>
            <c:strRef>
              <c:f>'Bacteria concentration'!$K$2</c:f>
              <c:strCache>
                <c:ptCount val="1"/>
                <c:pt idx="0">
                  <c:v>Growth rate, CA</c:v>
                </c:pt>
              </c:strCache>
            </c:strRef>
          </c:tx>
          <c:spPr>
            <a:ln w="25400" cap="rnd">
              <a:no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trendline>
            <c:spPr>
              <a:ln w="25400" cap="rnd">
                <a:solidFill>
                  <a:schemeClr val="accent1">
                    <a:alpha val="50000"/>
                  </a:schemeClr>
                </a:solidFill>
              </a:ln>
              <a:effectLst/>
            </c:spPr>
            <c:trendlineType val="exp"/>
            <c:dispRSqr val="0"/>
            <c:dispEq val="0"/>
          </c:trendline>
          <c:yVal>
            <c:numRef>
              <c:f>'Bacteria concentration'!$K$3:$K$13</c:f>
              <c:numCache>
                <c:formatCode>0.00E+00</c:formatCode>
                <c:ptCount val="11"/>
                <c:pt idx="0">
                  <c:v>0.3982</c:v>
                </c:pt>
                <c:pt idx="1">
                  <c:v>179.68388502147832</c:v>
                </c:pt>
                <c:pt idx="2">
                  <c:v>81080.609081898132</c:v>
                </c:pt>
                <c:pt idx="3">
                  <c:v>36586837.86977195</c:v>
                </c:pt>
                <c:pt idx="4">
                  <c:v>16509455472.354551</c:v>
                </c:pt>
                <c:pt idx="5">
                  <c:v>7449731539080.3027</c:v>
                </c:pt>
                <c:pt idx="6">
                  <c:v>3361619048992914.5</c:v>
                </c:pt>
                <c:pt idx="7">
                  <c:v>1.5168979675671903E+18</c:v>
                </c:pt>
                <c:pt idx="8">
                  <c:v>6.8448548466513727E+20</c:v>
                </c:pt>
                <c:pt idx="9">
                  <c:v>3.0886743125424813E+23</c:v>
                </c:pt>
                <c:pt idx="10">
                  <c:v>1.3937343044793515E+26</c:v>
                </c:pt>
              </c:numCache>
            </c:numRef>
          </c:yVal>
          <c:smooth val="0"/>
          <c:extLst>
            <c:ext xmlns:c16="http://schemas.microsoft.com/office/drawing/2014/chart" uri="{C3380CC4-5D6E-409C-BE32-E72D297353CC}">
              <c16:uniqueId val="{00000000-4E84-4309-986B-8D0D1B8C961C}"/>
            </c:ext>
          </c:extLst>
        </c:ser>
        <c:dLbls>
          <c:showLegendKey val="0"/>
          <c:showVal val="0"/>
          <c:showCatName val="0"/>
          <c:showSerName val="0"/>
          <c:showPercent val="0"/>
          <c:showBubbleSize val="0"/>
        </c:dLbls>
        <c:axId val="950354792"/>
        <c:axId val="950355120"/>
      </c:scatterChart>
      <c:valAx>
        <c:axId val="950354792"/>
        <c:scaling>
          <c:orientation val="minMax"/>
        </c:scaling>
        <c:delete val="0"/>
        <c:axPos val="b"/>
        <c:majorGridlines>
          <c:spPr>
            <a:ln w="9525" cap="flat" cmpd="sng" algn="ctr">
              <a:solidFill>
                <a:schemeClr val="dk1">
                  <a:lumMod val="65000"/>
                  <a:lumOff val="35000"/>
                  <a:alpha val="75000"/>
                </a:schemeClr>
              </a:solidFill>
              <a:round/>
            </a:ln>
            <a:effectLst/>
          </c:spPr>
        </c:majorGridlines>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50355120"/>
        <c:crosses val="autoZero"/>
        <c:crossBetween val="midCat"/>
      </c:valAx>
      <c:valAx>
        <c:axId val="950355120"/>
        <c:scaling>
          <c:orientation val="minMax"/>
          <c:max val="1.3999999999999997E+26"/>
        </c:scaling>
        <c:delete val="0"/>
        <c:axPos val="l"/>
        <c:majorGridlines>
          <c:spPr>
            <a:ln w="9525" cap="flat" cmpd="sng" algn="ctr">
              <a:solidFill>
                <a:schemeClr val="dk1">
                  <a:lumMod val="65000"/>
                  <a:lumOff val="35000"/>
                  <a:alpha val="75000"/>
                </a:schemeClr>
              </a:solidFill>
              <a:round/>
            </a:ln>
            <a:effectLst/>
          </c:spPr>
        </c:majorGridlines>
        <c:numFmt formatCode="0.00E+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5035479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2BCBE098-E81F-4EBC-AEFD-8CD77A47A250}" type="doc">
      <dgm:prSet loTypeId="urn:microsoft.com/office/officeart/2005/8/layout/vList5" loCatId="list" qsTypeId="urn:microsoft.com/office/officeart/2005/8/quickstyle/simple1" qsCatId="simple" csTypeId="urn:microsoft.com/office/officeart/2005/8/colors/accent1_2" csCatId="accent1" phldr="1"/>
      <dgm:spPr/>
      <dgm:t>
        <a:bodyPr/>
        <a:lstStyle/>
        <a:p>
          <a:endParaRPr lang="en-US"/>
        </a:p>
      </dgm:t>
    </dgm:pt>
    <dgm:pt modelId="{CF5089D4-F239-4CFE-A6CF-611781855151}">
      <dgm:prSet phldrT="[Text]" custT="1"/>
      <dgm:spPr/>
      <dgm:t>
        <a:bodyPr/>
        <a:lstStyle/>
        <a:p>
          <a:r>
            <a:rPr lang="en-US" sz="1000">
              <a:latin typeface="GE Inspira Serif" panose="02060502070000000003" pitchFamily="18" charset="0"/>
            </a:rPr>
            <a:t>COF found during HALT </a:t>
          </a:r>
        </a:p>
      </dgm:t>
    </dgm:pt>
    <dgm:pt modelId="{00CF7F1E-13D2-4EE9-A735-BBD7B5D0028D}" type="parTrans" cxnId="{09EA1763-9880-47D5-BDFD-EB49192EE2F4}">
      <dgm:prSet/>
      <dgm:spPr/>
      <dgm:t>
        <a:bodyPr/>
        <a:lstStyle/>
        <a:p>
          <a:endParaRPr lang="en-US" sz="1000"/>
        </a:p>
      </dgm:t>
    </dgm:pt>
    <dgm:pt modelId="{F11C1595-9C35-42B7-87BB-13938B1768BB}" type="sibTrans" cxnId="{09EA1763-9880-47D5-BDFD-EB49192EE2F4}">
      <dgm:prSet/>
      <dgm:spPr/>
      <dgm:t>
        <a:bodyPr/>
        <a:lstStyle/>
        <a:p>
          <a:endParaRPr lang="en-US" sz="1000"/>
        </a:p>
      </dgm:t>
    </dgm:pt>
    <dgm:pt modelId="{9FA9DB66-D6B1-465F-BAEE-4B0AE86E0653}">
      <dgm:prSet phldrT="[Text]" custT="1"/>
      <dgm:spPr/>
      <dgm:t>
        <a:bodyPr/>
        <a:lstStyle/>
        <a:p>
          <a:r>
            <a:rPr lang="en-US" sz="1000">
              <a:latin typeface="GE Inspira Serif" panose="02060502070000000003" pitchFamily="18" charset="0"/>
            </a:rPr>
            <a:t>Failure Analysis / Corrective Action / Verification of Failure $</a:t>
          </a:r>
        </a:p>
      </dgm:t>
    </dgm:pt>
    <dgm:pt modelId="{4E01F799-D51C-4C1E-B97D-0ED99B2D2429}" type="parTrans" cxnId="{324EFD8B-319D-42EF-A005-D6EDAD60B0CC}">
      <dgm:prSet/>
      <dgm:spPr/>
      <dgm:t>
        <a:bodyPr/>
        <a:lstStyle/>
        <a:p>
          <a:endParaRPr lang="en-US" sz="1000"/>
        </a:p>
      </dgm:t>
    </dgm:pt>
    <dgm:pt modelId="{3F33597B-B077-4098-BB01-F912FF992F82}" type="sibTrans" cxnId="{324EFD8B-319D-42EF-A005-D6EDAD60B0CC}">
      <dgm:prSet/>
      <dgm:spPr/>
      <dgm:t>
        <a:bodyPr/>
        <a:lstStyle/>
        <a:p>
          <a:endParaRPr lang="en-US" sz="1000"/>
        </a:p>
      </dgm:t>
    </dgm:pt>
    <dgm:pt modelId="{39789621-9CD9-45C2-BA89-9C56A7F70D19}">
      <dgm:prSet phldrT="[Text]" custT="1"/>
      <dgm:spPr/>
      <dgm:t>
        <a:bodyPr/>
        <a:lstStyle/>
        <a:p>
          <a:pPr marL="0" lvl="0" indent="0" algn="ctr" defTabSz="622300">
            <a:lnSpc>
              <a:spcPct val="90000"/>
            </a:lnSpc>
            <a:spcBef>
              <a:spcPct val="0"/>
            </a:spcBef>
            <a:spcAft>
              <a:spcPct val="35000"/>
            </a:spcAft>
            <a:buNone/>
          </a:pPr>
          <a:r>
            <a:rPr lang="en-US" sz="1000" kern="1200">
              <a:solidFill>
                <a:sysClr val="window" lastClr="FFFFFF"/>
              </a:solidFill>
              <a:latin typeface="GE Inspira Serif" panose="02060502070000000003" pitchFamily="18" charset="0"/>
              <a:ea typeface="+mn-ea"/>
              <a:cs typeface="+mn-cs"/>
            </a:rPr>
            <a:t>Cost of failure found during DVT</a:t>
          </a:r>
        </a:p>
      </dgm:t>
    </dgm:pt>
    <dgm:pt modelId="{F967351B-C4C1-43FB-9710-B6538883A504}" type="parTrans" cxnId="{17ACA2DF-CCDF-4F79-9C6C-89FA73EC08E8}">
      <dgm:prSet/>
      <dgm:spPr/>
      <dgm:t>
        <a:bodyPr/>
        <a:lstStyle/>
        <a:p>
          <a:endParaRPr lang="en-US" sz="1000"/>
        </a:p>
      </dgm:t>
    </dgm:pt>
    <dgm:pt modelId="{C550D1E3-95F6-4F6C-B347-2501F59F91DE}" type="sibTrans" cxnId="{17ACA2DF-CCDF-4F79-9C6C-89FA73EC08E8}">
      <dgm:prSet/>
      <dgm:spPr/>
      <dgm:t>
        <a:bodyPr/>
        <a:lstStyle/>
        <a:p>
          <a:endParaRPr lang="en-US" sz="1000"/>
        </a:p>
      </dgm:t>
    </dgm:pt>
    <dgm:pt modelId="{6AFF0EDF-E997-4B33-81A1-36C3A03F8D58}">
      <dgm:prSet phldrT="[Text]" custT="1"/>
      <dgm:spPr/>
      <dgm:t>
        <a:bodyPr/>
        <a:lstStyle/>
        <a:p>
          <a:r>
            <a:rPr lang="en-US" sz="1000">
              <a:latin typeface="GE Inspira Serif" panose="02060502070000000003" pitchFamily="18" charset="0"/>
            </a:rPr>
            <a:t>Failure Analysis / Corrective Action / Verification of Failure </a:t>
          </a:r>
          <a:endParaRPr lang="en-US" sz="1000"/>
        </a:p>
      </dgm:t>
    </dgm:pt>
    <dgm:pt modelId="{C10B83C5-2854-4304-B21F-79F761E3AAA5}" type="parTrans" cxnId="{AA9BFAA1-D37A-422B-879A-1F0214F20D83}">
      <dgm:prSet/>
      <dgm:spPr/>
      <dgm:t>
        <a:bodyPr/>
        <a:lstStyle/>
        <a:p>
          <a:endParaRPr lang="en-US" sz="1000"/>
        </a:p>
      </dgm:t>
    </dgm:pt>
    <dgm:pt modelId="{568059DA-7186-4C18-BEC4-315B1D3E0009}" type="sibTrans" cxnId="{AA9BFAA1-D37A-422B-879A-1F0214F20D83}">
      <dgm:prSet/>
      <dgm:spPr/>
      <dgm:t>
        <a:bodyPr/>
        <a:lstStyle/>
        <a:p>
          <a:endParaRPr lang="en-US" sz="1000"/>
        </a:p>
      </dgm:t>
    </dgm:pt>
    <dgm:pt modelId="{C431D6C0-5B14-40D8-A4B6-C78600D06106}">
      <dgm:prSet phldrT="[Text]" custT="1"/>
      <dgm:spPr/>
      <dgm:t>
        <a:bodyPr/>
        <a:lstStyle/>
        <a:p>
          <a:r>
            <a:rPr lang="en-US" sz="1000">
              <a:latin typeface="GE Inspira Serif" panose="02060502070000000003" pitchFamily="18" charset="0"/>
            </a:rPr>
            <a:t>Cost of repeating DVT tests    $</a:t>
          </a:r>
        </a:p>
      </dgm:t>
    </dgm:pt>
    <dgm:pt modelId="{30ABEDCC-72F0-4017-823A-89FCD3AEA4DE}" type="parTrans" cxnId="{397ABBEC-0FB0-4F91-AF1F-7D567CC3DB9A}">
      <dgm:prSet/>
      <dgm:spPr/>
      <dgm:t>
        <a:bodyPr/>
        <a:lstStyle/>
        <a:p>
          <a:endParaRPr lang="en-US" sz="1000"/>
        </a:p>
      </dgm:t>
    </dgm:pt>
    <dgm:pt modelId="{0990F9A6-D0E6-4800-B8F4-0EA250E810F2}" type="sibTrans" cxnId="{397ABBEC-0FB0-4F91-AF1F-7D567CC3DB9A}">
      <dgm:prSet/>
      <dgm:spPr/>
      <dgm:t>
        <a:bodyPr/>
        <a:lstStyle/>
        <a:p>
          <a:endParaRPr lang="en-US" sz="1000"/>
        </a:p>
      </dgm:t>
    </dgm:pt>
    <dgm:pt modelId="{E48C72B9-634B-4DDF-9FF4-8A53CA7AA96B}">
      <dgm:prSet phldrT="[Text]" custT="1"/>
      <dgm:spPr/>
      <dgm:t>
        <a:bodyPr/>
        <a:lstStyle/>
        <a:p>
          <a:r>
            <a:rPr lang="en-US" sz="1000" kern="1200">
              <a:solidFill>
                <a:sysClr val="window" lastClr="FFFFFF"/>
              </a:solidFill>
              <a:latin typeface="GE Inspira Serif" panose="02060502070000000003" pitchFamily="18" charset="0"/>
              <a:ea typeface="+mn-ea"/>
              <a:cs typeface="+mn-cs"/>
            </a:rPr>
            <a:t>COF found in the field</a:t>
          </a:r>
        </a:p>
      </dgm:t>
    </dgm:pt>
    <dgm:pt modelId="{CEE22291-7DFB-43F4-9AEF-C27E1D4A3991}" type="parTrans" cxnId="{C51A4ED4-59B8-4C8C-828A-C155BBC922F0}">
      <dgm:prSet/>
      <dgm:spPr/>
      <dgm:t>
        <a:bodyPr/>
        <a:lstStyle/>
        <a:p>
          <a:endParaRPr lang="en-US" sz="1000"/>
        </a:p>
      </dgm:t>
    </dgm:pt>
    <dgm:pt modelId="{0D81D781-F9CB-4886-9D7F-EF3BD3817B8D}" type="sibTrans" cxnId="{C51A4ED4-59B8-4C8C-828A-C155BBC922F0}">
      <dgm:prSet/>
      <dgm:spPr/>
      <dgm:t>
        <a:bodyPr/>
        <a:lstStyle/>
        <a:p>
          <a:endParaRPr lang="en-US" sz="1000"/>
        </a:p>
      </dgm:t>
    </dgm:pt>
    <dgm:pt modelId="{5144A090-AD40-4975-9B27-91A9A0B1A259}">
      <dgm:prSet phldrT="[Text]" custT="1"/>
      <dgm:spPr/>
      <dgm:t>
        <a:bodyPr/>
        <a:lstStyle/>
        <a:p>
          <a:r>
            <a:rPr lang="en-US" sz="1000" kern="1200">
              <a:latin typeface="GE Inspira Serif" panose="02060502070000000003" pitchFamily="18" charset="0"/>
            </a:rPr>
            <a:t>Whole cost of replacement unit</a:t>
          </a:r>
        </a:p>
      </dgm:t>
    </dgm:pt>
    <dgm:pt modelId="{B6D47BDE-73C9-4F32-A326-98183E6B43FC}" type="parTrans" cxnId="{F529EA40-5F1D-4771-ABAE-A8EB5CF3350B}">
      <dgm:prSet/>
      <dgm:spPr/>
      <dgm:t>
        <a:bodyPr/>
        <a:lstStyle/>
        <a:p>
          <a:endParaRPr lang="en-US" sz="1000"/>
        </a:p>
      </dgm:t>
    </dgm:pt>
    <dgm:pt modelId="{0D4B22BF-2BA0-4085-BB4E-7DFAEDCCD78D}" type="sibTrans" cxnId="{F529EA40-5F1D-4771-ABAE-A8EB5CF3350B}">
      <dgm:prSet/>
      <dgm:spPr/>
      <dgm:t>
        <a:bodyPr/>
        <a:lstStyle/>
        <a:p>
          <a:endParaRPr lang="en-US" sz="1000"/>
        </a:p>
      </dgm:t>
    </dgm:pt>
    <dgm:pt modelId="{1D6F8F6D-3298-4AAB-B385-67C60273261F}">
      <dgm:prSet phldrT="[Text]" custT="1"/>
      <dgm:spPr/>
      <dgm:t>
        <a:bodyPr/>
        <a:lstStyle/>
        <a:p>
          <a:r>
            <a:rPr lang="en-US" sz="1000" kern="1200">
              <a:solidFill>
                <a:sysClr val="windowText" lastClr="000000">
                  <a:hueOff val="0"/>
                  <a:satOff val="0"/>
                  <a:lumOff val="0"/>
                  <a:alphaOff val="0"/>
                </a:sysClr>
              </a:solidFill>
              <a:latin typeface="GE Inspira Serif" panose="02060502070000000003" pitchFamily="18" charset="0"/>
              <a:ea typeface="+mn-ea"/>
              <a:cs typeface="+mn-cs"/>
            </a:rPr>
            <a:t>Cost of replacing defective unit - service time</a:t>
          </a:r>
        </a:p>
      </dgm:t>
    </dgm:pt>
    <dgm:pt modelId="{2DF051A7-7212-4EAF-9CFA-DF61ACB4EBEC}" type="parTrans" cxnId="{8DA8A9CE-B047-44CB-AB9F-5620B991DFEB}">
      <dgm:prSet/>
      <dgm:spPr/>
      <dgm:t>
        <a:bodyPr/>
        <a:lstStyle/>
        <a:p>
          <a:endParaRPr lang="en-US" sz="1000"/>
        </a:p>
      </dgm:t>
    </dgm:pt>
    <dgm:pt modelId="{F962B78E-0E99-4A2E-ADFC-C15F661931E1}" type="sibTrans" cxnId="{8DA8A9CE-B047-44CB-AB9F-5620B991DFEB}">
      <dgm:prSet/>
      <dgm:spPr/>
      <dgm:t>
        <a:bodyPr/>
        <a:lstStyle/>
        <a:p>
          <a:endParaRPr lang="en-US" sz="1000"/>
        </a:p>
      </dgm:t>
    </dgm:pt>
    <dgm:pt modelId="{43ADB266-8436-4E6D-B685-C0DCCC56893D}">
      <dgm:prSet phldrT="[Text]" custT="1"/>
      <dgm:spPr/>
      <dgm:t>
        <a:bodyPr/>
        <a:lstStyle/>
        <a:p>
          <a:r>
            <a:rPr lang="en-US" sz="1000" kern="1200">
              <a:solidFill>
                <a:sysClr val="windowText" lastClr="000000">
                  <a:hueOff val="0"/>
                  <a:satOff val="0"/>
                  <a:lumOff val="0"/>
                  <a:alphaOff val="0"/>
                </a:sysClr>
              </a:solidFill>
              <a:latin typeface="GE Inspira Serif" panose="02060502070000000003" pitchFamily="18" charset="0"/>
              <a:ea typeface="+mn-ea"/>
              <a:cs typeface="+mn-cs"/>
            </a:rPr>
            <a:t>Impact of downtime - lost revenue</a:t>
          </a:r>
        </a:p>
      </dgm:t>
    </dgm:pt>
    <dgm:pt modelId="{ECD2CB53-7D0B-4361-8F86-A1F4951DBCB1}" type="parTrans" cxnId="{9031C2AC-16B0-4F35-ADDD-EDBF8B73BF47}">
      <dgm:prSet/>
      <dgm:spPr/>
      <dgm:t>
        <a:bodyPr/>
        <a:lstStyle/>
        <a:p>
          <a:endParaRPr lang="en-US" sz="1000"/>
        </a:p>
      </dgm:t>
    </dgm:pt>
    <dgm:pt modelId="{76E56BB5-90BF-401B-A678-638D0D8CF183}" type="sibTrans" cxnId="{9031C2AC-16B0-4F35-ADDD-EDBF8B73BF47}">
      <dgm:prSet/>
      <dgm:spPr/>
      <dgm:t>
        <a:bodyPr/>
        <a:lstStyle/>
        <a:p>
          <a:endParaRPr lang="en-US" sz="1000"/>
        </a:p>
      </dgm:t>
    </dgm:pt>
    <dgm:pt modelId="{CD34E805-BFA2-4A08-8D60-6F8A6A31B0C8}">
      <dgm:prSet phldrT="[Text]" custT="1"/>
      <dgm:spPr/>
      <dgm:t>
        <a:bodyPr/>
        <a:lstStyle/>
        <a:p>
          <a:endParaRPr lang="en-US" sz="1000" kern="1200">
            <a:solidFill>
              <a:sysClr val="windowText" lastClr="000000">
                <a:hueOff val="0"/>
                <a:satOff val="0"/>
                <a:lumOff val="0"/>
                <a:alphaOff val="0"/>
              </a:sysClr>
            </a:solidFill>
            <a:latin typeface="GE Inspira Serif" panose="02060502070000000003" pitchFamily="18" charset="0"/>
            <a:ea typeface="+mn-ea"/>
            <a:cs typeface="+mn-cs"/>
          </a:endParaRPr>
        </a:p>
      </dgm:t>
    </dgm:pt>
    <dgm:pt modelId="{048F4CC7-18FF-447C-8252-4C274C18F212}" type="parTrans" cxnId="{EA8A5089-46B4-41F6-BE00-5CB30CA20C20}">
      <dgm:prSet/>
      <dgm:spPr/>
      <dgm:t>
        <a:bodyPr/>
        <a:lstStyle/>
        <a:p>
          <a:endParaRPr lang="en-US" sz="1000"/>
        </a:p>
      </dgm:t>
    </dgm:pt>
    <dgm:pt modelId="{0FC863B1-B942-4214-8A45-0CA689E101E0}" type="sibTrans" cxnId="{EA8A5089-46B4-41F6-BE00-5CB30CA20C20}">
      <dgm:prSet/>
      <dgm:spPr/>
      <dgm:t>
        <a:bodyPr/>
        <a:lstStyle/>
        <a:p>
          <a:endParaRPr lang="en-US" sz="1000"/>
        </a:p>
      </dgm:t>
    </dgm:pt>
    <dgm:pt modelId="{0C65E764-0D22-42E6-94CE-9F1F58052555}">
      <dgm:prSet phldrT="[Text]" custT="1"/>
      <dgm:spPr/>
      <dgm:t>
        <a:bodyPr/>
        <a:lstStyle/>
        <a:p>
          <a:r>
            <a:rPr lang="en-US" sz="1000" kern="1200">
              <a:latin typeface="GE Inspira Serif" panose="02060502070000000003" pitchFamily="18" charset="0"/>
            </a:rPr>
            <a:t>Failure Analysis / Corrective Action / Verification of Failure </a:t>
          </a:r>
          <a:endParaRPr lang="en-US" sz="1000" kern="1200">
            <a:solidFill>
              <a:sysClr val="windowText" lastClr="000000">
                <a:hueOff val="0"/>
                <a:satOff val="0"/>
                <a:lumOff val="0"/>
                <a:alphaOff val="0"/>
              </a:sysClr>
            </a:solidFill>
            <a:latin typeface="GE Inspira Serif" panose="02060502070000000003" pitchFamily="18" charset="0"/>
            <a:ea typeface="+mn-ea"/>
            <a:cs typeface="+mn-cs"/>
          </a:endParaRPr>
        </a:p>
      </dgm:t>
    </dgm:pt>
    <dgm:pt modelId="{3EF437C6-E993-46B8-A56C-F696DB043384}" type="parTrans" cxnId="{DAEB95C4-8DC6-46CE-9875-003DBCEAE629}">
      <dgm:prSet/>
      <dgm:spPr/>
      <dgm:t>
        <a:bodyPr/>
        <a:lstStyle/>
        <a:p>
          <a:endParaRPr lang="en-US" sz="1000"/>
        </a:p>
      </dgm:t>
    </dgm:pt>
    <dgm:pt modelId="{C4C39761-306D-4645-993A-22770D6AC739}" type="sibTrans" cxnId="{DAEB95C4-8DC6-46CE-9875-003DBCEAE629}">
      <dgm:prSet/>
      <dgm:spPr/>
      <dgm:t>
        <a:bodyPr/>
        <a:lstStyle/>
        <a:p>
          <a:endParaRPr lang="en-US" sz="1000"/>
        </a:p>
      </dgm:t>
    </dgm:pt>
    <dgm:pt modelId="{267A56F4-295D-4367-B17B-23404F699958}">
      <dgm:prSet phldrT="[Text]" custT="1"/>
      <dgm:spPr/>
      <dgm:t>
        <a:bodyPr/>
        <a:lstStyle/>
        <a:p>
          <a:r>
            <a:rPr lang="en-US" sz="1000" kern="1200">
              <a:solidFill>
                <a:sysClr val="windowText" lastClr="000000">
                  <a:hueOff val="0"/>
                  <a:satOff val="0"/>
                  <a:lumOff val="0"/>
                  <a:alphaOff val="0"/>
                </a:sysClr>
              </a:solidFill>
              <a:latin typeface="GE Inspira Serif" panose="02060502070000000003" pitchFamily="18" charset="0"/>
              <a:ea typeface="+mn-ea"/>
              <a:cs typeface="+mn-cs"/>
            </a:rPr>
            <a:t>Recall / rework</a:t>
          </a:r>
        </a:p>
      </dgm:t>
    </dgm:pt>
    <dgm:pt modelId="{D81F15C3-9C85-495C-9E67-CCE47608947F}" type="parTrans" cxnId="{88004803-6221-4B61-AF41-3862949439D6}">
      <dgm:prSet/>
      <dgm:spPr/>
      <dgm:t>
        <a:bodyPr/>
        <a:lstStyle/>
        <a:p>
          <a:endParaRPr lang="en-US" sz="1000"/>
        </a:p>
      </dgm:t>
    </dgm:pt>
    <dgm:pt modelId="{DC3E749C-62F3-448B-8BF2-E0BA57A49664}" type="sibTrans" cxnId="{88004803-6221-4B61-AF41-3862949439D6}">
      <dgm:prSet/>
      <dgm:spPr/>
      <dgm:t>
        <a:bodyPr/>
        <a:lstStyle/>
        <a:p>
          <a:endParaRPr lang="en-US" sz="1000"/>
        </a:p>
      </dgm:t>
    </dgm:pt>
    <dgm:pt modelId="{A3ABCB99-D6EB-43AA-AFF1-E20099C07BF9}" type="pres">
      <dgm:prSet presAssocID="{2BCBE098-E81F-4EBC-AEFD-8CD77A47A250}" presName="Name0" presStyleCnt="0">
        <dgm:presLayoutVars>
          <dgm:dir/>
          <dgm:animLvl val="lvl"/>
          <dgm:resizeHandles val="exact"/>
        </dgm:presLayoutVars>
      </dgm:prSet>
      <dgm:spPr/>
    </dgm:pt>
    <dgm:pt modelId="{F77F42E9-BDBC-4D6A-BF8E-B852EDEEA72F}" type="pres">
      <dgm:prSet presAssocID="{CF5089D4-F239-4CFE-A6CF-611781855151}" presName="linNode" presStyleCnt="0"/>
      <dgm:spPr/>
    </dgm:pt>
    <dgm:pt modelId="{6503832E-1AD6-42E6-A633-39D0F0F3F26E}" type="pres">
      <dgm:prSet presAssocID="{CF5089D4-F239-4CFE-A6CF-611781855151}" presName="parentText" presStyleLbl="node1" presStyleIdx="0" presStyleCnt="3" custScaleY="66900">
        <dgm:presLayoutVars>
          <dgm:chMax val="1"/>
          <dgm:bulletEnabled val="1"/>
        </dgm:presLayoutVars>
      </dgm:prSet>
      <dgm:spPr/>
    </dgm:pt>
    <dgm:pt modelId="{9591FFF2-0534-47C0-BD7C-4995485F9491}" type="pres">
      <dgm:prSet presAssocID="{CF5089D4-F239-4CFE-A6CF-611781855151}" presName="descendantText" presStyleLbl="alignAccFollowNode1" presStyleIdx="0" presStyleCnt="3" custScaleX="45265" custScaleY="78736" custLinFactNeighborX="4925" custLinFactNeighborY="0">
        <dgm:presLayoutVars>
          <dgm:bulletEnabled val="1"/>
        </dgm:presLayoutVars>
      </dgm:prSet>
      <dgm:spPr/>
    </dgm:pt>
    <dgm:pt modelId="{DADA94BE-5DE4-4510-8328-19D3842E9BCB}" type="pres">
      <dgm:prSet presAssocID="{F11C1595-9C35-42B7-87BB-13938B1768BB}" presName="sp" presStyleCnt="0"/>
      <dgm:spPr/>
    </dgm:pt>
    <dgm:pt modelId="{43EC1B22-1482-4576-94A5-6C7D47A21C59}" type="pres">
      <dgm:prSet presAssocID="{39789621-9CD9-45C2-BA89-9C56A7F70D19}" presName="linNode" presStyleCnt="0"/>
      <dgm:spPr/>
    </dgm:pt>
    <dgm:pt modelId="{02F737F0-E8B0-4324-B152-F646E04B5619}" type="pres">
      <dgm:prSet presAssocID="{39789621-9CD9-45C2-BA89-9C56A7F70D19}" presName="parentText" presStyleLbl="node1" presStyleIdx="1" presStyleCnt="3" custScaleY="52879">
        <dgm:presLayoutVars>
          <dgm:chMax val="1"/>
          <dgm:bulletEnabled val="1"/>
        </dgm:presLayoutVars>
      </dgm:prSet>
      <dgm:spPr/>
    </dgm:pt>
    <dgm:pt modelId="{A92AB44F-03E7-4302-A76E-FB376CD5F671}" type="pres">
      <dgm:prSet presAssocID="{39789621-9CD9-45C2-BA89-9C56A7F70D19}" presName="descendantText" presStyleLbl="alignAccFollowNode1" presStyleIdx="1" presStyleCnt="3" custScaleX="50356" custScaleY="63577">
        <dgm:presLayoutVars>
          <dgm:bulletEnabled val="1"/>
        </dgm:presLayoutVars>
      </dgm:prSet>
      <dgm:spPr/>
    </dgm:pt>
    <dgm:pt modelId="{676EB3F9-AF54-47DC-B411-AEE3BB89186A}" type="pres">
      <dgm:prSet presAssocID="{C550D1E3-95F6-4F6C-B347-2501F59F91DE}" presName="sp" presStyleCnt="0"/>
      <dgm:spPr/>
    </dgm:pt>
    <dgm:pt modelId="{52B04938-014F-4B0C-94E5-C0A2CB0DDF1C}" type="pres">
      <dgm:prSet presAssocID="{E48C72B9-634B-4DDF-9FF4-8A53CA7AA96B}" presName="linNode" presStyleCnt="0"/>
      <dgm:spPr/>
    </dgm:pt>
    <dgm:pt modelId="{7EB412F8-E841-4C8D-B41A-A1CD122E3262}" type="pres">
      <dgm:prSet presAssocID="{E48C72B9-634B-4DDF-9FF4-8A53CA7AA96B}" presName="parentText" presStyleLbl="node1" presStyleIdx="2" presStyleCnt="3" custScaleY="85126">
        <dgm:presLayoutVars>
          <dgm:chMax val="1"/>
          <dgm:bulletEnabled val="1"/>
        </dgm:presLayoutVars>
      </dgm:prSet>
      <dgm:spPr/>
    </dgm:pt>
    <dgm:pt modelId="{D10CDEF6-8061-4C39-80D9-AD51C4C8DCD2}" type="pres">
      <dgm:prSet presAssocID="{E48C72B9-634B-4DDF-9FF4-8A53CA7AA96B}" presName="descendantText" presStyleLbl="alignAccFollowNode1" presStyleIdx="2" presStyleCnt="3" custScaleX="56402" custScaleY="90472">
        <dgm:presLayoutVars>
          <dgm:bulletEnabled val="1"/>
        </dgm:presLayoutVars>
      </dgm:prSet>
      <dgm:spPr/>
    </dgm:pt>
  </dgm:ptLst>
  <dgm:cxnLst>
    <dgm:cxn modelId="{88004803-6221-4B61-AF41-3862949439D6}" srcId="{E48C72B9-634B-4DDF-9FF4-8A53CA7AA96B}" destId="{267A56F4-295D-4367-B17B-23404F699958}" srcOrd="4" destOrd="0" parTransId="{D81F15C3-9C85-495C-9E67-CCE47608947F}" sibTransId="{DC3E749C-62F3-448B-8BF2-E0BA57A49664}"/>
    <dgm:cxn modelId="{8FB86515-5BC1-446A-BFC4-0B4686A094FD}" type="presOf" srcId="{C431D6C0-5B14-40D8-A4B6-C78600D06106}" destId="{A92AB44F-03E7-4302-A76E-FB376CD5F671}" srcOrd="0" destOrd="1" presId="urn:microsoft.com/office/officeart/2005/8/layout/vList5"/>
    <dgm:cxn modelId="{AA73311C-4736-403B-A6CF-72AE058408B1}" type="presOf" srcId="{267A56F4-295D-4367-B17B-23404F699958}" destId="{D10CDEF6-8061-4C39-80D9-AD51C4C8DCD2}" srcOrd="0" destOrd="4" presId="urn:microsoft.com/office/officeart/2005/8/layout/vList5"/>
    <dgm:cxn modelId="{E1C7B21F-33E4-409F-95BE-FC0C17A1C724}" type="presOf" srcId="{43ADB266-8436-4E6D-B685-C0DCCC56893D}" destId="{D10CDEF6-8061-4C39-80D9-AD51C4C8DCD2}" srcOrd="0" destOrd="2" presId="urn:microsoft.com/office/officeart/2005/8/layout/vList5"/>
    <dgm:cxn modelId="{75549430-CDCA-42B8-96EE-EB7211CC3C0A}" type="presOf" srcId="{9FA9DB66-D6B1-465F-BAEE-4B0AE86E0653}" destId="{9591FFF2-0534-47C0-BD7C-4995485F9491}" srcOrd="0" destOrd="0" presId="urn:microsoft.com/office/officeart/2005/8/layout/vList5"/>
    <dgm:cxn modelId="{F529EA40-5F1D-4771-ABAE-A8EB5CF3350B}" srcId="{E48C72B9-634B-4DDF-9FF4-8A53CA7AA96B}" destId="{5144A090-AD40-4975-9B27-91A9A0B1A259}" srcOrd="0" destOrd="0" parTransId="{B6D47BDE-73C9-4F32-A326-98183E6B43FC}" sibTransId="{0D4B22BF-2BA0-4085-BB4E-7DFAEDCCD78D}"/>
    <dgm:cxn modelId="{8C6E375D-7285-470B-AE38-CE479386412D}" type="presOf" srcId="{0C65E764-0D22-42E6-94CE-9F1F58052555}" destId="{D10CDEF6-8061-4C39-80D9-AD51C4C8DCD2}" srcOrd="0" destOrd="3" presId="urn:microsoft.com/office/officeart/2005/8/layout/vList5"/>
    <dgm:cxn modelId="{09EA1763-9880-47D5-BDFD-EB49192EE2F4}" srcId="{2BCBE098-E81F-4EBC-AEFD-8CD77A47A250}" destId="{CF5089D4-F239-4CFE-A6CF-611781855151}" srcOrd="0" destOrd="0" parTransId="{00CF7F1E-13D2-4EE9-A735-BBD7B5D0028D}" sibTransId="{F11C1595-9C35-42B7-87BB-13938B1768BB}"/>
    <dgm:cxn modelId="{A2E55A6C-1314-4566-B654-999E0FCC02D0}" type="presOf" srcId="{6AFF0EDF-E997-4B33-81A1-36C3A03F8D58}" destId="{A92AB44F-03E7-4302-A76E-FB376CD5F671}" srcOrd="0" destOrd="0" presId="urn:microsoft.com/office/officeart/2005/8/layout/vList5"/>
    <dgm:cxn modelId="{C954C779-6727-4F2D-825E-E1AF8EDDBF44}" type="presOf" srcId="{39789621-9CD9-45C2-BA89-9C56A7F70D19}" destId="{02F737F0-E8B0-4324-B152-F646E04B5619}" srcOrd="0" destOrd="0" presId="urn:microsoft.com/office/officeart/2005/8/layout/vList5"/>
    <dgm:cxn modelId="{DCA52383-2733-4E10-A5A6-FFA8A1173864}" type="presOf" srcId="{CD34E805-BFA2-4A08-8D60-6F8A6A31B0C8}" destId="{D10CDEF6-8061-4C39-80D9-AD51C4C8DCD2}" srcOrd="0" destOrd="5" presId="urn:microsoft.com/office/officeart/2005/8/layout/vList5"/>
    <dgm:cxn modelId="{EA8A5089-46B4-41F6-BE00-5CB30CA20C20}" srcId="{E48C72B9-634B-4DDF-9FF4-8A53CA7AA96B}" destId="{CD34E805-BFA2-4A08-8D60-6F8A6A31B0C8}" srcOrd="5" destOrd="0" parTransId="{048F4CC7-18FF-447C-8252-4C274C18F212}" sibTransId="{0FC863B1-B942-4214-8A45-0CA689E101E0}"/>
    <dgm:cxn modelId="{D9DDAC8A-005E-465A-8257-0E7FEC1EAFD5}" type="presOf" srcId="{5144A090-AD40-4975-9B27-91A9A0B1A259}" destId="{D10CDEF6-8061-4C39-80D9-AD51C4C8DCD2}" srcOrd="0" destOrd="0" presId="urn:microsoft.com/office/officeart/2005/8/layout/vList5"/>
    <dgm:cxn modelId="{324EFD8B-319D-42EF-A005-D6EDAD60B0CC}" srcId="{CF5089D4-F239-4CFE-A6CF-611781855151}" destId="{9FA9DB66-D6B1-465F-BAEE-4B0AE86E0653}" srcOrd="0" destOrd="0" parTransId="{4E01F799-D51C-4C1E-B97D-0ED99B2D2429}" sibTransId="{3F33597B-B077-4098-BB01-F912FF992F82}"/>
    <dgm:cxn modelId="{AA9BFAA1-D37A-422B-879A-1F0214F20D83}" srcId="{39789621-9CD9-45C2-BA89-9C56A7F70D19}" destId="{6AFF0EDF-E997-4B33-81A1-36C3A03F8D58}" srcOrd="0" destOrd="0" parTransId="{C10B83C5-2854-4304-B21F-79F761E3AAA5}" sibTransId="{568059DA-7186-4C18-BEC4-315B1D3E0009}"/>
    <dgm:cxn modelId="{9031C2AC-16B0-4F35-ADDD-EDBF8B73BF47}" srcId="{E48C72B9-634B-4DDF-9FF4-8A53CA7AA96B}" destId="{43ADB266-8436-4E6D-B685-C0DCCC56893D}" srcOrd="2" destOrd="0" parTransId="{ECD2CB53-7D0B-4361-8F86-A1F4951DBCB1}" sibTransId="{76E56BB5-90BF-401B-A678-638D0D8CF183}"/>
    <dgm:cxn modelId="{87FF8FAD-C830-4AD8-92A6-55DF2F787A80}" type="presOf" srcId="{2BCBE098-E81F-4EBC-AEFD-8CD77A47A250}" destId="{A3ABCB99-D6EB-43AA-AFF1-E20099C07BF9}" srcOrd="0" destOrd="0" presId="urn:microsoft.com/office/officeart/2005/8/layout/vList5"/>
    <dgm:cxn modelId="{DAEB95C4-8DC6-46CE-9875-003DBCEAE629}" srcId="{E48C72B9-634B-4DDF-9FF4-8A53CA7AA96B}" destId="{0C65E764-0D22-42E6-94CE-9F1F58052555}" srcOrd="3" destOrd="0" parTransId="{3EF437C6-E993-46B8-A56C-F696DB043384}" sibTransId="{C4C39761-306D-4645-993A-22770D6AC739}"/>
    <dgm:cxn modelId="{8DA8A9CE-B047-44CB-AB9F-5620B991DFEB}" srcId="{E48C72B9-634B-4DDF-9FF4-8A53CA7AA96B}" destId="{1D6F8F6D-3298-4AAB-B385-67C60273261F}" srcOrd="1" destOrd="0" parTransId="{2DF051A7-7212-4EAF-9CFA-DF61ACB4EBEC}" sibTransId="{F962B78E-0E99-4A2E-ADFC-C15F661931E1}"/>
    <dgm:cxn modelId="{C51A4ED4-59B8-4C8C-828A-C155BBC922F0}" srcId="{2BCBE098-E81F-4EBC-AEFD-8CD77A47A250}" destId="{E48C72B9-634B-4DDF-9FF4-8A53CA7AA96B}" srcOrd="2" destOrd="0" parTransId="{CEE22291-7DFB-43F4-9AEF-C27E1D4A3991}" sibTransId="{0D81D781-F9CB-4886-9D7F-EF3BD3817B8D}"/>
    <dgm:cxn modelId="{A1F246DA-DBA7-4B3E-99FF-9B55FC086DBB}" type="presOf" srcId="{E48C72B9-634B-4DDF-9FF4-8A53CA7AA96B}" destId="{7EB412F8-E841-4C8D-B41A-A1CD122E3262}" srcOrd="0" destOrd="0" presId="urn:microsoft.com/office/officeart/2005/8/layout/vList5"/>
    <dgm:cxn modelId="{FF8D6CDF-B0D4-4123-90AC-E902C0365BB5}" type="presOf" srcId="{CF5089D4-F239-4CFE-A6CF-611781855151}" destId="{6503832E-1AD6-42E6-A633-39D0F0F3F26E}" srcOrd="0" destOrd="0" presId="urn:microsoft.com/office/officeart/2005/8/layout/vList5"/>
    <dgm:cxn modelId="{17ACA2DF-CCDF-4F79-9C6C-89FA73EC08E8}" srcId="{2BCBE098-E81F-4EBC-AEFD-8CD77A47A250}" destId="{39789621-9CD9-45C2-BA89-9C56A7F70D19}" srcOrd="1" destOrd="0" parTransId="{F967351B-C4C1-43FB-9710-B6538883A504}" sibTransId="{C550D1E3-95F6-4F6C-B347-2501F59F91DE}"/>
    <dgm:cxn modelId="{397ABBEC-0FB0-4F91-AF1F-7D567CC3DB9A}" srcId="{39789621-9CD9-45C2-BA89-9C56A7F70D19}" destId="{C431D6C0-5B14-40D8-A4B6-C78600D06106}" srcOrd="1" destOrd="0" parTransId="{30ABEDCC-72F0-4017-823A-89FCD3AEA4DE}" sibTransId="{0990F9A6-D0E6-4800-B8F4-0EA250E810F2}"/>
    <dgm:cxn modelId="{F9248FF3-F512-4CF4-A7CB-ED59DA20DB71}" type="presOf" srcId="{1D6F8F6D-3298-4AAB-B385-67C60273261F}" destId="{D10CDEF6-8061-4C39-80D9-AD51C4C8DCD2}" srcOrd="0" destOrd="1" presId="urn:microsoft.com/office/officeart/2005/8/layout/vList5"/>
    <dgm:cxn modelId="{A34B4E97-731D-4640-96E2-24D39670D16E}" type="presParOf" srcId="{A3ABCB99-D6EB-43AA-AFF1-E20099C07BF9}" destId="{F77F42E9-BDBC-4D6A-BF8E-B852EDEEA72F}" srcOrd="0" destOrd="0" presId="urn:microsoft.com/office/officeart/2005/8/layout/vList5"/>
    <dgm:cxn modelId="{7EAE4E8C-0755-44F5-9475-D8951502AD9F}" type="presParOf" srcId="{F77F42E9-BDBC-4D6A-BF8E-B852EDEEA72F}" destId="{6503832E-1AD6-42E6-A633-39D0F0F3F26E}" srcOrd="0" destOrd="0" presId="urn:microsoft.com/office/officeart/2005/8/layout/vList5"/>
    <dgm:cxn modelId="{C5E6796A-0B9B-4753-AA21-FB8070DB1BFD}" type="presParOf" srcId="{F77F42E9-BDBC-4D6A-BF8E-B852EDEEA72F}" destId="{9591FFF2-0534-47C0-BD7C-4995485F9491}" srcOrd="1" destOrd="0" presId="urn:microsoft.com/office/officeart/2005/8/layout/vList5"/>
    <dgm:cxn modelId="{C302F6DC-2951-4225-8C01-023E694BA452}" type="presParOf" srcId="{A3ABCB99-D6EB-43AA-AFF1-E20099C07BF9}" destId="{DADA94BE-5DE4-4510-8328-19D3842E9BCB}" srcOrd="1" destOrd="0" presId="urn:microsoft.com/office/officeart/2005/8/layout/vList5"/>
    <dgm:cxn modelId="{1532279F-B1C1-4034-BCC1-CDEA470EF931}" type="presParOf" srcId="{A3ABCB99-D6EB-43AA-AFF1-E20099C07BF9}" destId="{43EC1B22-1482-4576-94A5-6C7D47A21C59}" srcOrd="2" destOrd="0" presId="urn:microsoft.com/office/officeart/2005/8/layout/vList5"/>
    <dgm:cxn modelId="{4FEB0DC3-364B-4F4A-8014-E2E750999F8F}" type="presParOf" srcId="{43EC1B22-1482-4576-94A5-6C7D47A21C59}" destId="{02F737F0-E8B0-4324-B152-F646E04B5619}" srcOrd="0" destOrd="0" presId="urn:microsoft.com/office/officeart/2005/8/layout/vList5"/>
    <dgm:cxn modelId="{DEDE2ECF-7F39-4BED-AFF5-020DBCE2DE1B}" type="presParOf" srcId="{43EC1B22-1482-4576-94A5-6C7D47A21C59}" destId="{A92AB44F-03E7-4302-A76E-FB376CD5F671}" srcOrd="1" destOrd="0" presId="urn:microsoft.com/office/officeart/2005/8/layout/vList5"/>
    <dgm:cxn modelId="{FE9EDCDA-68DA-478B-9761-7A979EB6EA4A}" type="presParOf" srcId="{A3ABCB99-D6EB-43AA-AFF1-E20099C07BF9}" destId="{676EB3F9-AF54-47DC-B411-AEE3BB89186A}" srcOrd="3" destOrd="0" presId="urn:microsoft.com/office/officeart/2005/8/layout/vList5"/>
    <dgm:cxn modelId="{5DA5A825-0793-4E0F-9592-583E2C5F55FD}" type="presParOf" srcId="{A3ABCB99-D6EB-43AA-AFF1-E20099C07BF9}" destId="{52B04938-014F-4B0C-94E5-C0A2CB0DDF1C}" srcOrd="4" destOrd="0" presId="urn:microsoft.com/office/officeart/2005/8/layout/vList5"/>
    <dgm:cxn modelId="{B85CFBC4-1A27-4107-8E12-DF975AE31213}" type="presParOf" srcId="{52B04938-014F-4B0C-94E5-C0A2CB0DDF1C}" destId="{7EB412F8-E841-4C8D-B41A-A1CD122E3262}" srcOrd="0" destOrd="0" presId="urn:microsoft.com/office/officeart/2005/8/layout/vList5"/>
    <dgm:cxn modelId="{605F3914-4907-4C59-9341-55D37251AC51}" type="presParOf" srcId="{52B04938-014F-4B0C-94E5-C0A2CB0DDF1C}" destId="{D10CDEF6-8061-4C39-80D9-AD51C4C8DCD2}" srcOrd="1" destOrd="0" presId="urn:microsoft.com/office/officeart/2005/8/layout/vList5"/>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591FFF2-0534-47C0-BD7C-4995485F9491}">
      <dsp:nvSpPr>
        <dsp:cNvPr id="0" name=""/>
        <dsp:cNvSpPr/>
      </dsp:nvSpPr>
      <dsp:spPr>
        <a:xfrm rot="5400000">
          <a:off x="4567129" y="-663799"/>
          <a:ext cx="792051" cy="2171612"/>
        </a:xfrm>
        <a:prstGeom prst="round2SameRect">
          <a:avLst/>
        </a:prstGeom>
        <a:solidFill>
          <a:schemeClr val="accent1">
            <a:alpha val="90000"/>
            <a:tint val="40000"/>
            <a:hueOff val="0"/>
            <a:satOff val="0"/>
            <a:lumOff val="0"/>
            <a:alphaOff val="0"/>
          </a:schemeClr>
        </a:solidFill>
        <a:ln w="12700" cap="flat" cmpd="sng" algn="ctr">
          <a:solidFill>
            <a:schemeClr val="accent1">
              <a:alpha val="90000"/>
              <a:tint val="4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47650" tIns="123825" rIns="247650" bIns="123825" numCol="1" spcCol="1270" anchor="ctr" anchorCtr="0">
          <a:noAutofit/>
        </a:bodyPr>
        <a:lstStyle/>
        <a:p>
          <a:pPr marL="57150" lvl="1" indent="-57150" algn="l" defTabSz="444500">
            <a:lnSpc>
              <a:spcPct val="90000"/>
            </a:lnSpc>
            <a:spcBef>
              <a:spcPct val="0"/>
            </a:spcBef>
            <a:spcAft>
              <a:spcPct val="15000"/>
            </a:spcAft>
            <a:buChar char="•"/>
          </a:pPr>
          <a:r>
            <a:rPr lang="en-US" sz="1000" kern="1200">
              <a:latin typeface="GE Inspira Serif" panose="02060502070000000003" pitchFamily="18" charset="0"/>
            </a:rPr>
            <a:t>Failure Analysis / Corrective Action / Verification of Failure $</a:t>
          </a:r>
        </a:p>
      </dsp:txBody>
      <dsp:txXfrm rot="-5400000">
        <a:off x="3877349" y="64646"/>
        <a:ext cx="2132947" cy="714721"/>
      </dsp:txXfrm>
    </dsp:sp>
    <dsp:sp modelId="{6503832E-1AD6-42E6-A633-39D0F0F3F26E}">
      <dsp:nvSpPr>
        <dsp:cNvPr id="0" name=""/>
        <dsp:cNvSpPr/>
      </dsp:nvSpPr>
      <dsp:spPr>
        <a:xfrm>
          <a:off x="1045818" y="1389"/>
          <a:ext cx="2698623" cy="841233"/>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19050" rIns="38100" bIns="19050" numCol="1" spcCol="1270" anchor="ctr" anchorCtr="0">
          <a:noAutofit/>
        </a:bodyPr>
        <a:lstStyle/>
        <a:p>
          <a:pPr marL="0" lvl="0" indent="0" algn="ctr" defTabSz="444500">
            <a:lnSpc>
              <a:spcPct val="90000"/>
            </a:lnSpc>
            <a:spcBef>
              <a:spcPct val="0"/>
            </a:spcBef>
            <a:spcAft>
              <a:spcPct val="35000"/>
            </a:spcAft>
            <a:buNone/>
          </a:pPr>
          <a:r>
            <a:rPr lang="en-US" sz="1000" kern="1200">
              <a:latin typeface="GE Inspira Serif" panose="02060502070000000003" pitchFamily="18" charset="0"/>
            </a:rPr>
            <a:t>COF found during HALT </a:t>
          </a:r>
        </a:p>
      </dsp:txBody>
      <dsp:txXfrm>
        <a:off x="1086884" y="42455"/>
        <a:ext cx="2616491" cy="759101"/>
      </dsp:txXfrm>
    </dsp:sp>
    <dsp:sp modelId="{A92AB44F-03E7-4302-A76E-FB376CD5F671}">
      <dsp:nvSpPr>
        <dsp:cNvPr id="0" name=""/>
        <dsp:cNvSpPr/>
      </dsp:nvSpPr>
      <dsp:spPr>
        <a:xfrm rot="5400000">
          <a:off x="4632590" y="30030"/>
          <a:ext cx="639558" cy="2415855"/>
        </a:xfrm>
        <a:prstGeom prst="round2SameRect">
          <a:avLst/>
        </a:prstGeom>
        <a:solidFill>
          <a:schemeClr val="accent1">
            <a:alpha val="90000"/>
            <a:tint val="40000"/>
            <a:hueOff val="0"/>
            <a:satOff val="0"/>
            <a:lumOff val="0"/>
            <a:alphaOff val="0"/>
          </a:schemeClr>
        </a:solidFill>
        <a:ln w="12700" cap="flat" cmpd="sng" algn="ctr">
          <a:solidFill>
            <a:schemeClr val="accent1">
              <a:alpha val="90000"/>
              <a:tint val="4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47650" tIns="123825" rIns="247650" bIns="123825" numCol="1" spcCol="1270" anchor="ctr" anchorCtr="0">
          <a:noAutofit/>
        </a:bodyPr>
        <a:lstStyle/>
        <a:p>
          <a:pPr marL="57150" lvl="1" indent="-57150" algn="l" defTabSz="444500">
            <a:lnSpc>
              <a:spcPct val="90000"/>
            </a:lnSpc>
            <a:spcBef>
              <a:spcPct val="0"/>
            </a:spcBef>
            <a:spcAft>
              <a:spcPct val="15000"/>
            </a:spcAft>
            <a:buChar char="•"/>
          </a:pPr>
          <a:r>
            <a:rPr lang="en-US" sz="1000" kern="1200">
              <a:latin typeface="GE Inspira Serif" panose="02060502070000000003" pitchFamily="18" charset="0"/>
            </a:rPr>
            <a:t>Failure Analysis / Corrective Action / Verification of Failure </a:t>
          </a:r>
          <a:endParaRPr lang="en-US" sz="1000" kern="1200"/>
        </a:p>
        <a:p>
          <a:pPr marL="57150" lvl="1" indent="-57150" algn="l" defTabSz="444500">
            <a:lnSpc>
              <a:spcPct val="90000"/>
            </a:lnSpc>
            <a:spcBef>
              <a:spcPct val="0"/>
            </a:spcBef>
            <a:spcAft>
              <a:spcPct val="15000"/>
            </a:spcAft>
            <a:buChar char="•"/>
          </a:pPr>
          <a:r>
            <a:rPr lang="en-US" sz="1000" kern="1200">
              <a:latin typeface="GE Inspira Serif" panose="02060502070000000003" pitchFamily="18" charset="0"/>
            </a:rPr>
            <a:t>Cost of repeating DVT tests    $</a:t>
          </a:r>
        </a:p>
      </dsp:txBody>
      <dsp:txXfrm rot="-5400000">
        <a:off x="3744442" y="949400"/>
        <a:ext cx="2384634" cy="577116"/>
      </dsp:txXfrm>
    </dsp:sp>
    <dsp:sp modelId="{02F737F0-E8B0-4324-B152-F646E04B5619}">
      <dsp:nvSpPr>
        <dsp:cNvPr id="0" name=""/>
        <dsp:cNvSpPr/>
      </dsp:nvSpPr>
      <dsp:spPr>
        <a:xfrm>
          <a:off x="1045818" y="905495"/>
          <a:ext cx="2698623" cy="664926"/>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19050" rIns="38100" bIns="19050" numCol="1" spcCol="1270" anchor="ctr" anchorCtr="0">
          <a:noAutofit/>
        </a:bodyPr>
        <a:lstStyle/>
        <a:p>
          <a:pPr marL="0" lvl="0" indent="0" algn="ctr" defTabSz="622300">
            <a:lnSpc>
              <a:spcPct val="90000"/>
            </a:lnSpc>
            <a:spcBef>
              <a:spcPct val="0"/>
            </a:spcBef>
            <a:spcAft>
              <a:spcPct val="35000"/>
            </a:spcAft>
            <a:buNone/>
          </a:pPr>
          <a:r>
            <a:rPr lang="en-US" sz="1000" kern="1200">
              <a:solidFill>
                <a:sysClr val="window" lastClr="FFFFFF"/>
              </a:solidFill>
              <a:latin typeface="GE Inspira Serif" panose="02060502070000000003" pitchFamily="18" charset="0"/>
              <a:ea typeface="+mn-ea"/>
              <a:cs typeface="+mn-cs"/>
            </a:rPr>
            <a:t>Cost of failure found during DVT</a:t>
          </a:r>
        </a:p>
      </dsp:txBody>
      <dsp:txXfrm>
        <a:off x="1078277" y="937954"/>
        <a:ext cx="2633705" cy="600008"/>
      </dsp:txXfrm>
    </dsp:sp>
    <dsp:sp modelId="{D10CDEF6-8061-4C39-80D9-AD51C4C8DCD2}">
      <dsp:nvSpPr>
        <dsp:cNvPr id="0" name=""/>
        <dsp:cNvSpPr/>
      </dsp:nvSpPr>
      <dsp:spPr>
        <a:xfrm rot="5400000">
          <a:off x="4642344" y="815544"/>
          <a:ext cx="910111" cy="2705915"/>
        </a:xfrm>
        <a:prstGeom prst="round2SameRect">
          <a:avLst/>
        </a:prstGeom>
        <a:solidFill>
          <a:schemeClr val="accent1">
            <a:alpha val="90000"/>
            <a:tint val="40000"/>
            <a:hueOff val="0"/>
            <a:satOff val="0"/>
            <a:lumOff val="0"/>
            <a:alphaOff val="0"/>
          </a:schemeClr>
        </a:solidFill>
        <a:ln w="12700" cap="flat" cmpd="sng" algn="ctr">
          <a:solidFill>
            <a:schemeClr val="accent1">
              <a:alpha val="90000"/>
              <a:tint val="4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47650" tIns="123825" rIns="247650" bIns="123825" numCol="1" spcCol="1270" anchor="ctr" anchorCtr="0">
          <a:noAutofit/>
        </a:bodyPr>
        <a:lstStyle/>
        <a:p>
          <a:pPr marL="57150" lvl="1" indent="-57150" algn="l" defTabSz="444500">
            <a:lnSpc>
              <a:spcPct val="90000"/>
            </a:lnSpc>
            <a:spcBef>
              <a:spcPct val="0"/>
            </a:spcBef>
            <a:spcAft>
              <a:spcPct val="15000"/>
            </a:spcAft>
            <a:buChar char="•"/>
          </a:pPr>
          <a:r>
            <a:rPr lang="en-US" sz="1000" kern="1200">
              <a:latin typeface="GE Inspira Serif" panose="02060502070000000003" pitchFamily="18" charset="0"/>
            </a:rPr>
            <a:t>Whole cost of replacement unit</a:t>
          </a:r>
        </a:p>
        <a:p>
          <a:pPr marL="57150" lvl="1" indent="-57150" algn="l" defTabSz="444500">
            <a:lnSpc>
              <a:spcPct val="90000"/>
            </a:lnSpc>
            <a:spcBef>
              <a:spcPct val="0"/>
            </a:spcBef>
            <a:spcAft>
              <a:spcPct val="15000"/>
            </a:spcAft>
            <a:buChar char="•"/>
          </a:pPr>
          <a:r>
            <a:rPr lang="en-US" sz="1000" kern="1200">
              <a:solidFill>
                <a:sysClr val="windowText" lastClr="000000">
                  <a:hueOff val="0"/>
                  <a:satOff val="0"/>
                  <a:lumOff val="0"/>
                  <a:alphaOff val="0"/>
                </a:sysClr>
              </a:solidFill>
              <a:latin typeface="GE Inspira Serif" panose="02060502070000000003" pitchFamily="18" charset="0"/>
              <a:ea typeface="+mn-ea"/>
              <a:cs typeface="+mn-cs"/>
            </a:rPr>
            <a:t>Cost of replacing defective unit - service time</a:t>
          </a:r>
        </a:p>
        <a:p>
          <a:pPr marL="57150" lvl="1" indent="-57150" algn="l" defTabSz="444500">
            <a:lnSpc>
              <a:spcPct val="90000"/>
            </a:lnSpc>
            <a:spcBef>
              <a:spcPct val="0"/>
            </a:spcBef>
            <a:spcAft>
              <a:spcPct val="15000"/>
            </a:spcAft>
            <a:buChar char="•"/>
          </a:pPr>
          <a:r>
            <a:rPr lang="en-US" sz="1000" kern="1200">
              <a:solidFill>
                <a:sysClr val="windowText" lastClr="000000">
                  <a:hueOff val="0"/>
                  <a:satOff val="0"/>
                  <a:lumOff val="0"/>
                  <a:alphaOff val="0"/>
                </a:sysClr>
              </a:solidFill>
              <a:latin typeface="GE Inspira Serif" panose="02060502070000000003" pitchFamily="18" charset="0"/>
              <a:ea typeface="+mn-ea"/>
              <a:cs typeface="+mn-cs"/>
            </a:rPr>
            <a:t>Impact of downtime - lost revenue</a:t>
          </a:r>
        </a:p>
        <a:p>
          <a:pPr marL="57150" lvl="1" indent="-57150" algn="l" defTabSz="444500">
            <a:lnSpc>
              <a:spcPct val="90000"/>
            </a:lnSpc>
            <a:spcBef>
              <a:spcPct val="0"/>
            </a:spcBef>
            <a:spcAft>
              <a:spcPct val="15000"/>
            </a:spcAft>
            <a:buChar char="•"/>
          </a:pPr>
          <a:r>
            <a:rPr lang="en-US" sz="1000" kern="1200">
              <a:latin typeface="GE Inspira Serif" panose="02060502070000000003" pitchFamily="18" charset="0"/>
            </a:rPr>
            <a:t>Failure Analysis / Corrective Action / Verification of Failure </a:t>
          </a:r>
          <a:endParaRPr lang="en-US" sz="1000" kern="1200">
            <a:solidFill>
              <a:sysClr val="windowText" lastClr="000000">
                <a:hueOff val="0"/>
                <a:satOff val="0"/>
                <a:lumOff val="0"/>
                <a:alphaOff val="0"/>
              </a:sysClr>
            </a:solidFill>
            <a:latin typeface="GE Inspira Serif" panose="02060502070000000003" pitchFamily="18" charset="0"/>
            <a:ea typeface="+mn-ea"/>
            <a:cs typeface="+mn-cs"/>
          </a:endParaRPr>
        </a:p>
        <a:p>
          <a:pPr marL="57150" lvl="1" indent="-57150" algn="l" defTabSz="444500">
            <a:lnSpc>
              <a:spcPct val="90000"/>
            </a:lnSpc>
            <a:spcBef>
              <a:spcPct val="0"/>
            </a:spcBef>
            <a:spcAft>
              <a:spcPct val="15000"/>
            </a:spcAft>
            <a:buChar char="•"/>
          </a:pPr>
          <a:r>
            <a:rPr lang="en-US" sz="1000" kern="1200">
              <a:solidFill>
                <a:sysClr val="windowText" lastClr="000000">
                  <a:hueOff val="0"/>
                  <a:satOff val="0"/>
                  <a:lumOff val="0"/>
                  <a:alphaOff val="0"/>
                </a:sysClr>
              </a:solidFill>
              <a:latin typeface="GE Inspira Serif" panose="02060502070000000003" pitchFamily="18" charset="0"/>
              <a:ea typeface="+mn-ea"/>
              <a:cs typeface="+mn-cs"/>
            </a:rPr>
            <a:t>Recall / rework</a:t>
          </a:r>
        </a:p>
        <a:p>
          <a:pPr marL="57150" lvl="1" indent="-57150" algn="l" defTabSz="444500">
            <a:lnSpc>
              <a:spcPct val="90000"/>
            </a:lnSpc>
            <a:spcBef>
              <a:spcPct val="0"/>
            </a:spcBef>
            <a:spcAft>
              <a:spcPct val="15000"/>
            </a:spcAft>
            <a:buChar char="•"/>
          </a:pPr>
          <a:endParaRPr lang="en-US" sz="1000" kern="1200">
            <a:solidFill>
              <a:sysClr val="windowText" lastClr="000000">
                <a:hueOff val="0"/>
                <a:satOff val="0"/>
                <a:lumOff val="0"/>
                <a:alphaOff val="0"/>
              </a:sysClr>
            </a:solidFill>
            <a:latin typeface="GE Inspira Serif" panose="02060502070000000003" pitchFamily="18" charset="0"/>
            <a:ea typeface="+mn-ea"/>
            <a:cs typeface="+mn-cs"/>
          </a:endParaRPr>
        </a:p>
      </dsp:txBody>
      <dsp:txXfrm rot="-5400000">
        <a:off x="3744442" y="1757874"/>
        <a:ext cx="2661487" cy="821255"/>
      </dsp:txXfrm>
    </dsp:sp>
    <dsp:sp modelId="{7EB412F8-E841-4C8D-B41A-A1CD122E3262}">
      <dsp:nvSpPr>
        <dsp:cNvPr id="0" name=""/>
        <dsp:cNvSpPr/>
      </dsp:nvSpPr>
      <dsp:spPr>
        <a:xfrm>
          <a:off x="1045818" y="1633294"/>
          <a:ext cx="2698623" cy="1070415"/>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19050" rIns="38100" bIns="19050" numCol="1" spcCol="1270" anchor="ctr" anchorCtr="0">
          <a:noAutofit/>
        </a:bodyPr>
        <a:lstStyle/>
        <a:p>
          <a:pPr marL="0" lvl="0" indent="0" algn="ctr" defTabSz="444500">
            <a:lnSpc>
              <a:spcPct val="90000"/>
            </a:lnSpc>
            <a:spcBef>
              <a:spcPct val="0"/>
            </a:spcBef>
            <a:spcAft>
              <a:spcPct val="35000"/>
            </a:spcAft>
            <a:buNone/>
          </a:pPr>
          <a:r>
            <a:rPr lang="en-US" sz="1000" kern="1200">
              <a:solidFill>
                <a:sysClr val="window" lastClr="FFFFFF"/>
              </a:solidFill>
              <a:latin typeface="GE Inspira Serif" panose="02060502070000000003" pitchFamily="18" charset="0"/>
              <a:ea typeface="+mn-ea"/>
              <a:cs typeface="+mn-cs"/>
            </a:rPr>
            <a:t>COF found in the field</a:t>
          </a:r>
        </a:p>
      </dsp:txBody>
      <dsp:txXfrm>
        <a:off x="1098071" y="1685547"/>
        <a:ext cx="2594117" cy="965909"/>
      </dsp:txXfrm>
    </dsp:sp>
  </dsp:spTree>
</dsp:drawing>
</file>

<file path=xl/diagrams/layout1.xml><?xml version="1.0" encoding="utf-8"?>
<dgm:layoutDef xmlns:dgm="http://schemas.openxmlformats.org/drawingml/2006/diagram" xmlns:a="http://schemas.openxmlformats.org/drawingml/2006/main" uniqueId="urn:microsoft.com/office/officeart/2005/8/layout/vList5">
  <dgm:title val=""/>
  <dgm:desc val=""/>
  <dgm:catLst>
    <dgm:cat type="list" pri="15000"/>
    <dgm:cat type="convert" pri="2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animLvl val="lvl"/>
      <dgm:resizeHandles val="exact"/>
    </dgm:varLst>
    <dgm:choose name="Name1">
      <dgm:if name="Name2" func="var" arg="dir" op="equ" val="norm">
        <dgm:alg type="lin">
          <dgm:param type="linDir" val="fromT"/>
          <dgm:param type="nodeHorzAlign" val="l"/>
        </dgm:alg>
      </dgm:if>
      <dgm:else name="Name3">
        <dgm:alg type="lin">
          <dgm:param type="linDir" val="fromT"/>
          <dgm:param type="nodeHorzAlign" val="r"/>
        </dgm:alg>
      </dgm:else>
    </dgm:choose>
    <dgm:shape xmlns:r="http://schemas.openxmlformats.org/officeDocument/2006/relationships" r:blip="">
      <dgm:adjLst/>
    </dgm:shape>
    <dgm:presOf/>
    <dgm:constrLst>
      <dgm:constr type="h" for="ch" forName="linNode" refType="h"/>
      <dgm:constr type="w" for="ch" forName="linNode" refType="w"/>
      <dgm:constr type="h" for="ch" forName="sp" refType="h" fact="0.05"/>
      <dgm:constr type="primFontSz" for="des" forName="parentText" op="equ" val="65"/>
      <dgm:constr type="secFontSz" for="des" forName="descendantText" op="equ"/>
    </dgm:constrLst>
    <dgm:ruleLst/>
    <dgm:forEach name="Name4" axis="ch" ptType="node">
      <dgm:layoutNode name="linNode">
        <dgm:choose name="Name5">
          <dgm:if name="Name6" func="var" arg="dir" op="equ" val="norm">
            <dgm:alg type="lin">
              <dgm:param type="linDir" val="fromL"/>
            </dgm:alg>
          </dgm:if>
          <dgm:else name="Name7">
            <dgm:alg type="lin">
              <dgm:param type="linDir" val="fromR"/>
            </dgm:alg>
          </dgm:else>
        </dgm:choose>
        <dgm:shape xmlns:r="http://schemas.openxmlformats.org/officeDocument/2006/relationships" r:blip="">
          <dgm:adjLst/>
        </dgm:shape>
        <dgm:presOf/>
        <dgm:constrLst>
          <dgm:constr type="w" for="ch" forName="parentText" refType="w" fact="0.36"/>
          <dgm:constr type="w" for="ch" forName="descendantText" refType="w" fact="0.64"/>
          <dgm:constr type="h" for="ch" forName="parentText" refType="h"/>
          <dgm:constr type="h" for="ch" forName="descendantText" refType="h" refFor="ch" refForName="parentText" fact="0.8"/>
        </dgm:constrLst>
        <dgm:ruleLst/>
        <dgm:layoutNode name="parentText">
          <dgm:varLst>
            <dgm:chMax val="1"/>
            <dgm:bulletEnabled val="1"/>
          </dgm:varLst>
          <dgm:alg type="tx"/>
          <dgm:shape xmlns:r="http://schemas.openxmlformats.org/officeDocument/2006/relationships" type="roundRect" r:blip="" zOrderOff="3">
            <dgm:adjLst/>
          </dgm:shape>
          <dgm:presOf axis="self" ptType="node"/>
          <dgm:constrLst>
            <dgm:constr type="tMarg" refType="primFontSz" fact="0.15"/>
            <dgm:constr type="bMarg" refType="primFontSz" fact="0.15"/>
            <dgm:constr type="lMarg" refType="primFontSz" fact="0.3"/>
            <dgm:constr type="rMarg" refType="primFontSz" fact="0.3"/>
          </dgm:constrLst>
          <dgm:ruleLst>
            <dgm:rule type="primFontSz" val="5" fact="NaN" max="NaN"/>
          </dgm:ruleLst>
        </dgm:layoutNode>
        <dgm:choose name="Name8">
          <dgm:if name="Name9" axis="ch" ptType="node" func="cnt" op="gte" val="1">
            <dgm:layoutNode name="descendantText" styleLbl="alignAccFollowNode1">
              <dgm:varLst>
                <dgm:bulletEnabled val="1"/>
              </dgm:varLst>
              <dgm:alg type="tx">
                <dgm:param type="stBulletLvl" val="1"/>
                <dgm:param type="txAnchorVertCh" val="mid"/>
              </dgm:alg>
              <dgm:choose name="Name10">
                <dgm:if name="Name11" func="var" arg="dir" op="equ" val="norm">
                  <dgm:shape xmlns:r="http://schemas.openxmlformats.org/officeDocument/2006/relationships" rot="90" type="round2SameRect" r:blip="">
                    <dgm:adjLst/>
                  </dgm:shape>
                </dgm:if>
                <dgm:else name="Name12">
                  <dgm:shape xmlns:r="http://schemas.openxmlformats.org/officeDocument/2006/relationships" rot="-90" type="round2SameRect" r:blip="">
                    <dgm:adjLst/>
                  </dgm:shape>
                </dgm:else>
              </dgm:choose>
              <dgm:presOf axis="des" ptType="node"/>
              <dgm:constrLst>
                <dgm:constr type="secFontSz" val="65"/>
                <dgm:constr type="primFontSz" refType="secFontSz"/>
                <dgm:constr type="lMarg" refType="secFontSz" fact="0.3"/>
                <dgm:constr type="rMarg" refType="secFontSz" fact="0.3"/>
                <dgm:constr type="tMarg" refType="secFontSz" fact="0.15"/>
                <dgm:constr type="bMarg" refType="secFontSz" fact="0.15"/>
              </dgm:constrLst>
              <dgm:ruleLst>
                <dgm:rule type="secFontSz" val="5" fact="NaN" max="NaN"/>
              </dgm:ruleLst>
            </dgm:layoutNode>
          </dgm:if>
          <dgm:else name="Name13"/>
        </dgm:choose>
      </dgm:layoutNode>
      <dgm:forEach name="Name14" axis="followSib" ptType="sibTrans" cnt="1">
        <dgm:layoutNode name="sp">
          <dgm:alg type="sp"/>
          <dgm:shape xmlns:r="http://schemas.openxmlformats.org/officeDocument/2006/relationships" r:blip="">
            <dgm:adjLst/>
          </dgm:shape>
          <dgm:presOf/>
          <dgm:constrLst/>
          <dgm:ruleLst/>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cid:image004.png@01D240AA.E4058270" TargetMode="External"/><Relationship Id="rId1" Type="http://schemas.openxmlformats.org/officeDocument/2006/relationships/image" Target="../media/image1.png"/><Relationship Id="rId6" Type="http://schemas.openxmlformats.org/officeDocument/2006/relationships/image" Target="cid:image006.png@01D240AA.E4058270" TargetMode="External"/><Relationship Id="rId5" Type="http://schemas.openxmlformats.org/officeDocument/2006/relationships/image" Target="../media/image3.png"/><Relationship Id="rId4" Type="http://schemas.openxmlformats.org/officeDocument/2006/relationships/image" Target="cid:image005.png@01D240AA.E4058270"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8" Type="http://schemas.openxmlformats.org/officeDocument/2006/relationships/image" Target="../media/image15.gif"/><Relationship Id="rId13" Type="http://schemas.openxmlformats.org/officeDocument/2006/relationships/image" Target="../media/image20.png"/><Relationship Id="rId3" Type="http://schemas.openxmlformats.org/officeDocument/2006/relationships/image" Target="../media/image10.gif"/><Relationship Id="rId7" Type="http://schemas.openxmlformats.org/officeDocument/2006/relationships/image" Target="../media/image14.gif"/><Relationship Id="rId12" Type="http://schemas.openxmlformats.org/officeDocument/2006/relationships/image" Target="../media/image19.png"/><Relationship Id="rId2" Type="http://schemas.openxmlformats.org/officeDocument/2006/relationships/image" Target="../media/image9.gif"/><Relationship Id="rId1" Type="http://schemas.openxmlformats.org/officeDocument/2006/relationships/image" Target="../media/image8.png"/><Relationship Id="rId6" Type="http://schemas.openxmlformats.org/officeDocument/2006/relationships/image" Target="../media/image13.gif"/><Relationship Id="rId11" Type="http://schemas.openxmlformats.org/officeDocument/2006/relationships/image" Target="../media/image18.png"/><Relationship Id="rId5" Type="http://schemas.openxmlformats.org/officeDocument/2006/relationships/image" Target="../media/image12.gif"/><Relationship Id="rId15" Type="http://schemas.openxmlformats.org/officeDocument/2006/relationships/image" Target="../media/image22.png"/><Relationship Id="rId10" Type="http://schemas.openxmlformats.org/officeDocument/2006/relationships/image" Target="../media/image17.png"/><Relationship Id="rId4" Type="http://schemas.openxmlformats.org/officeDocument/2006/relationships/image" Target="../media/image11.gif"/><Relationship Id="rId9" Type="http://schemas.openxmlformats.org/officeDocument/2006/relationships/image" Target="../media/image16.png"/><Relationship Id="rId14" Type="http://schemas.openxmlformats.org/officeDocument/2006/relationships/image" Target="../media/image2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gif"/><Relationship Id="rId4" Type="http://schemas.openxmlformats.org/officeDocument/2006/relationships/image" Target="../media/image27.gif"/></Relationships>
</file>

<file path=xl/drawings/_rels/drawing7.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28.png"/><Relationship Id="rId4" Type="http://schemas.openxmlformats.org/officeDocument/2006/relationships/image" Target="../media/image31.png"/></Relationships>
</file>

<file path=xl/drawings/_rels/drawing8.xml.rels><?xml version="1.0" encoding="UTF-8" standalone="yes"?>
<Relationships xmlns="http://schemas.openxmlformats.org/package/2006/relationships"><Relationship Id="rId3" Type="http://schemas.openxmlformats.org/officeDocument/2006/relationships/image" Target="../media/image34.png"/><Relationship Id="rId2" Type="http://schemas.openxmlformats.org/officeDocument/2006/relationships/image" Target="../media/image33.png"/><Relationship Id="rId1" Type="http://schemas.openxmlformats.org/officeDocument/2006/relationships/image" Target="../media/image32.png"/><Relationship Id="rId4" Type="http://schemas.openxmlformats.org/officeDocument/2006/relationships/image" Target="../media/image35.png"/></Relationships>
</file>

<file path=xl/drawings/_rels/drawing9.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7.png"/><Relationship Id="rId1" Type="http://schemas.openxmlformats.org/officeDocument/2006/relationships/image" Target="../media/image36.png"/></Relationships>
</file>

<file path=xl/drawings/_rels/drawing11.xml.rels><?xml version="1.0" encoding="UTF-8" standalone="yes"?>
<Relationships xmlns="http://schemas.openxmlformats.org/package/2006/relationships"><Relationship Id="rId8" Type="http://schemas.openxmlformats.org/officeDocument/2006/relationships/image" Target="../media/image45.png"/><Relationship Id="rId3" Type="http://schemas.openxmlformats.org/officeDocument/2006/relationships/image" Target="../media/image40.png"/><Relationship Id="rId7" Type="http://schemas.openxmlformats.org/officeDocument/2006/relationships/image" Target="../media/image44.png"/><Relationship Id="rId2" Type="http://schemas.openxmlformats.org/officeDocument/2006/relationships/image" Target="../media/image39.png"/><Relationship Id="rId1" Type="http://schemas.openxmlformats.org/officeDocument/2006/relationships/image" Target="../media/image38.png"/><Relationship Id="rId6" Type="http://schemas.openxmlformats.org/officeDocument/2006/relationships/image" Target="../media/image43.png"/><Relationship Id="rId5" Type="http://schemas.openxmlformats.org/officeDocument/2006/relationships/image" Target="../media/image42.png"/><Relationship Id="rId4" Type="http://schemas.openxmlformats.org/officeDocument/2006/relationships/image" Target="../media/image41.png"/><Relationship Id="rId9" Type="http://schemas.openxmlformats.org/officeDocument/2006/relationships/image" Target="../media/image46.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48.png"/><Relationship Id="rId1"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2" Type="http://schemas.openxmlformats.org/officeDocument/2006/relationships/image" Target="../media/image50.png"/><Relationship Id="rId1" Type="http://schemas.openxmlformats.org/officeDocument/2006/relationships/image" Target="../media/image49.png"/></Relationships>
</file>

<file path=xl/drawings/_rels/drawing16.xml.rels><?xml version="1.0" encoding="UTF-8" standalone="yes"?>
<Relationships xmlns="http://schemas.openxmlformats.org/package/2006/relationships"><Relationship Id="rId3" Type="http://schemas.openxmlformats.org/officeDocument/2006/relationships/image" Target="../media/image53.emf"/><Relationship Id="rId2" Type="http://schemas.openxmlformats.org/officeDocument/2006/relationships/image" Target="../media/image52.png"/><Relationship Id="rId1" Type="http://schemas.openxmlformats.org/officeDocument/2006/relationships/image" Target="../media/image51.emf"/></Relationships>
</file>

<file path=xl/drawings/_rels/drawing1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4.x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4.emf"/></Relationships>
</file>

<file path=xl/drawings/_rels/drawing25.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image" Target="../media/image47.png"/></Relationships>
</file>

<file path=xl/drawings/drawing1.xml><?xml version="1.0" encoding="utf-8"?>
<xdr:wsDr xmlns:xdr="http://schemas.openxmlformats.org/drawingml/2006/spreadsheetDrawing" xmlns:a="http://schemas.openxmlformats.org/drawingml/2006/main">
  <xdr:twoCellAnchor>
    <xdr:from>
      <xdr:col>11</xdr:col>
      <xdr:colOff>588817</xdr:colOff>
      <xdr:row>1</xdr:row>
      <xdr:rowOff>245176</xdr:rowOff>
    </xdr:from>
    <xdr:to>
      <xdr:col>41</xdr:col>
      <xdr:colOff>173182</xdr:colOff>
      <xdr:row>30</xdr:row>
      <xdr:rowOff>-1</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294409</xdr:colOff>
      <xdr:row>19</xdr:row>
      <xdr:rowOff>204355</xdr:rowOff>
    </xdr:from>
    <xdr:to>
      <xdr:col>8</xdr:col>
      <xdr:colOff>502227</xdr:colOff>
      <xdr:row>31</xdr:row>
      <xdr:rowOff>90055</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6</xdr:row>
      <xdr:rowOff>0</xdr:rowOff>
    </xdr:from>
    <xdr:to>
      <xdr:col>2</xdr:col>
      <xdr:colOff>1047750</xdr:colOff>
      <xdr:row>7</xdr:row>
      <xdr:rowOff>95250</xdr:rowOff>
    </xdr:to>
    <xdr:pic>
      <xdr:nvPicPr>
        <xdr:cNvPr id="2" name="Picture 4" descr="Equation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609600" y="419100"/>
          <a:ext cx="21145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9</xdr:row>
      <xdr:rowOff>0</xdr:rowOff>
    </xdr:from>
    <xdr:to>
      <xdr:col>2</xdr:col>
      <xdr:colOff>800100</xdr:colOff>
      <xdr:row>11</xdr:row>
      <xdr:rowOff>161925</xdr:rowOff>
    </xdr:to>
    <xdr:pic>
      <xdr:nvPicPr>
        <xdr:cNvPr id="3" name="Picture 5" descr="Equation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3" r:link="rId4" cstate="print">
          <a:extLst>
            <a:ext uri="{28A0092B-C50C-407E-A947-70E740481C1C}">
              <a14:useLocalDpi xmlns:a14="http://schemas.microsoft.com/office/drawing/2010/main" val="0"/>
            </a:ext>
          </a:extLst>
        </a:blip>
        <a:srcRect/>
        <a:stretch>
          <a:fillRect/>
        </a:stretch>
      </xdr:blipFill>
      <xdr:spPr bwMode="auto">
        <a:xfrm>
          <a:off x="609600" y="1095375"/>
          <a:ext cx="1866900"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17</xdr:row>
      <xdr:rowOff>0</xdr:rowOff>
    </xdr:from>
    <xdr:to>
      <xdr:col>3</xdr:col>
      <xdr:colOff>19050</xdr:colOff>
      <xdr:row>18</xdr:row>
      <xdr:rowOff>95250</xdr:rowOff>
    </xdr:to>
    <xdr:pic>
      <xdr:nvPicPr>
        <xdr:cNvPr id="4" name="Picture 6" descr="Equation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5" r:link="rId6" cstate="print">
          <a:extLst>
            <a:ext uri="{28A0092B-C50C-407E-A947-70E740481C1C}">
              <a14:useLocalDpi xmlns:a14="http://schemas.microsoft.com/office/drawing/2010/main" val="0"/>
            </a:ext>
          </a:extLst>
        </a:blip>
        <a:srcRect/>
        <a:stretch>
          <a:fillRect/>
        </a:stretch>
      </xdr:blipFill>
      <xdr:spPr bwMode="auto">
        <a:xfrm>
          <a:off x="609600" y="3209925"/>
          <a:ext cx="250507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504825</xdr:colOff>
      <xdr:row>5</xdr:row>
      <xdr:rowOff>166687</xdr:rowOff>
    </xdr:from>
    <xdr:to>
      <xdr:col>21</xdr:col>
      <xdr:colOff>324716</xdr:colOff>
      <xdr:row>42</xdr:row>
      <xdr:rowOff>124664</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635919" y="1262062"/>
          <a:ext cx="11964266" cy="7006477"/>
        </a:xfrm>
        <a:prstGeom prst="rect">
          <a:avLst/>
        </a:prstGeom>
      </xdr:spPr>
    </xdr:pic>
    <xdr:clientData/>
  </xdr:twoCellAnchor>
  <xdr:twoCellAnchor editAs="oneCell">
    <xdr:from>
      <xdr:col>2</xdr:col>
      <xdr:colOff>1</xdr:colOff>
      <xdr:row>45</xdr:row>
      <xdr:rowOff>0</xdr:rowOff>
    </xdr:from>
    <xdr:to>
      <xdr:col>21</xdr:col>
      <xdr:colOff>138546</xdr:colOff>
      <xdr:row>87</xdr:row>
      <xdr:rowOff>189476</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606137" y="8537864"/>
          <a:ext cx="11655136" cy="8190476"/>
        </a:xfrm>
        <a:prstGeom prst="rect">
          <a:avLst/>
        </a:prstGeom>
      </xdr:spPr>
    </xdr:pic>
    <xdr:clientData/>
  </xdr:twoCellAnchor>
  <xdr:twoCellAnchor>
    <xdr:from>
      <xdr:col>22</xdr:col>
      <xdr:colOff>0</xdr:colOff>
      <xdr:row>66</xdr:row>
      <xdr:rowOff>112059</xdr:rowOff>
    </xdr:from>
    <xdr:to>
      <xdr:col>24</xdr:col>
      <xdr:colOff>145676</xdr:colOff>
      <xdr:row>70</xdr:row>
      <xdr:rowOff>67236</xdr:rowOff>
    </xdr:to>
    <xdr:sp macro="" textlink="">
      <xdr:nvSpPr>
        <xdr:cNvPr id="4" name="Oval 3">
          <a:extLst>
            <a:ext uri="{FF2B5EF4-FFF2-40B4-BE49-F238E27FC236}">
              <a16:creationId xmlns:a16="http://schemas.microsoft.com/office/drawing/2014/main" id="{00000000-0008-0000-0400-000004000000}"/>
            </a:ext>
          </a:extLst>
        </xdr:cNvPr>
        <xdr:cNvSpPr/>
      </xdr:nvSpPr>
      <xdr:spPr>
        <a:xfrm>
          <a:off x="12707471" y="12640235"/>
          <a:ext cx="1355911" cy="717177"/>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593913</xdr:colOff>
      <xdr:row>92</xdr:row>
      <xdr:rowOff>78442</xdr:rowOff>
    </xdr:from>
    <xdr:to>
      <xdr:col>21</xdr:col>
      <xdr:colOff>0</xdr:colOff>
      <xdr:row>135</xdr:row>
      <xdr:rowOff>77418</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a:stretch>
          <a:fillRect/>
        </a:stretch>
      </xdr:blipFill>
      <xdr:spPr>
        <a:xfrm>
          <a:off x="593913" y="17881533"/>
          <a:ext cx="11528814" cy="8190476"/>
        </a:xfrm>
        <a:prstGeom prst="rect">
          <a:avLst/>
        </a:prstGeom>
      </xdr:spPr>
    </xdr:pic>
    <xdr:clientData/>
  </xdr:twoCellAnchor>
  <xdr:twoCellAnchor>
    <xdr:from>
      <xdr:col>1</xdr:col>
      <xdr:colOff>560294</xdr:colOff>
      <xdr:row>92</xdr:row>
      <xdr:rowOff>22412</xdr:rowOff>
    </xdr:from>
    <xdr:to>
      <xdr:col>4</xdr:col>
      <xdr:colOff>100852</xdr:colOff>
      <xdr:row>95</xdr:row>
      <xdr:rowOff>168089</xdr:rowOff>
    </xdr:to>
    <xdr:sp macro="" textlink="">
      <xdr:nvSpPr>
        <xdr:cNvPr id="6" name="Oval 5">
          <a:extLst>
            <a:ext uri="{FF2B5EF4-FFF2-40B4-BE49-F238E27FC236}">
              <a16:creationId xmlns:a16="http://schemas.microsoft.com/office/drawing/2014/main" id="{00000000-0008-0000-0400-000006000000}"/>
            </a:ext>
          </a:extLst>
        </xdr:cNvPr>
        <xdr:cNvSpPr/>
      </xdr:nvSpPr>
      <xdr:spPr>
        <a:xfrm>
          <a:off x="560294" y="17537206"/>
          <a:ext cx="1355911" cy="717177"/>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9</xdr:col>
      <xdr:colOff>504152</xdr:colOff>
      <xdr:row>38</xdr:row>
      <xdr:rowOff>170720</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09600" y="2476500"/>
          <a:ext cx="5380952" cy="5838095"/>
        </a:xfrm>
        <a:prstGeom prst="rect">
          <a:avLst/>
        </a:prstGeom>
      </xdr:spPr>
    </xdr:pic>
    <xdr:clientData/>
  </xdr:twoCellAnchor>
  <xdr:twoCellAnchor>
    <xdr:from>
      <xdr:col>4</xdr:col>
      <xdr:colOff>600075</xdr:colOff>
      <xdr:row>21</xdr:row>
      <xdr:rowOff>142875</xdr:rowOff>
    </xdr:from>
    <xdr:to>
      <xdr:col>7</xdr:col>
      <xdr:colOff>581025</xdr:colOff>
      <xdr:row>24</xdr:row>
      <xdr:rowOff>76200</xdr:rowOff>
    </xdr:to>
    <xdr:sp macro="" textlink="">
      <xdr:nvSpPr>
        <xdr:cNvPr id="3" name="Oval 2">
          <a:extLst>
            <a:ext uri="{FF2B5EF4-FFF2-40B4-BE49-F238E27FC236}">
              <a16:creationId xmlns:a16="http://schemas.microsoft.com/office/drawing/2014/main" id="{00000000-0008-0000-0600-000003000000}"/>
            </a:ext>
          </a:extLst>
        </xdr:cNvPr>
        <xdr:cNvSpPr/>
      </xdr:nvSpPr>
      <xdr:spPr>
        <a:xfrm>
          <a:off x="3038475" y="4143375"/>
          <a:ext cx="1809750" cy="504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13</xdr:row>
      <xdr:rowOff>0</xdr:rowOff>
    </xdr:from>
    <xdr:to>
      <xdr:col>3</xdr:col>
      <xdr:colOff>590550</xdr:colOff>
      <xdr:row>15</xdr:row>
      <xdr:rowOff>123825</xdr:rowOff>
    </xdr:to>
    <xdr:sp macro="" textlink="">
      <xdr:nvSpPr>
        <xdr:cNvPr id="4" name="Oval 3">
          <a:extLst>
            <a:ext uri="{FF2B5EF4-FFF2-40B4-BE49-F238E27FC236}">
              <a16:creationId xmlns:a16="http://schemas.microsoft.com/office/drawing/2014/main" id="{00000000-0008-0000-0600-000004000000}"/>
            </a:ext>
          </a:extLst>
        </xdr:cNvPr>
        <xdr:cNvSpPr/>
      </xdr:nvSpPr>
      <xdr:spPr>
        <a:xfrm>
          <a:off x="609600" y="2476500"/>
          <a:ext cx="1809750" cy="5048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428625</xdr:colOff>
      <xdr:row>32</xdr:row>
      <xdr:rowOff>104775</xdr:rowOff>
    </xdr:from>
    <xdr:to>
      <xdr:col>7</xdr:col>
      <xdr:colOff>409575</xdr:colOff>
      <xdr:row>34</xdr:row>
      <xdr:rowOff>85725</xdr:rowOff>
    </xdr:to>
    <xdr:sp macro="" textlink="">
      <xdr:nvSpPr>
        <xdr:cNvPr id="5" name="Oval 4">
          <a:extLst>
            <a:ext uri="{FF2B5EF4-FFF2-40B4-BE49-F238E27FC236}">
              <a16:creationId xmlns:a16="http://schemas.microsoft.com/office/drawing/2014/main" id="{00000000-0008-0000-0600-000005000000}"/>
            </a:ext>
          </a:extLst>
        </xdr:cNvPr>
        <xdr:cNvSpPr/>
      </xdr:nvSpPr>
      <xdr:spPr>
        <a:xfrm>
          <a:off x="2867025" y="6200775"/>
          <a:ext cx="1809750" cy="361950"/>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438150</xdr:colOff>
      <xdr:row>2</xdr:row>
      <xdr:rowOff>104775</xdr:rowOff>
    </xdr:to>
    <xdr:pic>
      <xdr:nvPicPr>
        <xdr:cNvPr id="2" name="Picture 1" descr="http://help.synthesisplatform.net/weibull_alta11/images/weibullalta32.png">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90500"/>
          <a:ext cx="104775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xdr:row>
      <xdr:rowOff>0</xdr:rowOff>
    </xdr:from>
    <xdr:to>
      <xdr:col>1</xdr:col>
      <xdr:colOff>142875</xdr:colOff>
      <xdr:row>4</xdr:row>
      <xdr:rowOff>238125</xdr:rowOff>
    </xdr:to>
    <xdr:pic>
      <xdr:nvPicPr>
        <xdr:cNvPr id="3" name="Picture 2" descr="http://help.synthesisplatform.net/weibull_alta11/images/topleftheader.gif">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771525"/>
          <a:ext cx="142875"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142875</xdr:colOff>
      <xdr:row>4</xdr:row>
      <xdr:rowOff>238125</xdr:rowOff>
    </xdr:to>
    <xdr:pic>
      <xdr:nvPicPr>
        <xdr:cNvPr id="4" name="Picture 3" descr="http://help.synthesisplatform.net/weibull_alta11/images/toprightheader.gif">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28800" y="771525"/>
          <a:ext cx="142875"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xdr:row>
      <xdr:rowOff>57150</xdr:rowOff>
    </xdr:from>
    <xdr:to>
      <xdr:col>1</xdr:col>
      <xdr:colOff>142875</xdr:colOff>
      <xdr:row>5</xdr:row>
      <xdr:rowOff>76200</xdr:rowOff>
    </xdr:to>
    <xdr:pic>
      <xdr:nvPicPr>
        <xdr:cNvPr id="5" name="Picture 4" descr="http://help.synthesisplatform.net/weibull_alta11/images/left.gif">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9600" y="1476375"/>
          <a:ext cx="14287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57150</xdr:rowOff>
    </xdr:from>
    <xdr:to>
      <xdr:col>3</xdr:col>
      <xdr:colOff>142875</xdr:colOff>
      <xdr:row>5</xdr:row>
      <xdr:rowOff>76200</xdr:rowOff>
    </xdr:to>
    <xdr:pic>
      <xdr:nvPicPr>
        <xdr:cNvPr id="6" name="Picture 5" descr="http://help.synthesisplatform.net/weibull_alta11/images/right.gif">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828800" y="1476375"/>
          <a:ext cx="14287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xdr:row>
      <xdr:rowOff>0</xdr:rowOff>
    </xdr:from>
    <xdr:to>
      <xdr:col>1</xdr:col>
      <xdr:colOff>142875</xdr:colOff>
      <xdr:row>6</xdr:row>
      <xdr:rowOff>142875</xdr:rowOff>
    </xdr:to>
    <xdr:pic>
      <xdr:nvPicPr>
        <xdr:cNvPr id="7" name="Picture 6" descr="http://help.synthesisplatform.net/weibull_alta11/images/bottomleft.gif">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9600" y="2371725"/>
          <a:ext cx="1428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6</xdr:row>
      <xdr:rowOff>0</xdr:rowOff>
    </xdr:from>
    <xdr:to>
      <xdr:col>2</xdr:col>
      <xdr:colOff>19050</xdr:colOff>
      <xdr:row>6</xdr:row>
      <xdr:rowOff>142875</xdr:rowOff>
    </xdr:to>
    <xdr:pic>
      <xdr:nvPicPr>
        <xdr:cNvPr id="8" name="Picture 7" descr="http://help.synthesisplatform.net/weibull_alta11/images/bottom.gif">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219200" y="2371725"/>
          <a:ext cx="1905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142875</xdr:colOff>
      <xdr:row>6</xdr:row>
      <xdr:rowOff>142875</xdr:rowOff>
    </xdr:to>
    <xdr:pic>
      <xdr:nvPicPr>
        <xdr:cNvPr id="9" name="Picture 8" descr="http://help.synthesisplatform.net/weibull_alta11/images/bottomright.gif">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828800" y="2371725"/>
          <a:ext cx="1428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xdr:row>
      <xdr:rowOff>0</xdr:rowOff>
    </xdr:from>
    <xdr:to>
      <xdr:col>1</xdr:col>
      <xdr:colOff>228600</xdr:colOff>
      <xdr:row>12</xdr:row>
      <xdr:rowOff>28575</xdr:rowOff>
    </xdr:to>
    <xdr:pic>
      <xdr:nvPicPr>
        <xdr:cNvPr id="10" name="Picture 9" descr="http://help.synthesisplatform.net/weibull_alta11/images/icon_monte_carlo.png">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09600" y="3448050"/>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xdr:row>
      <xdr:rowOff>38100</xdr:rowOff>
    </xdr:from>
    <xdr:to>
      <xdr:col>7</xdr:col>
      <xdr:colOff>47625</xdr:colOff>
      <xdr:row>92</xdr:row>
      <xdr:rowOff>95250</xdr:rowOff>
    </xdr:to>
    <xdr:pic>
      <xdr:nvPicPr>
        <xdr:cNvPr id="11" name="Picture 10" descr="http://help.synthesisplatform.net/weibull_alta11/images/alta_monte_carlo_stress_columns.png">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16735425"/>
          <a:ext cx="4314825" cy="2914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37</xdr:row>
      <xdr:rowOff>0</xdr:rowOff>
    </xdr:from>
    <xdr:to>
      <xdr:col>1</xdr:col>
      <xdr:colOff>152400</xdr:colOff>
      <xdr:row>37</xdr:row>
      <xdr:rowOff>152400</xdr:rowOff>
    </xdr:to>
    <xdr:pic>
      <xdr:nvPicPr>
        <xdr:cNvPr id="12" name="Picture 11" descr="http://help.synthesisplatform.net/weibull_alta11/images/icon_stressprofile_sm.png">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9600" y="8610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123825</xdr:colOff>
      <xdr:row>77</xdr:row>
      <xdr:rowOff>47625</xdr:rowOff>
    </xdr:from>
    <xdr:to>
      <xdr:col>13</xdr:col>
      <xdr:colOff>495300</xdr:colOff>
      <xdr:row>92</xdr:row>
      <xdr:rowOff>66675</xdr:rowOff>
    </xdr:to>
    <xdr:pic>
      <xdr:nvPicPr>
        <xdr:cNvPr id="13" name="Picture 12" descr="http://help.synthesisplatform.net/weibull_alta11/images/alta_monte_carlo_stress_profile.png">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391025" y="16744950"/>
          <a:ext cx="4029075" cy="287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66674</xdr:colOff>
      <xdr:row>55</xdr:row>
      <xdr:rowOff>161925</xdr:rowOff>
    </xdr:from>
    <xdr:to>
      <xdr:col>18</xdr:col>
      <xdr:colOff>428625</xdr:colOff>
      <xdr:row>59</xdr:row>
      <xdr:rowOff>19050</xdr:rowOff>
    </xdr:to>
    <xdr:pic>
      <xdr:nvPicPr>
        <xdr:cNvPr id="14" name="Picture 13" descr="http://help.synthesisplatform.net/weibull_alta11/images/monte_carlo_weibull_random_censoring.png">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820274" y="12515850"/>
          <a:ext cx="1581151"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65</xdr:row>
      <xdr:rowOff>0</xdr:rowOff>
    </xdr:from>
    <xdr:to>
      <xdr:col>5</xdr:col>
      <xdr:colOff>238125</xdr:colOff>
      <xdr:row>69</xdr:row>
      <xdr:rowOff>19050</xdr:rowOff>
    </xdr:to>
    <xdr:pic>
      <xdr:nvPicPr>
        <xdr:cNvPr id="15" name="Picture 14" descr="http://help.synthesisplatform.net/weibull_alta11/images/alta_monte_carlo_table.png">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9600" y="14258925"/>
          <a:ext cx="2676525"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542926</xdr:colOff>
      <xdr:row>70</xdr:row>
      <xdr:rowOff>9525</xdr:rowOff>
    </xdr:from>
    <xdr:to>
      <xdr:col>5</xdr:col>
      <xdr:colOff>276226</xdr:colOff>
      <xdr:row>75</xdr:row>
      <xdr:rowOff>66675</xdr:rowOff>
    </xdr:to>
    <xdr:pic>
      <xdr:nvPicPr>
        <xdr:cNvPr id="16" name="Picture 15" descr="http://help.synthesisplatform.net/weibull_alta11/images/monte_carlo_specify_data_sheet.png">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542926" y="15373350"/>
          <a:ext cx="27813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0</xdr:colOff>
      <xdr:row>0</xdr:row>
      <xdr:rowOff>190499</xdr:rowOff>
    </xdr:from>
    <xdr:to>
      <xdr:col>6</xdr:col>
      <xdr:colOff>542925</xdr:colOff>
      <xdr:row>5</xdr:row>
      <xdr:rowOff>76199</xdr:rowOff>
    </xdr:to>
    <xdr:pic>
      <xdr:nvPicPr>
        <xdr:cNvPr id="2" name="Picture 1" descr="http://www.weibull.com/hotwire/issue138/rb138-1.gif">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9200" y="190499"/>
          <a:ext cx="4638675" cy="885825"/>
        </a:xfrm>
        <a:prstGeom prst="rect">
          <a:avLst/>
        </a:prstGeom>
        <a:noFill/>
        <a:ln w="25400">
          <a:solidFill>
            <a:srgbClr val="0000FF"/>
          </a:solidFill>
        </a:ln>
      </xdr:spPr>
    </xdr:pic>
    <xdr:clientData/>
  </xdr:twoCellAnchor>
  <xdr:twoCellAnchor editAs="oneCell">
    <xdr:from>
      <xdr:col>2</xdr:col>
      <xdr:colOff>0</xdr:colOff>
      <xdr:row>19</xdr:row>
      <xdr:rowOff>0</xdr:rowOff>
    </xdr:from>
    <xdr:to>
      <xdr:col>7</xdr:col>
      <xdr:colOff>28575</xdr:colOff>
      <xdr:row>36</xdr:row>
      <xdr:rowOff>161925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1219200" y="4048125"/>
          <a:ext cx="4733925" cy="3562350"/>
        </a:xfrm>
        <a:prstGeom prst="rect">
          <a:avLst/>
        </a:prstGeom>
      </xdr:spPr>
    </xdr:pic>
    <xdr:clientData/>
  </xdr:twoCellAnchor>
  <xdr:twoCellAnchor editAs="oneCell">
    <xdr:from>
      <xdr:col>7</xdr:col>
      <xdr:colOff>314326</xdr:colOff>
      <xdr:row>19</xdr:row>
      <xdr:rowOff>38100</xdr:rowOff>
    </xdr:from>
    <xdr:to>
      <xdr:col>10</xdr:col>
      <xdr:colOff>541566</xdr:colOff>
      <xdr:row>36</xdr:row>
      <xdr:rowOff>161925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3"/>
        <a:stretch>
          <a:fillRect/>
        </a:stretch>
      </xdr:blipFill>
      <xdr:spPr>
        <a:xfrm>
          <a:off x="6238876" y="4086225"/>
          <a:ext cx="5276850" cy="3524250"/>
        </a:xfrm>
        <a:prstGeom prst="rect">
          <a:avLst/>
        </a:prstGeom>
      </xdr:spPr>
    </xdr:pic>
    <xdr:clientData/>
  </xdr:twoCellAnchor>
  <xdr:twoCellAnchor editAs="oneCell">
    <xdr:from>
      <xdr:col>5</xdr:col>
      <xdr:colOff>440872</xdr:colOff>
      <xdr:row>38</xdr:row>
      <xdr:rowOff>1361</xdr:rowOff>
    </xdr:from>
    <xdr:to>
      <xdr:col>7</xdr:col>
      <xdr:colOff>650423</xdr:colOff>
      <xdr:row>42</xdr:row>
      <xdr:rowOff>125185</xdr:rowOff>
    </xdr:to>
    <xdr:pic>
      <xdr:nvPicPr>
        <xdr:cNvPr id="5" name="Picture 4" descr="http://www.weibull.com/hotwire/issue138/rb138-8.gif">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931229" y="7757432"/>
          <a:ext cx="1651908" cy="940253"/>
        </a:xfrm>
        <a:prstGeom prst="rect">
          <a:avLst/>
        </a:prstGeom>
        <a:solidFill>
          <a:srgbClr val="0000FF"/>
        </a:solidFill>
        <a:ln w="25400">
          <a:solidFill>
            <a:srgbClr val="0000FF"/>
          </a:solidFill>
        </a:ln>
      </xdr:spPr>
    </xdr:pic>
    <xdr:clientData/>
  </xdr:twoCellAnchor>
  <xdr:twoCellAnchor editAs="oneCell">
    <xdr:from>
      <xdr:col>10</xdr:col>
      <xdr:colOff>219076</xdr:colOff>
      <xdr:row>37</xdr:row>
      <xdr:rowOff>142876</xdr:rowOff>
    </xdr:from>
    <xdr:to>
      <xdr:col>12</xdr:col>
      <xdr:colOff>151040</xdr:colOff>
      <xdr:row>42</xdr:row>
      <xdr:rowOff>0</xdr:rowOff>
    </xdr:to>
    <xdr:pic>
      <xdr:nvPicPr>
        <xdr:cNvPr id="6" name="Picture 5" descr="http://www.weibull.com/hotwire/issue138/rb138-8.gif">
          <a:extLst>
            <a:ext uri="{FF2B5EF4-FFF2-40B4-BE49-F238E27FC236}">
              <a16:creationId xmlns:a16="http://schemas.microsoft.com/office/drawing/2014/main" id="{00000000-0008-0000-0800-000006000000}"/>
            </a:ext>
          </a:extLst>
        </xdr:cNvPr>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610851" y="7791451"/>
          <a:ext cx="1504950" cy="857250"/>
        </a:xfrm>
        <a:prstGeom prst="rect">
          <a:avLst/>
        </a:prstGeom>
        <a:solidFill>
          <a:srgbClr val="0000FF"/>
        </a:solidFill>
        <a:ln w="25400">
          <a:solidFill>
            <a:srgbClr val="0000FF"/>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11</xdr:col>
      <xdr:colOff>0</xdr:colOff>
      <xdr:row>18</xdr:row>
      <xdr:rowOff>0</xdr:rowOff>
    </xdr:from>
    <xdr:to>
      <xdr:col>11</xdr:col>
      <xdr:colOff>228600</xdr:colOff>
      <xdr:row>19</xdr:row>
      <xdr:rowOff>38100</xdr:rowOff>
    </xdr:to>
    <xdr:pic>
      <xdr:nvPicPr>
        <xdr:cNvPr id="2" name="Picture 2" descr="Icon">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05600" y="4162425"/>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0</xdr:colOff>
      <xdr:row>20</xdr:row>
      <xdr:rowOff>0</xdr:rowOff>
    </xdr:from>
    <xdr:to>
      <xdr:col>20</xdr:col>
      <xdr:colOff>342900</xdr:colOff>
      <xdr:row>42</xdr:row>
      <xdr:rowOff>66675</xdr:rowOff>
    </xdr:to>
    <xdr:pic>
      <xdr:nvPicPr>
        <xdr:cNvPr id="3" name="Picture 3" descr="Weibull++ Monte Carlo Window, Main Tab and Censoring Tab">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05600" y="4581525"/>
          <a:ext cx="5829300" cy="569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342900</xdr:colOff>
      <xdr:row>19</xdr:row>
      <xdr:rowOff>47625</xdr:rowOff>
    </xdr:from>
    <xdr:to>
      <xdr:col>9</xdr:col>
      <xdr:colOff>333375</xdr:colOff>
      <xdr:row>36</xdr:row>
      <xdr:rowOff>123825</xdr:rowOff>
    </xdr:to>
    <xdr:pic>
      <xdr:nvPicPr>
        <xdr:cNvPr id="4" name="Picture 4" descr="Weibull++ Monte Carlo Window, Settings Tab">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52500" y="4400550"/>
          <a:ext cx="4867275" cy="388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0</xdr:colOff>
      <xdr:row>36</xdr:row>
      <xdr:rowOff>0</xdr:rowOff>
    </xdr:from>
    <xdr:to>
      <xdr:col>23</xdr:col>
      <xdr:colOff>304800</xdr:colOff>
      <xdr:row>54</xdr:row>
      <xdr:rowOff>581025</xdr:rowOff>
    </xdr:to>
    <xdr:pic>
      <xdr:nvPicPr>
        <xdr:cNvPr id="5" name="Picture 5" descr="Overlay Plot">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705600" y="8162925"/>
          <a:ext cx="7620000" cy="5876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272143</xdr:colOff>
      <xdr:row>6</xdr:row>
      <xdr:rowOff>231322</xdr:rowOff>
    </xdr:from>
    <xdr:to>
      <xdr:col>3</xdr:col>
      <xdr:colOff>1317166</xdr:colOff>
      <xdr:row>24</xdr:row>
      <xdr:rowOff>151706</xdr:rowOff>
    </xdr:to>
    <xdr:pic>
      <xdr:nvPicPr>
        <xdr:cNvPr id="2" name="Picture 1">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stretch>
          <a:fillRect/>
        </a:stretch>
      </xdr:blipFill>
      <xdr:spPr>
        <a:xfrm>
          <a:off x="272143" y="1700893"/>
          <a:ext cx="5721078" cy="4329098"/>
        </a:xfrm>
        <a:prstGeom prst="rect">
          <a:avLst/>
        </a:prstGeom>
      </xdr:spPr>
    </xdr:pic>
    <xdr:clientData/>
  </xdr:twoCellAnchor>
  <xdr:twoCellAnchor editAs="oneCell">
    <xdr:from>
      <xdr:col>1</xdr:col>
      <xdr:colOff>163286</xdr:colOff>
      <xdr:row>31</xdr:row>
      <xdr:rowOff>190501</xdr:rowOff>
    </xdr:from>
    <xdr:to>
      <xdr:col>3</xdr:col>
      <xdr:colOff>1208309</xdr:colOff>
      <xdr:row>49</xdr:row>
      <xdr:rowOff>116176</xdr:rowOff>
    </xdr:to>
    <xdr:pic>
      <xdr:nvPicPr>
        <xdr:cNvPr id="3" name="Picture 2">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2"/>
        <a:stretch>
          <a:fillRect/>
        </a:stretch>
      </xdr:blipFill>
      <xdr:spPr>
        <a:xfrm>
          <a:off x="163286" y="8763001"/>
          <a:ext cx="5721078" cy="4334389"/>
        </a:xfrm>
        <a:prstGeom prst="rect">
          <a:avLst/>
        </a:prstGeom>
      </xdr:spPr>
    </xdr:pic>
    <xdr:clientData/>
  </xdr:twoCellAnchor>
  <xdr:twoCellAnchor editAs="oneCell">
    <xdr:from>
      <xdr:col>6</xdr:col>
      <xdr:colOff>550591</xdr:colOff>
      <xdr:row>50</xdr:row>
      <xdr:rowOff>148302</xdr:rowOff>
    </xdr:from>
    <xdr:to>
      <xdr:col>14</xdr:col>
      <xdr:colOff>325771</xdr:colOff>
      <xdr:row>64</xdr:row>
      <xdr:rowOff>37176</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a:stretch>
          <a:fillRect/>
        </a:stretch>
      </xdr:blipFill>
      <xdr:spPr>
        <a:xfrm>
          <a:off x="5806150" y="11914478"/>
          <a:ext cx="4861050" cy="3399518"/>
        </a:xfrm>
        <a:prstGeom prst="rect">
          <a:avLst/>
        </a:prstGeom>
      </xdr:spPr>
    </xdr:pic>
    <xdr:clientData/>
  </xdr:twoCellAnchor>
  <xdr:twoCellAnchor editAs="oneCell">
    <xdr:from>
      <xdr:col>6</xdr:col>
      <xdr:colOff>540585</xdr:colOff>
      <xdr:row>64</xdr:row>
      <xdr:rowOff>122422</xdr:rowOff>
    </xdr:from>
    <xdr:to>
      <xdr:col>14</xdr:col>
      <xdr:colOff>353785</xdr:colOff>
      <xdr:row>73</xdr:row>
      <xdr:rowOff>6806</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4"/>
        <a:stretch>
          <a:fillRect/>
        </a:stretch>
      </xdr:blipFill>
      <xdr:spPr>
        <a:xfrm>
          <a:off x="9077366" y="15493391"/>
          <a:ext cx="4915879" cy="249695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333374</xdr:colOff>
      <xdr:row>8</xdr:row>
      <xdr:rowOff>152400</xdr:rowOff>
    </xdr:from>
    <xdr:to>
      <xdr:col>6</xdr:col>
      <xdr:colOff>0</xdr:colOff>
      <xdr:row>23</xdr:row>
      <xdr:rowOff>142875</xdr:rowOff>
    </xdr:to>
    <xdr:graphicFrame macro="">
      <xdr:nvGraphicFramePr>
        <xdr:cNvPr id="2" name="Diagram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3</xdr:col>
      <xdr:colOff>429006</xdr:colOff>
      <xdr:row>73</xdr:row>
      <xdr:rowOff>10555</xdr:rowOff>
    </xdr:from>
    <xdr:to>
      <xdr:col>5</xdr:col>
      <xdr:colOff>342900</xdr:colOff>
      <xdr:row>76</xdr:row>
      <xdr:rowOff>95250</xdr:rowOff>
    </xdr:to>
    <xdr:grpSp>
      <xdr:nvGrpSpPr>
        <xdr:cNvPr id="8" name="Group 7">
          <a:extLst>
            <a:ext uri="{FF2B5EF4-FFF2-40B4-BE49-F238E27FC236}">
              <a16:creationId xmlns:a16="http://schemas.microsoft.com/office/drawing/2014/main" id="{00000000-0008-0000-0B00-000008000000}"/>
            </a:ext>
          </a:extLst>
        </xdr:cNvPr>
        <xdr:cNvGrpSpPr/>
      </xdr:nvGrpSpPr>
      <xdr:grpSpPr>
        <a:xfrm>
          <a:off x="3191256" y="14259955"/>
          <a:ext cx="4466844" cy="627620"/>
          <a:chOff x="1933956" y="30035"/>
          <a:chExt cx="3438144" cy="953530"/>
        </a:xfrm>
      </xdr:grpSpPr>
      <xdr:sp macro="" textlink="">
        <xdr:nvSpPr>
          <xdr:cNvPr id="24" name="Rectangle: Top Corners Rounded 23">
            <a:extLst>
              <a:ext uri="{FF2B5EF4-FFF2-40B4-BE49-F238E27FC236}">
                <a16:creationId xmlns:a16="http://schemas.microsoft.com/office/drawing/2014/main" id="{00000000-0008-0000-0B00-000018000000}"/>
              </a:ext>
            </a:extLst>
          </xdr:cNvPr>
          <xdr:cNvSpPr/>
        </xdr:nvSpPr>
        <xdr:spPr>
          <a:xfrm rot="5400000">
            <a:off x="3176263" y="-1212272"/>
            <a:ext cx="953530" cy="3438144"/>
          </a:xfrm>
          <a:prstGeom prst="round2SameRect">
            <a:avLst/>
          </a:prstGeom>
        </xdr:spPr>
        <xdr:style>
          <a:lnRef idx="2">
            <a:schemeClr val="accent1">
              <a:alpha val="90000"/>
              <a:tint val="40000"/>
              <a:hueOff val="0"/>
              <a:satOff val="0"/>
              <a:lumOff val="0"/>
              <a:alphaOff val="0"/>
            </a:schemeClr>
          </a:lnRef>
          <a:fillRef idx="1">
            <a:schemeClr val="accent1">
              <a:alpha val="90000"/>
              <a:tint val="40000"/>
              <a:hueOff val="0"/>
              <a:satOff val="0"/>
              <a:lumOff val="0"/>
              <a:alphaOff val="0"/>
            </a:schemeClr>
          </a:fillRef>
          <a:effectRef idx="0">
            <a:schemeClr val="accent1">
              <a:alpha val="90000"/>
              <a:tint val="40000"/>
              <a:hueOff val="0"/>
              <a:satOff val="0"/>
              <a:lumOff val="0"/>
              <a:alphaOff val="0"/>
            </a:schemeClr>
          </a:effectRef>
          <a:fontRef idx="minor">
            <a:schemeClr val="dk1">
              <a:hueOff val="0"/>
              <a:satOff val="0"/>
              <a:lumOff val="0"/>
              <a:alphaOff val="0"/>
            </a:schemeClr>
          </a:fontRef>
        </xdr:style>
      </xdr:sp>
      <xdr:sp macro="" textlink="">
        <xdr:nvSpPr>
          <xdr:cNvPr id="25" name="Rectangle: Top Corners Rounded 4">
            <a:extLst>
              <a:ext uri="{FF2B5EF4-FFF2-40B4-BE49-F238E27FC236}">
                <a16:creationId xmlns:a16="http://schemas.microsoft.com/office/drawing/2014/main" id="{00000000-0008-0000-0B00-000019000000}"/>
              </a:ext>
            </a:extLst>
          </xdr:cNvPr>
          <xdr:cNvSpPr txBox="1"/>
        </xdr:nvSpPr>
        <xdr:spPr>
          <a:xfrm>
            <a:off x="1933958" y="76581"/>
            <a:ext cx="3391597" cy="860436"/>
          </a:xfrm>
          <a:prstGeom prst="rect">
            <a:avLst/>
          </a:prstGeom>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247650" tIns="123825" rIns="247650" bIns="123825" numCol="1" spcCol="1270" anchor="ctr" anchorCtr="0">
            <a:noAutofit/>
          </a:bodyPr>
          <a:lstStyle/>
          <a:p>
            <a:pPr marL="57150" lvl="1" indent="-57150" algn="l" defTabSz="444500">
              <a:lnSpc>
                <a:spcPct val="90000"/>
              </a:lnSpc>
              <a:spcBef>
                <a:spcPct val="0"/>
              </a:spcBef>
              <a:spcAft>
                <a:spcPct val="15000"/>
              </a:spcAft>
              <a:buChar char="•"/>
            </a:pPr>
            <a:r>
              <a:rPr lang="en-US" sz="1000" kern="1200">
                <a:latin typeface="GE Inspira Serif" panose="02060502070000000003" pitchFamily="18" charset="0"/>
              </a:rPr>
              <a:t>Equipment</a:t>
            </a:r>
            <a:r>
              <a:rPr lang="en-US" sz="1000" kern="1200" baseline="0">
                <a:latin typeface="GE Inspira Serif" panose="02060502070000000003" pitchFamily="18" charset="0"/>
              </a:rPr>
              <a:t> and Consumables { Lab services costs or amortized capital}</a:t>
            </a:r>
          </a:p>
        </xdr:txBody>
      </xdr:sp>
    </xdr:grpSp>
    <xdr:clientData/>
  </xdr:twoCellAnchor>
  <xdr:twoCellAnchor>
    <xdr:from>
      <xdr:col>2</xdr:col>
      <xdr:colOff>0</xdr:colOff>
      <xdr:row>73</xdr:row>
      <xdr:rowOff>0</xdr:rowOff>
    </xdr:from>
    <xdr:to>
      <xdr:col>3</xdr:col>
      <xdr:colOff>438150</xdr:colOff>
      <xdr:row>76</xdr:row>
      <xdr:rowOff>76200</xdr:rowOff>
    </xdr:to>
    <xdr:grpSp>
      <xdr:nvGrpSpPr>
        <xdr:cNvPr id="9" name="Group 8">
          <a:extLst>
            <a:ext uri="{FF2B5EF4-FFF2-40B4-BE49-F238E27FC236}">
              <a16:creationId xmlns:a16="http://schemas.microsoft.com/office/drawing/2014/main" id="{00000000-0008-0000-0B00-000009000000}"/>
            </a:ext>
          </a:extLst>
        </xdr:cNvPr>
        <xdr:cNvGrpSpPr/>
      </xdr:nvGrpSpPr>
      <xdr:grpSpPr>
        <a:xfrm>
          <a:off x="1219200" y="14249400"/>
          <a:ext cx="1981200" cy="619125"/>
          <a:chOff x="0" y="430"/>
          <a:chExt cx="1933956" cy="1012738"/>
        </a:xfrm>
      </xdr:grpSpPr>
      <xdr:sp macro="" textlink="">
        <xdr:nvSpPr>
          <xdr:cNvPr id="22" name="Rectangle: Rounded Corners 21">
            <a:extLst>
              <a:ext uri="{FF2B5EF4-FFF2-40B4-BE49-F238E27FC236}">
                <a16:creationId xmlns:a16="http://schemas.microsoft.com/office/drawing/2014/main" id="{00000000-0008-0000-0B00-000016000000}"/>
              </a:ext>
            </a:extLst>
          </xdr:cNvPr>
          <xdr:cNvSpPr/>
        </xdr:nvSpPr>
        <xdr:spPr>
          <a:xfrm>
            <a:off x="0" y="430"/>
            <a:ext cx="1933956" cy="1012738"/>
          </a:xfrm>
          <a:prstGeom prst="roundRect">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sp macro="" textlink="">
        <xdr:nvSpPr>
          <xdr:cNvPr id="23" name="Rectangle: Rounded Corners 6">
            <a:extLst>
              <a:ext uri="{FF2B5EF4-FFF2-40B4-BE49-F238E27FC236}">
                <a16:creationId xmlns:a16="http://schemas.microsoft.com/office/drawing/2014/main" id="{00000000-0008-0000-0B00-000017000000}"/>
              </a:ext>
            </a:extLst>
          </xdr:cNvPr>
          <xdr:cNvSpPr txBox="1"/>
        </xdr:nvSpPr>
        <xdr:spPr>
          <a:xfrm>
            <a:off x="49438" y="49868"/>
            <a:ext cx="1835080" cy="750662"/>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38100" tIns="19050" rIns="38100" bIns="19050" numCol="1" spcCol="1270" anchor="ctr" anchorCtr="0">
            <a:noAutofit/>
          </a:bodyPr>
          <a:lstStyle/>
          <a:p>
            <a:pPr marL="0" lvl="0" indent="0" algn="ctr" defTabSz="444500">
              <a:lnSpc>
                <a:spcPct val="90000"/>
              </a:lnSpc>
              <a:spcBef>
                <a:spcPct val="0"/>
              </a:spcBef>
              <a:spcAft>
                <a:spcPct val="35000"/>
              </a:spcAft>
              <a:buNone/>
            </a:pPr>
            <a:r>
              <a:rPr lang="en-US" sz="1000" kern="1200">
                <a:latin typeface="GE Inspira Serif" panose="02060502070000000003" pitchFamily="18" charset="0"/>
              </a:rPr>
              <a:t>EC</a:t>
            </a:r>
          </a:p>
        </xdr:txBody>
      </xdr:sp>
    </xdr:grpSp>
    <xdr:clientData/>
  </xdr:twoCellAnchor>
  <xdr:twoCellAnchor>
    <xdr:from>
      <xdr:col>3</xdr:col>
      <xdr:colOff>448056</xdr:colOff>
      <xdr:row>76</xdr:row>
      <xdr:rowOff>113100</xdr:rowOff>
    </xdr:from>
    <xdr:to>
      <xdr:col>5</xdr:col>
      <xdr:colOff>304800</xdr:colOff>
      <xdr:row>79</xdr:row>
      <xdr:rowOff>0</xdr:rowOff>
    </xdr:to>
    <xdr:grpSp>
      <xdr:nvGrpSpPr>
        <xdr:cNvPr id="10" name="Group 9">
          <a:extLst>
            <a:ext uri="{FF2B5EF4-FFF2-40B4-BE49-F238E27FC236}">
              <a16:creationId xmlns:a16="http://schemas.microsoft.com/office/drawing/2014/main" id="{00000000-0008-0000-0B00-00000A000000}"/>
            </a:ext>
          </a:extLst>
        </xdr:cNvPr>
        <xdr:cNvGrpSpPr/>
      </xdr:nvGrpSpPr>
      <xdr:grpSpPr>
        <a:xfrm>
          <a:off x="3210306" y="14905425"/>
          <a:ext cx="4409694" cy="429825"/>
          <a:chOff x="1870568" y="732655"/>
          <a:chExt cx="3469838" cy="769948"/>
        </a:xfrm>
      </xdr:grpSpPr>
      <xdr:sp macro="" textlink="">
        <xdr:nvSpPr>
          <xdr:cNvPr id="20" name="Rectangle: Top Corners Rounded 19">
            <a:extLst>
              <a:ext uri="{FF2B5EF4-FFF2-40B4-BE49-F238E27FC236}">
                <a16:creationId xmlns:a16="http://schemas.microsoft.com/office/drawing/2014/main" id="{00000000-0008-0000-0B00-000014000000}"/>
              </a:ext>
            </a:extLst>
          </xdr:cNvPr>
          <xdr:cNvSpPr/>
        </xdr:nvSpPr>
        <xdr:spPr>
          <a:xfrm rot="5400000">
            <a:off x="3236360" y="-601443"/>
            <a:ext cx="769948" cy="3438144"/>
          </a:xfrm>
          <a:prstGeom prst="round2SameRect">
            <a:avLst/>
          </a:prstGeom>
        </xdr:spPr>
        <xdr:style>
          <a:lnRef idx="2">
            <a:schemeClr val="accent1">
              <a:alpha val="90000"/>
              <a:tint val="40000"/>
              <a:hueOff val="0"/>
              <a:satOff val="0"/>
              <a:lumOff val="0"/>
              <a:alphaOff val="0"/>
            </a:schemeClr>
          </a:lnRef>
          <a:fillRef idx="1">
            <a:schemeClr val="accent1">
              <a:alpha val="90000"/>
              <a:tint val="40000"/>
              <a:hueOff val="0"/>
              <a:satOff val="0"/>
              <a:lumOff val="0"/>
              <a:alphaOff val="0"/>
            </a:schemeClr>
          </a:fillRef>
          <a:effectRef idx="0">
            <a:schemeClr val="accent1">
              <a:alpha val="90000"/>
              <a:tint val="40000"/>
              <a:hueOff val="0"/>
              <a:satOff val="0"/>
              <a:lumOff val="0"/>
              <a:alphaOff val="0"/>
            </a:schemeClr>
          </a:effectRef>
          <a:fontRef idx="minor">
            <a:schemeClr val="dk1">
              <a:hueOff val="0"/>
              <a:satOff val="0"/>
              <a:lumOff val="0"/>
              <a:alphaOff val="0"/>
            </a:schemeClr>
          </a:fontRef>
        </xdr:style>
      </xdr:sp>
      <xdr:sp macro="" textlink="">
        <xdr:nvSpPr>
          <xdr:cNvPr id="21" name="Rectangle: Top Corners Rounded 8">
            <a:extLst>
              <a:ext uri="{FF2B5EF4-FFF2-40B4-BE49-F238E27FC236}">
                <a16:creationId xmlns:a16="http://schemas.microsoft.com/office/drawing/2014/main" id="{00000000-0008-0000-0B00-000015000000}"/>
              </a:ext>
            </a:extLst>
          </xdr:cNvPr>
          <xdr:cNvSpPr txBox="1"/>
        </xdr:nvSpPr>
        <xdr:spPr>
          <a:xfrm>
            <a:off x="1870568" y="884541"/>
            <a:ext cx="3400557" cy="363664"/>
          </a:xfrm>
          <a:prstGeom prst="rect">
            <a:avLst/>
          </a:prstGeom>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247650" tIns="123825" rIns="247650" bIns="123825" numCol="1" spcCol="1270" anchor="ctr" anchorCtr="0">
            <a:noAutofit/>
          </a:bodyPr>
          <a:lstStyle/>
          <a:p>
            <a:pPr marL="57150" lvl="1" indent="-57150" algn="l" defTabSz="444500">
              <a:lnSpc>
                <a:spcPct val="90000"/>
              </a:lnSpc>
              <a:spcBef>
                <a:spcPct val="0"/>
              </a:spcBef>
              <a:spcAft>
                <a:spcPct val="15000"/>
              </a:spcAft>
              <a:buChar char="•"/>
            </a:pPr>
            <a:r>
              <a:rPr lang="en-US" sz="1000" kern="1200">
                <a:latin typeface="GE Inspira Serif" panose="02060502070000000003" pitchFamily="18" charset="0"/>
              </a:rPr>
              <a:t>Human</a:t>
            </a:r>
            <a:r>
              <a:rPr lang="en-US" sz="1000" kern="1200" baseline="0">
                <a:latin typeface="GE Inspira Serif" panose="02060502070000000003" pitchFamily="18" charset="0"/>
              </a:rPr>
              <a:t> resources { For all disciplines, burdened}</a:t>
            </a:r>
            <a:br>
              <a:rPr lang="en-US" sz="1000" kern="1200" baseline="0">
                <a:latin typeface="GE Inspira Serif" panose="02060502070000000003" pitchFamily="18" charset="0"/>
              </a:rPr>
            </a:br>
            <a:endParaRPr lang="en-US" sz="1000" kern="1200">
              <a:latin typeface="GE Inspira Serif" panose="02060502070000000003" pitchFamily="18" charset="0"/>
            </a:endParaRPr>
          </a:p>
        </xdr:txBody>
      </xdr:sp>
    </xdr:grpSp>
    <xdr:clientData/>
  </xdr:twoCellAnchor>
  <xdr:twoCellAnchor>
    <xdr:from>
      <xdr:col>1</xdr:col>
      <xdr:colOff>590550</xdr:colOff>
      <xdr:row>76</xdr:row>
      <xdr:rowOff>78781</xdr:rowOff>
    </xdr:from>
    <xdr:to>
      <xdr:col>3</xdr:col>
      <xdr:colOff>447675</xdr:colOff>
      <xdr:row>79</xdr:row>
      <xdr:rowOff>28576</xdr:rowOff>
    </xdr:to>
    <xdr:grpSp>
      <xdr:nvGrpSpPr>
        <xdr:cNvPr id="11" name="Group 10">
          <a:extLst>
            <a:ext uri="{FF2B5EF4-FFF2-40B4-BE49-F238E27FC236}">
              <a16:creationId xmlns:a16="http://schemas.microsoft.com/office/drawing/2014/main" id="{00000000-0008-0000-0B00-00000B000000}"/>
            </a:ext>
          </a:extLst>
        </xdr:cNvPr>
        <xdr:cNvGrpSpPr/>
      </xdr:nvGrpSpPr>
      <xdr:grpSpPr>
        <a:xfrm>
          <a:off x="1200150" y="14871106"/>
          <a:ext cx="2009775" cy="492720"/>
          <a:chOff x="0" y="1088860"/>
          <a:chExt cx="1933956" cy="800487"/>
        </a:xfrm>
      </xdr:grpSpPr>
      <xdr:sp macro="" textlink="">
        <xdr:nvSpPr>
          <xdr:cNvPr id="18" name="Rectangle: Rounded Corners 17">
            <a:extLst>
              <a:ext uri="{FF2B5EF4-FFF2-40B4-BE49-F238E27FC236}">
                <a16:creationId xmlns:a16="http://schemas.microsoft.com/office/drawing/2014/main" id="{00000000-0008-0000-0B00-000012000000}"/>
              </a:ext>
            </a:extLst>
          </xdr:cNvPr>
          <xdr:cNvSpPr/>
        </xdr:nvSpPr>
        <xdr:spPr>
          <a:xfrm>
            <a:off x="0" y="1088860"/>
            <a:ext cx="1933956" cy="800487"/>
          </a:xfrm>
          <a:prstGeom prst="roundRect">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sp macro="" textlink="">
        <xdr:nvSpPr>
          <xdr:cNvPr id="19" name="Rectangle: Rounded Corners 10">
            <a:extLst>
              <a:ext uri="{FF2B5EF4-FFF2-40B4-BE49-F238E27FC236}">
                <a16:creationId xmlns:a16="http://schemas.microsoft.com/office/drawing/2014/main" id="{00000000-0008-0000-0B00-000013000000}"/>
              </a:ext>
            </a:extLst>
          </xdr:cNvPr>
          <xdr:cNvSpPr txBox="1"/>
        </xdr:nvSpPr>
        <xdr:spPr>
          <a:xfrm>
            <a:off x="114300" y="1127937"/>
            <a:ext cx="1780579" cy="722333"/>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38100" tIns="19050" rIns="38100" bIns="19050" numCol="1" spcCol="1270" anchor="ctr" anchorCtr="0">
            <a:noAutofit/>
          </a:bodyPr>
          <a:lstStyle/>
          <a:p>
            <a:pPr marL="0" lvl="0" indent="0" algn="ctr" defTabSz="622300">
              <a:lnSpc>
                <a:spcPct val="90000"/>
              </a:lnSpc>
              <a:spcBef>
                <a:spcPct val="0"/>
              </a:spcBef>
              <a:spcAft>
                <a:spcPct val="35000"/>
              </a:spcAft>
              <a:buNone/>
            </a:pPr>
            <a:r>
              <a:rPr lang="en-US" sz="1000" kern="1200">
                <a:solidFill>
                  <a:sysClr val="window" lastClr="FFFFFF"/>
                </a:solidFill>
                <a:latin typeface="GE Inspira Serif" panose="02060502070000000003" pitchFamily="18" charset="0"/>
                <a:ea typeface="+mn-ea"/>
                <a:cs typeface="+mn-cs"/>
              </a:rPr>
              <a:t>HR</a:t>
            </a:r>
          </a:p>
        </xdr:txBody>
      </xdr:sp>
    </xdr:grpSp>
    <xdr:clientData/>
  </xdr:twoCellAnchor>
  <xdr:twoCellAnchor>
    <xdr:from>
      <xdr:col>3</xdr:col>
      <xdr:colOff>448057</xdr:colOff>
      <xdr:row>79</xdr:row>
      <xdr:rowOff>88781</xdr:rowOff>
    </xdr:from>
    <xdr:to>
      <xdr:col>5</xdr:col>
      <xdr:colOff>319889</xdr:colOff>
      <xdr:row>82</xdr:row>
      <xdr:rowOff>27977</xdr:rowOff>
    </xdr:to>
    <xdr:sp macro="" textlink="">
      <xdr:nvSpPr>
        <xdr:cNvPr id="17" name="Rectangle: Top Corners Rounded 12">
          <a:extLst>
            <a:ext uri="{FF2B5EF4-FFF2-40B4-BE49-F238E27FC236}">
              <a16:creationId xmlns:a16="http://schemas.microsoft.com/office/drawing/2014/main" id="{00000000-0008-0000-0B00-000011000000}"/>
            </a:ext>
          </a:extLst>
        </xdr:cNvPr>
        <xdr:cNvSpPr txBox="1"/>
      </xdr:nvSpPr>
      <xdr:spPr>
        <a:xfrm>
          <a:off x="2667382" y="17014706"/>
          <a:ext cx="2100682" cy="539271"/>
        </a:xfrm>
        <a:prstGeom prst="rect">
          <a:avLst/>
        </a:prstGeom>
        <a:solidFill>
          <a:schemeClr val="accent2"/>
        </a:solidFill>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247650" tIns="123825" rIns="247650" bIns="123825" numCol="1" spcCol="1270" anchor="ctr" anchorCtr="0">
          <a:noAutofit/>
        </a:bodyPr>
        <a:lstStyle/>
        <a:p>
          <a:pPr marL="57150" lvl="1" indent="-57150" algn="l" defTabSz="444500">
            <a:lnSpc>
              <a:spcPct val="90000"/>
            </a:lnSpc>
            <a:spcBef>
              <a:spcPct val="0"/>
            </a:spcBef>
            <a:spcAft>
              <a:spcPct val="15000"/>
            </a:spcAft>
            <a:buChar char="•"/>
          </a:pPr>
          <a:r>
            <a:rPr lang="en-US" sz="1000" kern="1200">
              <a:latin typeface="GE Inspira Serif" panose="02060502070000000003" pitchFamily="18" charset="0"/>
            </a:rPr>
            <a:t>Whole product cost for units tested { Multipled by number of samples used}</a:t>
          </a:r>
          <a:endParaRPr lang="en-US" sz="1000" kern="1200">
            <a:solidFill>
              <a:sysClr val="windowText" lastClr="000000">
                <a:hueOff val="0"/>
                <a:satOff val="0"/>
                <a:lumOff val="0"/>
                <a:alphaOff val="0"/>
              </a:sysClr>
            </a:solidFill>
            <a:latin typeface="GE Inspira Serif" panose="02060502070000000003" pitchFamily="18" charset="0"/>
            <a:ea typeface="+mn-ea"/>
            <a:cs typeface="+mn-cs"/>
          </a:endParaRPr>
        </a:p>
        <a:p>
          <a:pPr marL="57150" lvl="1" indent="-57150" algn="l" defTabSz="444500">
            <a:lnSpc>
              <a:spcPct val="90000"/>
            </a:lnSpc>
            <a:spcBef>
              <a:spcPct val="0"/>
            </a:spcBef>
            <a:spcAft>
              <a:spcPct val="15000"/>
            </a:spcAft>
            <a:buChar char="•"/>
          </a:pPr>
          <a:endParaRPr lang="en-US" sz="1000" kern="1200">
            <a:solidFill>
              <a:sysClr val="windowText" lastClr="000000">
                <a:hueOff val="0"/>
                <a:satOff val="0"/>
                <a:lumOff val="0"/>
                <a:alphaOff val="0"/>
              </a:sysClr>
            </a:solidFill>
            <a:latin typeface="GE Inspira Serif" panose="02060502070000000003" pitchFamily="18" charset="0"/>
            <a:ea typeface="+mn-ea"/>
            <a:cs typeface="+mn-cs"/>
          </a:endParaRPr>
        </a:p>
      </xdr:txBody>
    </xdr:sp>
    <xdr:clientData/>
  </xdr:twoCellAnchor>
  <xdr:twoCellAnchor>
    <xdr:from>
      <xdr:col>1</xdr:col>
      <xdr:colOff>571500</xdr:colOff>
      <xdr:row>79</xdr:row>
      <xdr:rowOff>77994</xdr:rowOff>
    </xdr:from>
    <xdr:to>
      <xdr:col>3</xdr:col>
      <xdr:colOff>457200</xdr:colOff>
      <xdr:row>82</xdr:row>
      <xdr:rowOff>38100</xdr:rowOff>
    </xdr:to>
    <xdr:grpSp>
      <xdr:nvGrpSpPr>
        <xdr:cNvPr id="13" name="Group 12">
          <a:extLst>
            <a:ext uri="{FF2B5EF4-FFF2-40B4-BE49-F238E27FC236}">
              <a16:creationId xmlns:a16="http://schemas.microsoft.com/office/drawing/2014/main" id="{00000000-0008-0000-0B00-00000D000000}"/>
            </a:ext>
          </a:extLst>
        </xdr:cNvPr>
        <xdr:cNvGrpSpPr/>
      </xdr:nvGrpSpPr>
      <xdr:grpSpPr>
        <a:xfrm>
          <a:off x="1181100" y="15413244"/>
          <a:ext cx="2038350" cy="503031"/>
          <a:chOff x="0" y="2011999"/>
          <a:chExt cx="1933956" cy="1288646"/>
        </a:xfrm>
      </xdr:grpSpPr>
      <xdr:sp macro="" textlink="">
        <xdr:nvSpPr>
          <xdr:cNvPr id="14" name="Rectangle: Rounded Corners 13">
            <a:extLst>
              <a:ext uri="{FF2B5EF4-FFF2-40B4-BE49-F238E27FC236}">
                <a16:creationId xmlns:a16="http://schemas.microsoft.com/office/drawing/2014/main" id="{00000000-0008-0000-0B00-00000E000000}"/>
              </a:ext>
            </a:extLst>
          </xdr:cNvPr>
          <xdr:cNvSpPr/>
        </xdr:nvSpPr>
        <xdr:spPr>
          <a:xfrm>
            <a:off x="0" y="2011999"/>
            <a:ext cx="1933956" cy="1288646"/>
          </a:xfrm>
          <a:prstGeom prst="roundRect">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sp macro="" textlink="">
        <xdr:nvSpPr>
          <xdr:cNvPr id="15" name="Rectangle: Rounded Corners 14">
            <a:extLst>
              <a:ext uri="{FF2B5EF4-FFF2-40B4-BE49-F238E27FC236}">
                <a16:creationId xmlns:a16="http://schemas.microsoft.com/office/drawing/2014/main" id="{00000000-0008-0000-0B00-00000F000000}"/>
              </a:ext>
            </a:extLst>
          </xdr:cNvPr>
          <xdr:cNvSpPr txBox="1"/>
        </xdr:nvSpPr>
        <xdr:spPr>
          <a:xfrm>
            <a:off x="62907" y="2074906"/>
            <a:ext cx="1808142" cy="763974"/>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38100" tIns="19050" rIns="38100" bIns="19050" numCol="1" spcCol="1270" anchor="ctr" anchorCtr="0">
            <a:noAutofit/>
          </a:bodyPr>
          <a:lstStyle/>
          <a:p>
            <a:pPr marL="0" lvl="0" indent="0" algn="ctr" defTabSz="444500">
              <a:lnSpc>
                <a:spcPct val="90000"/>
              </a:lnSpc>
              <a:spcBef>
                <a:spcPct val="0"/>
              </a:spcBef>
              <a:spcAft>
                <a:spcPct val="35000"/>
              </a:spcAft>
              <a:buNone/>
            </a:pPr>
            <a:r>
              <a:rPr lang="en-US" sz="1000" kern="1200">
                <a:solidFill>
                  <a:sysClr val="window" lastClr="FFFFFF"/>
                </a:solidFill>
                <a:latin typeface="GE Inspira Serif" panose="02060502070000000003" pitchFamily="18" charset="0"/>
                <a:ea typeface="+mn-ea"/>
                <a:cs typeface="+mn-cs"/>
              </a:rPr>
              <a:t>WPC * Nt</a:t>
            </a:r>
          </a:p>
        </xdr:txBody>
      </xdr:sp>
    </xdr:grpSp>
    <xdr:clientData/>
  </xdr:twoCellAnchor>
  <xdr:twoCellAnchor>
    <xdr:from>
      <xdr:col>1</xdr:col>
      <xdr:colOff>552450</xdr:colOff>
      <xdr:row>82</xdr:row>
      <xdr:rowOff>76201</xdr:rowOff>
    </xdr:from>
    <xdr:to>
      <xdr:col>3</xdr:col>
      <xdr:colOff>438150</xdr:colOff>
      <xdr:row>84</xdr:row>
      <xdr:rowOff>133351</xdr:rowOff>
    </xdr:to>
    <xdr:grpSp>
      <xdr:nvGrpSpPr>
        <xdr:cNvPr id="26" name="Group 25">
          <a:extLst>
            <a:ext uri="{FF2B5EF4-FFF2-40B4-BE49-F238E27FC236}">
              <a16:creationId xmlns:a16="http://schemas.microsoft.com/office/drawing/2014/main" id="{00000000-0008-0000-0B00-00001A000000}"/>
            </a:ext>
          </a:extLst>
        </xdr:cNvPr>
        <xdr:cNvGrpSpPr/>
      </xdr:nvGrpSpPr>
      <xdr:grpSpPr>
        <a:xfrm>
          <a:off x="1162050" y="15954376"/>
          <a:ext cx="2038350" cy="419100"/>
          <a:chOff x="0" y="2011999"/>
          <a:chExt cx="1933956" cy="1288646"/>
        </a:xfrm>
      </xdr:grpSpPr>
      <xdr:sp macro="" textlink="">
        <xdr:nvSpPr>
          <xdr:cNvPr id="27" name="Rectangle: Rounded Corners 26">
            <a:extLst>
              <a:ext uri="{FF2B5EF4-FFF2-40B4-BE49-F238E27FC236}">
                <a16:creationId xmlns:a16="http://schemas.microsoft.com/office/drawing/2014/main" id="{00000000-0008-0000-0B00-00001B000000}"/>
              </a:ext>
            </a:extLst>
          </xdr:cNvPr>
          <xdr:cNvSpPr/>
        </xdr:nvSpPr>
        <xdr:spPr>
          <a:xfrm>
            <a:off x="0" y="2011999"/>
            <a:ext cx="1933956" cy="1288646"/>
          </a:xfrm>
          <a:prstGeom prst="roundRect">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sp macro="" textlink="">
        <xdr:nvSpPr>
          <xdr:cNvPr id="28" name="Rectangle: Rounded Corners 14">
            <a:extLst>
              <a:ext uri="{FF2B5EF4-FFF2-40B4-BE49-F238E27FC236}">
                <a16:creationId xmlns:a16="http://schemas.microsoft.com/office/drawing/2014/main" id="{00000000-0008-0000-0B00-00001C000000}"/>
              </a:ext>
            </a:extLst>
          </xdr:cNvPr>
          <xdr:cNvSpPr txBox="1"/>
        </xdr:nvSpPr>
        <xdr:spPr>
          <a:xfrm>
            <a:off x="62907" y="2074906"/>
            <a:ext cx="1808142" cy="763974"/>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38100" tIns="19050" rIns="38100" bIns="19050" numCol="1" spcCol="1270" anchor="ctr" anchorCtr="0">
            <a:noAutofit/>
          </a:bodyPr>
          <a:lstStyle/>
          <a:p>
            <a:pPr marL="0" lvl="0" indent="0" algn="ctr" defTabSz="444500">
              <a:lnSpc>
                <a:spcPct val="90000"/>
              </a:lnSpc>
              <a:spcBef>
                <a:spcPct val="0"/>
              </a:spcBef>
              <a:spcAft>
                <a:spcPct val="35000"/>
              </a:spcAft>
              <a:buNone/>
            </a:pPr>
            <a:r>
              <a:rPr lang="en-US" sz="1000" kern="1200">
                <a:solidFill>
                  <a:sysClr val="window" lastClr="FFFFFF"/>
                </a:solidFill>
                <a:latin typeface="GE Inspira Serif" panose="02060502070000000003" pitchFamily="18" charset="0"/>
                <a:ea typeface="+mn-ea"/>
                <a:cs typeface="+mn-cs"/>
              </a:rPr>
              <a:t>FA</a:t>
            </a:r>
          </a:p>
        </xdr:txBody>
      </xdr:sp>
    </xdr:grpSp>
    <xdr:clientData/>
  </xdr:twoCellAnchor>
  <xdr:twoCellAnchor>
    <xdr:from>
      <xdr:col>3</xdr:col>
      <xdr:colOff>447675</xdr:colOff>
      <xdr:row>82</xdr:row>
      <xdr:rowOff>66676</xdr:rowOff>
    </xdr:from>
    <xdr:to>
      <xdr:col>5</xdr:col>
      <xdr:colOff>319507</xdr:colOff>
      <xdr:row>84</xdr:row>
      <xdr:rowOff>180975</xdr:rowOff>
    </xdr:to>
    <xdr:sp macro="" textlink="">
      <xdr:nvSpPr>
        <xdr:cNvPr id="31" name="Rectangle: Top Corners Rounded 12">
          <a:extLst>
            <a:ext uri="{FF2B5EF4-FFF2-40B4-BE49-F238E27FC236}">
              <a16:creationId xmlns:a16="http://schemas.microsoft.com/office/drawing/2014/main" id="{00000000-0008-0000-0B00-00001F000000}"/>
            </a:ext>
          </a:extLst>
        </xdr:cNvPr>
        <xdr:cNvSpPr txBox="1"/>
      </xdr:nvSpPr>
      <xdr:spPr>
        <a:xfrm>
          <a:off x="2667000" y="17592676"/>
          <a:ext cx="2100682" cy="514349"/>
        </a:xfrm>
        <a:prstGeom prst="rect">
          <a:avLst/>
        </a:prstGeom>
        <a:solidFill>
          <a:schemeClr val="accent2"/>
        </a:solidFill>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247650" tIns="123825" rIns="247650" bIns="123825" numCol="1" spcCol="1270" anchor="ctr" anchorCtr="0">
          <a:noAutofit/>
        </a:bodyPr>
        <a:lstStyle/>
        <a:p>
          <a:pPr marL="57150" marR="0" lvl="1" indent="-57150" algn="l" defTabSz="444500" eaLnBrk="1" fontAlgn="auto" latinLnBrk="0" hangingPunct="1">
            <a:lnSpc>
              <a:spcPct val="90000"/>
            </a:lnSpc>
            <a:spcBef>
              <a:spcPct val="0"/>
            </a:spcBef>
            <a:spcAft>
              <a:spcPct val="15000"/>
            </a:spcAft>
            <a:buClrTx/>
            <a:buSzTx/>
            <a:buFontTx/>
            <a:buChar char="•"/>
            <a:tabLst/>
            <a:defRPr/>
          </a:pPr>
          <a:r>
            <a:rPr lang="en-US" sz="1000" kern="1200" noProof="0">
              <a:solidFill>
                <a:schemeClr val="dk1">
                  <a:hueOff val="0"/>
                  <a:satOff val="0"/>
                  <a:lumOff val="0"/>
                  <a:alphaOff val="0"/>
                </a:schemeClr>
              </a:solidFill>
              <a:latin typeface="GE Inspira Serif" panose="02060502070000000003" pitchFamily="18" charset="0"/>
              <a:ea typeface="+mn-ea"/>
              <a:cs typeface="+mn-cs"/>
            </a:rPr>
            <a:t>Failure</a:t>
          </a:r>
          <a:r>
            <a:rPr lang="en-US" sz="1000" kern="1200" baseline="0" noProof="0">
              <a:solidFill>
                <a:schemeClr val="dk1">
                  <a:hueOff val="0"/>
                  <a:satOff val="0"/>
                  <a:lumOff val="0"/>
                  <a:alphaOff val="0"/>
                </a:schemeClr>
              </a:solidFill>
              <a:latin typeface="GE Inspira Serif" panose="02060502070000000003" pitchFamily="18" charset="0"/>
              <a:ea typeface="+mn-ea"/>
              <a:cs typeface="+mn-cs"/>
            </a:rPr>
            <a:t> Analysis { Multiply by number of failures investigated}</a:t>
          </a:r>
          <a:endParaRPr lang="en-US" sz="1000" kern="1200" noProof="0">
            <a:solidFill>
              <a:schemeClr val="dk1">
                <a:hueOff val="0"/>
                <a:satOff val="0"/>
                <a:lumOff val="0"/>
                <a:alphaOff val="0"/>
              </a:schemeClr>
            </a:solidFill>
            <a:latin typeface="GE Inspira Serif" panose="02060502070000000003" pitchFamily="18" charset="0"/>
            <a:ea typeface="+mn-ea"/>
            <a:cs typeface="+mn-cs"/>
          </a:endParaRPr>
        </a:p>
        <a:p>
          <a:pPr marL="57150" marR="0" lvl="1" indent="-57150" algn="l" defTabSz="444500" eaLnBrk="1" fontAlgn="auto" latinLnBrk="0" hangingPunct="1">
            <a:lnSpc>
              <a:spcPct val="90000"/>
            </a:lnSpc>
            <a:spcBef>
              <a:spcPct val="0"/>
            </a:spcBef>
            <a:spcAft>
              <a:spcPct val="15000"/>
            </a:spcAft>
            <a:buClrTx/>
            <a:buSzTx/>
            <a:buFontTx/>
            <a:buChar char="•"/>
            <a:tabLst/>
            <a:defRPr/>
          </a:pPr>
          <a:endParaRPr lang="en-US" sz="1000" kern="1200" noProof="0">
            <a:solidFill>
              <a:schemeClr val="dk1">
                <a:hueOff val="0"/>
                <a:satOff val="0"/>
                <a:lumOff val="0"/>
                <a:alphaOff val="0"/>
              </a:schemeClr>
            </a:solidFill>
            <a:latin typeface="GE Inspira Serif" panose="02060502070000000003" pitchFamily="18" charset="0"/>
            <a:ea typeface="+mn-ea"/>
            <a:cs typeface="+mn-cs"/>
          </a:endParaRPr>
        </a:p>
      </xdr:txBody>
    </xdr:sp>
    <xdr:clientData/>
  </xdr:twoCellAnchor>
  <xdr:twoCellAnchor>
    <xdr:from>
      <xdr:col>1</xdr:col>
      <xdr:colOff>600075</xdr:colOff>
      <xdr:row>85</xdr:row>
      <xdr:rowOff>76199</xdr:rowOff>
    </xdr:from>
    <xdr:to>
      <xdr:col>3</xdr:col>
      <xdr:colOff>388490</xdr:colOff>
      <xdr:row>88</xdr:row>
      <xdr:rowOff>190499</xdr:rowOff>
    </xdr:to>
    <xdr:sp macro="" textlink="">
      <xdr:nvSpPr>
        <xdr:cNvPr id="33" name="Rectangle: Rounded Corners 14">
          <a:extLst>
            <a:ext uri="{FF2B5EF4-FFF2-40B4-BE49-F238E27FC236}">
              <a16:creationId xmlns:a16="http://schemas.microsoft.com/office/drawing/2014/main" id="{00000000-0008-0000-0B00-000021000000}"/>
            </a:ext>
          </a:extLst>
        </xdr:cNvPr>
        <xdr:cNvSpPr txBox="1"/>
      </xdr:nvSpPr>
      <xdr:spPr>
        <a:xfrm>
          <a:off x="1209675" y="18202274"/>
          <a:ext cx="1398140" cy="714375"/>
        </a:xfrm>
        <a:prstGeom prst="rect">
          <a:avLst/>
        </a:prstGeom>
        <a:solidFill>
          <a:schemeClr val="accent2"/>
        </a:solidFill>
      </xdr:spPr>
      <xdr:style>
        <a:lnRef idx="0">
          <a:scrgbClr r="0" g="0" b="0"/>
        </a:lnRef>
        <a:fillRef idx="0">
          <a:scrgbClr r="0" g="0" b="0"/>
        </a:fillRef>
        <a:effectRef idx="0">
          <a:scrgbClr r="0" g="0" b="0"/>
        </a:effectRef>
        <a:fontRef idx="minor">
          <a:schemeClr val="lt1"/>
        </a:fontRef>
      </xdr:style>
      <xdr:txBody>
        <a:bodyPr spcFirstLastPara="0" vert="horz" wrap="square" lIns="38100" tIns="19050" rIns="38100" bIns="19050" numCol="1" spcCol="1270" anchor="ctr" anchorCtr="0">
          <a:noAutofit/>
        </a:bodyPr>
        <a:lstStyle/>
        <a:p>
          <a:pPr marL="0" lvl="0" indent="0" algn="ctr" defTabSz="444500">
            <a:lnSpc>
              <a:spcPct val="90000"/>
            </a:lnSpc>
            <a:spcBef>
              <a:spcPct val="0"/>
            </a:spcBef>
            <a:spcAft>
              <a:spcPct val="35000"/>
            </a:spcAft>
            <a:buNone/>
          </a:pPr>
          <a:r>
            <a:rPr lang="en-US" sz="1000" kern="1200">
              <a:solidFill>
                <a:sysClr val="window" lastClr="FFFFFF"/>
              </a:solidFill>
              <a:latin typeface="GE Inspira Serif" panose="02060502070000000003" pitchFamily="18" charset="0"/>
              <a:ea typeface="+mn-ea"/>
              <a:cs typeface="+mn-cs"/>
            </a:rPr>
            <a:t>CA</a:t>
          </a:r>
        </a:p>
      </xdr:txBody>
    </xdr:sp>
    <xdr:clientData/>
  </xdr:twoCellAnchor>
  <xdr:twoCellAnchor>
    <xdr:from>
      <xdr:col>3</xdr:col>
      <xdr:colOff>438150</xdr:colOff>
      <xdr:row>85</xdr:row>
      <xdr:rowOff>47625</xdr:rowOff>
    </xdr:from>
    <xdr:to>
      <xdr:col>5</xdr:col>
      <xdr:colOff>309982</xdr:colOff>
      <xdr:row>89</xdr:row>
      <xdr:rowOff>28575</xdr:rowOff>
    </xdr:to>
    <xdr:sp macro="" textlink="">
      <xdr:nvSpPr>
        <xdr:cNvPr id="34" name="Rectangle: Top Corners Rounded 12">
          <a:extLst>
            <a:ext uri="{FF2B5EF4-FFF2-40B4-BE49-F238E27FC236}">
              <a16:creationId xmlns:a16="http://schemas.microsoft.com/office/drawing/2014/main" id="{00000000-0008-0000-0B00-000022000000}"/>
            </a:ext>
          </a:extLst>
        </xdr:cNvPr>
        <xdr:cNvSpPr txBox="1"/>
      </xdr:nvSpPr>
      <xdr:spPr>
        <a:xfrm>
          <a:off x="2657475" y="18173700"/>
          <a:ext cx="2100682" cy="781050"/>
        </a:xfrm>
        <a:prstGeom prst="rect">
          <a:avLst/>
        </a:prstGeom>
        <a:solidFill>
          <a:schemeClr val="accent2"/>
        </a:solidFill>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247650" tIns="123825" rIns="247650" bIns="123825" numCol="1" spcCol="1270" anchor="ctr" anchorCtr="0">
          <a:noAutofit/>
        </a:bodyPr>
        <a:lstStyle/>
        <a:p>
          <a:pPr marL="57150" marR="0" lvl="1" indent="-57150" algn="l" defTabSz="444500" eaLnBrk="1" fontAlgn="auto" latinLnBrk="0" hangingPunct="1">
            <a:lnSpc>
              <a:spcPct val="90000"/>
            </a:lnSpc>
            <a:spcBef>
              <a:spcPct val="0"/>
            </a:spcBef>
            <a:spcAft>
              <a:spcPct val="15000"/>
            </a:spcAft>
            <a:buClrTx/>
            <a:buSzTx/>
            <a:buFontTx/>
            <a:buChar char="•"/>
            <a:tabLst/>
            <a:defRPr/>
          </a:pPr>
          <a:r>
            <a:rPr lang="en-US" sz="1000" kern="1200" noProof="0">
              <a:solidFill>
                <a:schemeClr val="dk1">
                  <a:hueOff val="0"/>
                  <a:satOff val="0"/>
                  <a:lumOff val="0"/>
                  <a:alphaOff val="0"/>
                </a:schemeClr>
              </a:solidFill>
              <a:latin typeface="GE Inspira Serif" panose="02060502070000000003" pitchFamily="18" charset="0"/>
              <a:ea typeface="+mn-ea"/>
              <a:cs typeface="+mn-cs"/>
            </a:rPr>
            <a:t>Corrective</a:t>
          </a:r>
          <a:r>
            <a:rPr lang="en-US" sz="1000" kern="1200" baseline="0" noProof="0">
              <a:solidFill>
                <a:schemeClr val="dk1">
                  <a:hueOff val="0"/>
                  <a:satOff val="0"/>
                  <a:lumOff val="0"/>
                  <a:alphaOff val="0"/>
                </a:schemeClr>
              </a:solidFill>
              <a:latin typeface="GE Inspira Serif" panose="02060502070000000003" pitchFamily="18" charset="0"/>
              <a:ea typeface="+mn-ea"/>
              <a:cs typeface="+mn-cs"/>
            </a:rPr>
            <a:t> action { Multiply by number of failures investigated}</a:t>
          </a:r>
          <a:br>
            <a:rPr lang="en-US" sz="1000" kern="1200" baseline="0" noProof="0">
              <a:solidFill>
                <a:schemeClr val="dk1">
                  <a:hueOff val="0"/>
                  <a:satOff val="0"/>
                  <a:lumOff val="0"/>
                  <a:alphaOff val="0"/>
                </a:schemeClr>
              </a:solidFill>
              <a:latin typeface="GE Inspira Serif" panose="02060502070000000003" pitchFamily="18" charset="0"/>
              <a:ea typeface="+mn-ea"/>
              <a:cs typeface="+mn-cs"/>
            </a:rPr>
          </a:br>
          <a:endParaRPr lang="en-US" sz="1000" kern="1200" noProof="0">
            <a:solidFill>
              <a:schemeClr val="dk1">
                <a:hueOff val="0"/>
                <a:satOff val="0"/>
                <a:lumOff val="0"/>
                <a:alphaOff val="0"/>
              </a:schemeClr>
            </a:solidFill>
            <a:latin typeface="GE Inspira Serif" panose="02060502070000000003" pitchFamily="18" charset="0"/>
            <a:ea typeface="+mn-ea"/>
            <a:cs typeface="+mn-cs"/>
          </a:endParaRPr>
        </a:p>
        <a:p>
          <a:pPr marL="57150" marR="0" lvl="1" indent="-57150" algn="l" defTabSz="444500" eaLnBrk="1" fontAlgn="auto" latinLnBrk="0" hangingPunct="1">
            <a:lnSpc>
              <a:spcPct val="90000"/>
            </a:lnSpc>
            <a:spcBef>
              <a:spcPct val="0"/>
            </a:spcBef>
            <a:spcAft>
              <a:spcPct val="15000"/>
            </a:spcAft>
            <a:buClrTx/>
            <a:buSzTx/>
            <a:buFontTx/>
            <a:buChar char="•"/>
            <a:tabLst/>
            <a:defRPr/>
          </a:pPr>
          <a:endParaRPr lang="en-US" sz="1000" kern="1200" noProof="0">
            <a:solidFill>
              <a:schemeClr val="dk1">
                <a:hueOff val="0"/>
                <a:satOff val="0"/>
                <a:lumOff val="0"/>
                <a:alphaOff val="0"/>
              </a:schemeClr>
            </a:solidFill>
            <a:latin typeface="GE Inspira Serif" panose="02060502070000000003" pitchFamily="18" charset="0"/>
            <a:ea typeface="+mn-ea"/>
            <a:cs typeface="+mn-cs"/>
          </a:endParaRPr>
        </a:p>
      </xdr:txBody>
    </xdr:sp>
    <xdr:clientData/>
  </xdr:twoCellAnchor>
  <xdr:twoCellAnchor>
    <xdr:from>
      <xdr:col>2</xdr:col>
      <xdr:colOff>1219582</xdr:colOff>
      <xdr:row>118</xdr:row>
      <xdr:rowOff>177332</xdr:rowOff>
    </xdr:from>
    <xdr:to>
      <xdr:col>4</xdr:col>
      <xdr:colOff>95250</xdr:colOff>
      <xdr:row>122</xdr:row>
      <xdr:rowOff>76201</xdr:rowOff>
    </xdr:to>
    <xdr:grpSp>
      <xdr:nvGrpSpPr>
        <xdr:cNvPr id="35" name="Group 34">
          <a:extLst>
            <a:ext uri="{FF2B5EF4-FFF2-40B4-BE49-F238E27FC236}">
              <a16:creationId xmlns:a16="http://schemas.microsoft.com/office/drawing/2014/main" id="{00000000-0008-0000-0B00-000023000000}"/>
            </a:ext>
          </a:extLst>
        </xdr:cNvPr>
        <xdr:cNvGrpSpPr/>
      </xdr:nvGrpSpPr>
      <xdr:grpSpPr>
        <a:xfrm>
          <a:off x="2438782" y="23989832"/>
          <a:ext cx="2037968" cy="622769"/>
          <a:chOff x="652521" y="-16262"/>
          <a:chExt cx="3470583" cy="973301"/>
        </a:xfrm>
      </xdr:grpSpPr>
      <xdr:sp macro="" textlink="">
        <xdr:nvSpPr>
          <xdr:cNvPr id="36" name="Rectangle: Top Corners Rounded 35">
            <a:extLst>
              <a:ext uri="{FF2B5EF4-FFF2-40B4-BE49-F238E27FC236}">
                <a16:creationId xmlns:a16="http://schemas.microsoft.com/office/drawing/2014/main" id="{00000000-0008-0000-0B00-000024000000}"/>
              </a:ext>
            </a:extLst>
          </xdr:cNvPr>
          <xdr:cNvSpPr/>
        </xdr:nvSpPr>
        <xdr:spPr>
          <a:xfrm rot="5400000">
            <a:off x="1927267" y="-1238798"/>
            <a:ext cx="953530" cy="3438144"/>
          </a:xfrm>
          <a:prstGeom prst="round2SameRect">
            <a:avLst/>
          </a:prstGeom>
        </xdr:spPr>
        <xdr:style>
          <a:lnRef idx="2">
            <a:schemeClr val="accent1">
              <a:alpha val="90000"/>
              <a:tint val="40000"/>
              <a:hueOff val="0"/>
              <a:satOff val="0"/>
              <a:lumOff val="0"/>
              <a:alphaOff val="0"/>
            </a:schemeClr>
          </a:lnRef>
          <a:fillRef idx="1">
            <a:schemeClr val="accent1">
              <a:alpha val="90000"/>
              <a:tint val="40000"/>
              <a:hueOff val="0"/>
              <a:satOff val="0"/>
              <a:lumOff val="0"/>
              <a:alphaOff val="0"/>
            </a:schemeClr>
          </a:fillRef>
          <a:effectRef idx="0">
            <a:schemeClr val="accent1">
              <a:alpha val="90000"/>
              <a:tint val="40000"/>
              <a:hueOff val="0"/>
              <a:satOff val="0"/>
              <a:lumOff val="0"/>
              <a:alphaOff val="0"/>
            </a:schemeClr>
          </a:effectRef>
          <a:fontRef idx="minor">
            <a:schemeClr val="dk1">
              <a:hueOff val="0"/>
              <a:satOff val="0"/>
              <a:lumOff val="0"/>
              <a:alphaOff val="0"/>
            </a:schemeClr>
          </a:fontRef>
        </xdr:style>
      </xdr:sp>
      <xdr:sp macro="" textlink="">
        <xdr:nvSpPr>
          <xdr:cNvPr id="37" name="Rectangle: Top Corners Rounded 4">
            <a:extLst>
              <a:ext uri="{FF2B5EF4-FFF2-40B4-BE49-F238E27FC236}">
                <a16:creationId xmlns:a16="http://schemas.microsoft.com/office/drawing/2014/main" id="{00000000-0008-0000-0B00-000025000000}"/>
              </a:ext>
            </a:extLst>
          </xdr:cNvPr>
          <xdr:cNvSpPr txBox="1"/>
        </xdr:nvSpPr>
        <xdr:spPr>
          <a:xfrm>
            <a:off x="652521" y="-16262"/>
            <a:ext cx="3391597" cy="860436"/>
          </a:xfrm>
          <a:prstGeom prst="rect">
            <a:avLst/>
          </a:prstGeom>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247650" tIns="123825" rIns="247650" bIns="123825" numCol="1" spcCol="1270" anchor="ctr" anchorCtr="0">
            <a:noAutofit/>
          </a:bodyPr>
          <a:lstStyle/>
          <a:p>
            <a:pPr marL="57150" lvl="1" indent="-57150" algn="l" defTabSz="444500">
              <a:lnSpc>
                <a:spcPct val="90000"/>
              </a:lnSpc>
              <a:spcBef>
                <a:spcPct val="0"/>
              </a:spcBef>
              <a:spcAft>
                <a:spcPct val="15000"/>
              </a:spcAft>
              <a:buChar char="•"/>
            </a:pPr>
            <a:r>
              <a:rPr lang="en-US" sz="1000" kern="1200">
                <a:latin typeface="GE Inspira Serif" panose="02060502070000000003" pitchFamily="18" charset="0"/>
              </a:rPr>
              <a:t>Equipment</a:t>
            </a:r>
            <a:r>
              <a:rPr lang="en-US" sz="1000" kern="1200" baseline="0">
                <a:latin typeface="GE Inspira Serif" panose="02060502070000000003" pitchFamily="18" charset="0"/>
              </a:rPr>
              <a:t> and Consumables { Lab services costs or amortized capital}</a:t>
            </a:r>
          </a:p>
        </xdr:txBody>
      </xdr:sp>
    </xdr:grpSp>
    <xdr:clientData/>
  </xdr:twoCellAnchor>
  <xdr:twoCellAnchor>
    <xdr:from>
      <xdr:col>2</xdr:col>
      <xdr:colOff>0</xdr:colOff>
      <xdr:row>119</xdr:row>
      <xdr:rowOff>0</xdr:rowOff>
    </xdr:from>
    <xdr:to>
      <xdr:col>2</xdr:col>
      <xdr:colOff>1266825</xdr:colOff>
      <xdr:row>122</xdr:row>
      <xdr:rowOff>76200</xdr:rowOff>
    </xdr:to>
    <xdr:grpSp>
      <xdr:nvGrpSpPr>
        <xdr:cNvPr id="38" name="Group 37">
          <a:extLst>
            <a:ext uri="{FF2B5EF4-FFF2-40B4-BE49-F238E27FC236}">
              <a16:creationId xmlns:a16="http://schemas.microsoft.com/office/drawing/2014/main" id="{00000000-0008-0000-0B00-000026000000}"/>
            </a:ext>
          </a:extLst>
        </xdr:cNvPr>
        <xdr:cNvGrpSpPr/>
      </xdr:nvGrpSpPr>
      <xdr:grpSpPr>
        <a:xfrm>
          <a:off x="1219200" y="23993475"/>
          <a:ext cx="1266825" cy="619125"/>
          <a:chOff x="0" y="430"/>
          <a:chExt cx="1933956" cy="1012738"/>
        </a:xfrm>
      </xdr:grpSpPr>
      <xdr:sp macro="" textlink="">
        <xdr:nvSpPr>
          <xdr:cNvPr id="39" name="Rectangle: Rounded Corners 38">
            <a:extLst>
              <a:ext uri="{FF2B5EF4-FFF2-40B4-BE49-F238E27FC236}">
                <a16:creationId xmlns:a16="http://schemas.microsoft.com/office/drawing/2014/main" id="{00000000-0008-0000-0B00-000027000000}"/>
              </a:ext>
            </a:extLst>
          </xdr:cNvPr>
          <xdr:cNvSpPr/>
        </xdr:nvSpPr>
        <xdr:spPr>
          <a:xfrm>
            <a:off x="0" y="430"/>
            <a:ext cx="1933956" cy="1012738"/>
          </a:xfrm>
          <a:prstGeom prst="roundRect">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sp macro="" textlink="">
        <xdr:nvSpPr>
          <xdr:cNvPr id="40" name="Rectangle: Rounded Corners 6">
            <a:extLst>
              <a:ext uri="{FF2B5EF4-FFF2-40B4-BE49-F238E27FC236}">
                <a16:creationId xmlns:a16="http://schemas.microsoft.com/office/drawing/2014/main" id="{00000000-0008-0000-0B00-000028000000}"/>
              </a:ext>
            </a:extLst>
          </xdr:cNvPr>
          <xdr:cNvSpPr txBox="1"/>
        </xdr:nvSpPr>
        <xdr:spPr>
          <a:xfrm>
            <a:off x="49438" y="49868"/>
            <a:ext cx="1835080" cy="750662"/>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38100" tIns="19050" rIns="38100" bIns="19050" numCol="1" spcCol="1270" anchor="ctr" anchorCtr="0">
            <a:noAutofit/>
          </a:bodyPr>
          <a:lstStyle/>
          <a:p>
            <a:pPr marL="0" lvl="0" indent="0" algn="ctr" defTabSz="444500">
              <a:lnSpc>
                <a:spcPct val="90000"/>
              </a:lnSpc>
              <a:spcBef>
                <a:spcPct val="0"/>
              </a:spcBef>
              <a:spcAft>
                <a:spcPct val="35000"/>
              </a:spcAft>
              <a:buNone/>
            </a:pPr>
            <a:r>
              <a:rPr lang="en-US" sz="1000" kern="1200">
                <a:latin typeface="GE Inspira Serif" panose="02060502070000000003" pitchFamily="18" charset="0"/>
              </a:rPr>
              <a:t>EC</a:t>
            </a:r>
          </a:p>
        </xdr:txBody>
      </xdr:sp>
    </xdr:grpSp>
    <xdr:clientData/>
  </xdr:twoCellAnchor>
  <xdr:twoCellAnchor>
    <xdr:from>
      <xdr:col>2</xdr:col>
      <xdr:colOff>1305307</xdr:colOff>
      <xdr:row>127</xdr:row>
      <xdr:rowOff>29837</xdr:rowOff>
    </xdr:from>
    <xdr:to>
      <xdr:col>4</xdr:col>
      <xdr:colOff>180975</xdr:colOff>
      <xdr:row>129</xdr:row>
      <xdr:rowOff>169058</xdr:rowOff>
    </xdr:to>
    <xdr:sp macro="" textlink="">
      <xdr:nvSpPr>
        <xdr:cNvPr id="41" name="Rectangle: Top Corners Rounded 12">
          <a:extLst>
            <a:ext uri="{FF2B5EF4-FFF2-40B4-BE49-F238E27FC236}">
              <a16:creationId xmlns:a16="http://schemas.microsoft.com/office/drawing/2014/main" id="{00000000-0008-0000-0B00-000029000000}"/>
            </a:ext>
          </a:extLst>
        </xdr:cNvPr>
        <xdr:cNvSpPr txBox="1"/>
      </xdr:nvSpPr>
      <xdr:spPr>
        <a:xfrm>
          <a:off x="2524507" y="28033337"/>
          <a:ext cx="2037968" cy="539271"/>
        </a:xfrm>
        <a:prstGeom prst="rect">
          <a:avLst/>
        </a:prstGeom>
        <a:solidFill>
          <a:schemeClr val="accent2"/>
        </a:solidFill>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247650" tIns="123825" rIns="247650" bIns="123825" numCol="1" spcCol="1270" anchor="ctr" anchorCtr="0">
          <a:noAutofit/>
        </a:bodyPr>
        <a:lstStyle/>
        <a:p>
          <a:pPr marL="57150" lvl="1" indent="-57150" algn="l" defTabSz="444500">
            <a:lnSpc>
              <a:spcPct val="90000"/>
            </a:lnSpc>
            <a:spcBef>
              <a:spcPct val="0"/>
            </a:spcBef>
            <a:spcAft>
              <a:spcPct val="15000"/>
            </a:spcAft>
            <a:buChar char="•"/>
          </a:pPr>
          <a:r>
            <a:rPr lang="en-US" sz="1000" kern="1200">
              <a:latin typeface="GE Inspira Serif" panose="02060502070000000003" pitchFamily="18" charset="0"/>
            </a:rPr>
            <a:t>Whole product cost for units tested { Multipled by number of samples used}</a:t>
          </a:r>
          <a:endParaRPr lang="en-US" sz="1000" kern="1200">
            <a:solidFill>
              <a:sysClr val="windowText" lastClr="000000">
                <a:hueOff val="0"/>
                <a:satOff val="0"/>
                <a:lumOff val="0"/>
                <a:alphaOff val="0"/>
              </a:sysClr>
            </a:solidFill>
            <a:latin typeface="GE Inspira Serif" panose="02060502070000000003" pitchFamily="18" charset="0"/>
            <a:ea typeface="+mn-ea"/>
            <a:cs typeface="+mn-cs"/>
          </a:endParaRPr>
        </a:p>
        <a:p>
          <a:pPr marL="57150" lvl="1" indent="-57150" algn="l" defTabSz="444500">
            <a:lnSpc>
              <a:spcPct val="90000"/>
            </a:lnSpc>
            <a:spcBef>
              <a:spcPct val="0"/>
            </a:spcBef>
            <a:spcAft>
              <a:spcPct val="15000"/>
            </a:spcAft>
            <a:buChar char="•"/>
          </a:pPr>
          <a:endParaRPr lang="en-US" sz="1000" kern="1200">
            <a:solidFill>
              <a:sysClr val="windowText" lastClr="000000">
                <a:hueOff val="0"/>
                <a:satOff val="0"/>
                <a:lumOff val="0"/>
                <a:alphaOff val="0"/>
              </a:sysClr>
            </a:solidFill>
            <a:latin typeface="GE Inspira Serif" panose="02060502070000000003" pitchFamily="18" charset="0"/>
            <a:ea typeface="+mn-ea"/>
            <a:cs typeface="+mn-cs"/>
          </a:endParaRPr>
        </a:p>
      </xdr:txBody>
    </xdr:sp>
    <xdr:clientData/>
  </xdr:twoCellAnchor>
  <xdr:twoCellAnchor>
    <xdr:from>
      <xdr:col>2</xdr:col>
      <xdr:colOff>0</xdr:colOff>
      <xdr:row>127</xdr:row>
      <xdr:rowOff>0</xdr:rowOff>
    </xdr:from>
    <xdr:to>
      <xdr:col>2</xdr:col>
      <xdr:colOff>1314450</xdr:colOff>
      <xdr:row>129</xdr:row>
      <xdr:rowOff>160131</xdr:rowOff>
    </xdr:to>
    <xdr:grpSp>
      <xdr:nvGrpSpPr>
        <xdr:cNvPr id="42" name="Group 41">
          <a:extLst>
            <a:ext uri="{FF2B5EF4-FFF2-40B4-BE49-F238E27FC236}">
              <a16:creationId xmlns:a16="http://schemas.microsoft.com/office/drawing/2014/main" id="{00000000-0008-0000-0B00-00002A000000}"/>
            </a:ext>
          </a:extLst>
        </xdr:cNvPr>
        <xdr:cNvGrpSpPr/>
      </xdr:nvGrpSpPr>
      <xdr:grpSpPr>
        <a:xfrm>
          <a:off x="1219200" y="25441275"/>
          <a:ext cx="1314450" cy="522081"/>
          <a:chOff x="0" y="2011999"/>
          <a:chExt cx="1933956" cy="1288646"/>
        </a:xfrm>
      </xdr:grpSpPr>
      <xdr:sp macro="" textlink="">
        <xdr:nvSpPr>
          <xdr:cNvPr id="43" name="Rectangle: Rounded Corners 42">
            <a:extLst>
              <a:ext uri="{FF2B5EF4-FFF2-40B4-BE49-F238E27FC236}">
                <a16:creationId xmlns:a16="http://schemas.microsoft.com/office/drawing/2014/main" id="{00000000-0008-0000-0B00-00002B000000}"/>
              </a:ext>
            </a:extLst>
          </xdr:cNvPr>
          <xdr:cNvSpPr/>
        </xdr:nvSpPr>
        <xdr:spPr>
          <a:xfrm>
            <a:off x="0" y="2011999"/>
            <a:ext cx="1933956" cy="1288646"/>
          </a:xfrm>
          <a:prstGeom prst="roundRect">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sp macro="" textlink="">
        <xdr:nvSpPr>
          <xdr:cNvPr id="44" name="Rectangle: Rounded Corners 14">
            <a:extLst>
              <a:ext uri="{FF2B5EF4-FFF2-40B4-BE49-F238E27FC236}">
                <a16:creationId xmlns:a16="http://schemas.microsoft.com/office/drawing/2014/main" id="{00000000-0008-0000-0B00-00002C000000}"/>
              </a:ext>
            </a:extLst>
          </xdr:cNvPr>
          <xdr:cNvSpPr txBox="1"/>
        </xdr:nvSpPr>
        <xdr:spPr>
          <a:xfrm>
            <a:off x="62907" y="2074906"/>
            <a:ext cx="1808142" cy="763974"/>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38100" tIns="19050" rIns="38100" bIns="19050" numCol="1" spcCol="1270" anchor="ctr" anchorCtr="0">
            <a:noAutofit/>
          </a:bodyPr>
          <a:lstStyle/>
          <a:p>
            <a:pPr marL="0" lvl="0" indent="0" algn="ctr" defTabSz="444500">
              <a:lnSpc>
                <a:spcPct val="90000"/>
              </a:lnSpc>
              <a:spcBef>
                <a:spcPct val="0"/>
              </a:spcBef>
              <a:spcAft>
                <a:spcPct val="35000"/>
              </a:spcAft>
              <a:buNone/>
            </a:pPr>
            <a:r>
              <a:rPr lang="en-US" sz="1000" kern="1200">
                <a:solidFill>
                  <a:sysClr val="window" lastClr="FFFFFF"/>
                </a:solidFill>
                <a:latin typeface="GE Inspira Serif" panose="02060502070000000003" pitchFamily="18" charset="0"/>
                <a:ea typeface="+mn-ea"/>
                <a:cs typeface="+mn-cs"/>
              </a:rPr>
              <a:t>WPC * Nt</a:t>
            </a:r>
          </a:p>
        </xdr:txBody>
      </xdr:sp>
    </xdr:grpSp>
    <xdr:clientData/>
  </xdr:twoCellAnchor>
  <xdr:twoCellAnchor>
    <xdr:from>
      <xdr:col>2</xdr:col>
      <xdr:colOff>113436</xdr:colOff>
      <xdr:row>131</xdr:row>
      <xdr:rowOff>95250</xdr:rowOff>
    </xdr:from>
    <xdr:to>
      <xdr:col>2</xdr:col>
      <xdr:colOff>981075</xdr:colOff>
      <xdr:row>134</xdr:row>
      <xdr:rowOff>9525</xdr:rowOff>
    </xdr:to>
    <xdr:grpSp>
      <xdr:nvGrpSpPr>
        <xdr:cNvPr id="45" name="Group 44">
          <a:extLst>
            <a:ext uri="{FF2B5EF4-FFF2-40B4-BE49-F238E27FC236}">
              <a16:creationId xmlns:a16="http://schemas.microsoft.com/office/drawing/2014/main" id="{00000000-0008-0000-0B00-00002D000000}"/>
            </a:ext>
          </a:extLst>
        </xdr:cNvPr>
        <xdr:cNvGrpSpPr/>
      </xdr:nvGrpSpPr>
      <xdr:grpSpPr>
        <a:xfrm>
          <a:off x="1332636" y="26260425"/>
          <a:ext cx="867639" cy="457200"/>
          <a:chOff x="0" y="1719125"/>
          <a:chExt cx="1933956" cy="1581520"/>
        </a:xfrm>
      </xdr:grpSpPr>
      <xdr:sp macro="" textlink="">
        <xdr:nvSpPr>
          <xdr:cNvPr id="46" name="Rectangle: Rounded Corners 45">
            <a:extLst>
              <a:ext uri="{FF2B5EF4-FFF2-40B4-BE49-F238E27FC236}">
                <a16:creationId xmlns:a16="http://schemas.microsoft.com/office/drawing/2014/main" id="{00000000-0008-0000-0B00-00002E000000}"/>
              </a:ext>
            </a:extLst>
          </xdr:cNvPr>
          <xdr:cNvSpPr/>
        </xdr:nvSpPr>
        <xdr:spPr>
          <a:xfrm>
            <a:off x="0" y="2011999"/>
            <a:ext cx="1933956" cy="1288646"/>
          </a:xfrm>
          <a:prstGeom prst="roundRect">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sp macro="" textlink="">
        <xdr:nvSpPr>
          <xdr:cNvPr id="47" name="Rectangle: Rounded Corners 14">
            <a:extLst>
              <a:ext uri="{FF2B5EF4-FFF2-40B4-BE49-F238E27FC236}">
                <a16:creationId xmlns:a16="http://schemas.microsoft.com/office/drawing/2014/main" id="{00000000-0008-0000-0B00-00002F000000}"/>
              </a:ext>
            </a:extLst>
          </xdr:cNvPr>
          <xdr:cNvSpPr txBox="1"/>
        </xdr:nvSpPr>
        <xdr:spPr>
          <a:xfrm>
            <a:off x="62906" y="1719125"/>
            <a:ext cx="1808143" cy="1119757"/>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38100" tIns="19050" rIns="38100" bIns="19050" numCol="1" spcCol="1270" anchor="ctr" anchorCtr="0">
            <a:noAutofit/>
          </a:bodyPr>
          <a:lstStyle/>
          <a:p>
            <a:pPr marL="0" lvl="0" indent="0" algn="ctr" defTabSz="444500">
              <a:lnSpc>
                <a:spcPct val="90000"/>
              </a:lnSpc>
              <a:spcBef>
                <a:spcPct val="0"/>
              </a:spcBef>
              <a:spcAft>
                <a:spcPct val="35000"/>
              </a:spcAft>
              <a:buNone/>
            </a:pPr>
            <a:r>
              <a:rPr lang="en-US" sz="1000" kern="1200">
                <a:solidFill>
                  <a:sysClr val="window" lastClr="FFFFFF"/>
                </a:solidFill>
                <a:latin typeface="GE Inspira Serif" panose="02060502070000000003" pitchFamily="18" charset="0"/>
                <a:ea typeface="+mn-ea"/>
                <a:cs typeface="+mn-cs"/>
              </a:rPr>
              <a:t>FA</a:t>
            </a:r>
          </a:p>
        </xdr:txBody>
      </xdr:sp>
    </xdr:grpSp>
    <xdr:clientData/>
  </xdr:twoCellAnchor>
  <xdr:twoCellAnchor>
    <xdr:from>
      <xdr:col>2</xdr:col>
      <xdr:colOff>1000125</xdr:colOff>
      <xdr:row>131</xdr:row>
      <xdr:rowOff>133350</xdr:rowOff>
    </xdr:from>
    <xdr:to>
      <xdr:col>3</xdr:col>
      <xdr:colOff>1340516</xdr:colOff>
      <xdr:row>134</xdr:row>
      <xdr:rowOff>75820</xdr:rowOff>
    </xdr:to>
    <xdr:sp macro="" textlink="">
      <xdr:nvSpPr>
        <xdr:cNvPr id="48" name="Rectangle: Top Corners Rounded 12">
          <a:extLst>
            <a:ext uri="{FF2B5EF4-FFF2-40B4-BE49-F238E27FC236}">
              <a16:creationId xmlns:a16="http://schemas.microsoft.com/office/drawing/2014/main" id="{00000000-0008-0000-0B00-000030000000}"/>
            </a:ext>
          </a:extLst>
        </xdr:cNvPr>
        <xdr:cNvSpPr txBox="1"/>
      </xdr:nvSpPr>
      <xdr:spPr>
        <a:xfrm>
          <a:off x="2219325" y="28936950"/>
          <a:ext cx="1883441" cy="542545"/>
        </a:xfrm>
        <a:prstGeom prst="rect">
          <a:avLst/>
        </a:prstGeom>
        <a:solidFill>
          <a:schemeClr val="accent2"/>
        </a:solidFill>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247650" tIns="123825" rIns="247650" bIns="123825" numCol="1" spcCol="1270" anchor="ctr" anchorCtr="0">
          <a:noAutofit/>
        </a:bodyPr>
        <a:lstStyle/>
        <a:p>
          <a:pPr marL="57150" marR="0" lvl="1" indent="-57150" algn="l" defTabSz="444500" eaLnBrk="1" fontAlgn="auto" latinLnBrk="0" hangingPunct="1">
            <a:lnSpc>
              <a:spcPct val="90000"/>
            </a:lnSpc>
            <a:spcBef>
              <a:spcPct val="0"/>
            </a:spcBef>
            <a:spcAft>
              <a:spcPct val="15000"/>
            </a:spcAft>
            <a:buClrTx/>
            <a:buSzTx/>
            <a:buFontTx/>
            <a:buChar char="•"/>
            <a:tabLst/>
            <a:defRPr/>
          </a:pPr>
          <a:r>
            <a:rPr lang="en-US" sz="1000" kern="1200" noProof="0">
              <a:solidFill>
                <a:schemeClr val="dk1">
                  <a:hueOff val="0"/>
                  <a:satOff val="0"/>
                  <a:lumOff val="0"/>
                  <a:alphaOff val="0"/>
                </a:schemeClr>
              </a:solidFill>
              <a:latin typeface="GE Inspira Serif" panose="02060502070000000003" pitchFamily="18" charset="0"/>
              <a:ea typeface="+mn-ea"/>
              <a:cs typeface="+mn-cs"/>
            </a:rPr>
            <a:t>Failure</a:t>
          </a:r>
          <a:r>
            <a:rPr lang="en-US" sz="1000" kern="1200" baseline="0" noProof="0">
              <a:solidFill>
                <a:schemeClr val="dk1">
                  <a:hueOff val="0"/>
                  <a:satOff val="0"/>
                  <a:lumOff val="0"/>
                  <a:alphaOff val="0"/>
                </a:schemeClr>
              </a:solidFill>
              <a:latin typeface="GE Inspira Serif" panose="02060502070000000003" pitchFamily="18" charset="0"/>
              <a:ea typeface="+mn-ea"/>
              <a:cs typeface="+mn-cs"/>
            </a:rPr>
            <a:t> Analysis { Multiply by number of failures investigated}</a:t>
          </a:r>
          <a:endParaRPr lang="en-US" sz="1000" kern="1200" noProof="0">
            <a:solidFill>
              <a:schemeClr val="dk1">
                <a:hueOff val="0"/>
                <a:satOff val="0"/>
                <a:lumOff val="0"/>
                <a:alphaOff val="0"/>
              </a:schemeClr>
            </a:solidFill>
            <a:latin typeface="GE Inspira Serif" panose="02060502070000000003" pitchFamily="18" charset="0"/>
            <a:ea typeface="+mn-ea"/>
            <a:cs typeface="+mn-cs"/>
          </a:endParaRPr>
        </a:p>
        <a:p>
          <a:pPr marL="57150" marR="0" lvl="1" indent="-57150" algn="l" defTabSz="444500" eaLnBrk="1" fontAlgn="auto" latinLnBrk="0" hangingPunct="1">
            <a:lnSpc>
              <a:spcPct val="90000"/>
            </a:lnSpc>
            <a:spcBef>
              <a:spcPct val="0"/>
            </a:spcBef>
            <a:spcAft>
              <a:spcPct val="15000"/>
            </a:spcAft>
            <a:buClrTx/>
            <a:buSzTx/>
            <a:buFontTx/>
            <a:buChar char="•"/>
            <a:tabLst/>
            <a:defRPr/>
          </a:pPr>
          <a:endParaRPr lang="en-US" sz="1000" kern="1200" noProof="0">
            <a:solidFill>
              <a:schemeClr val="dk1">
                <a:hueOff val="0"/>
                <a:satOff val="0"/>
                <a:lumOff val="0"/>
                <a:alphaOff val="0"/>
              </a:schemeClr>
            </a:solidFill>
            <a:latin typeface="GE Inspira Serif" panose="02060502070000000003" pitchFamily="18" charset="0"/>
            <a:ea typeface="+mn-ea"/>
            <a:cs typeface="+mn-cs"/>
          </a:endParaRPr>
        </a:p>
      </xdr:txBody>
    </xdr:sp>
    <xdr:clientData/>
  </xdr:twoCellAnchor>
  <xdr:twoCellAnchor>
    <xdr:from>
      <xdr:col>2</xdr:col>
      <xdr:colOff>158332</xdr:colOff>
      <xdr:row>134</xdr:row>
      <xdr:rowOff>161923</xdr:rowOff>
    </xdr:from>
    <xdr:to>
      <xdr:col>2</xdr:col>
      <xdr:colOff>984561</xdr:colOff>
      <xdr:row>136</xdr:row>
      <xdr:rowOff>171450</xdr:rowOff>
    </xdr:to>
    <xdr:sp macro="" textlink="">
      <xdr:nvSpPr>
        <xdr:cNvPr id="49" name="Rectangle: Rounded Corners 14">
          <a:extLst>
            <a:ext uri="{FF2B5EF4-FFF2-40B4-BE49-F238E27FC236}">
              <a16:creationId xmlns:a16="http://schemas.microsoft.com/office/drawing/2014/main" id="{00000000-0008-0000-0B00-000031000000}"/>
            </a:ext>
          </a:extLst>
        </xdr:cNvPr>
        <xdr:cNvSpPr txBox="1"/>
      </xdr:nvSpPr>
      <xdr:spPr>
        <a:xfrm>
          <a:off x="1377532" y="29565598"/>
          <a:ext cx="826229" cy="409577"/>
        </a:xfrm>
        <a:prstGeom prst="rect">
          <a:avLst/>
        </a:prstGeom>
        <a:solidFill>
          <a:schemeClr val="accent2"/>
        </a:solidFill>
      </xdr:spPr>
      <xdr:style>
        <a:lnRef idx="0">
          <a:scrgbClr r="0" g="0" b="0"/>
        </a:lnRef>
        <a:fillRef idx="0">
          <a:scrgbClr r="0" g="0" b="0"/>
        </a:fillRef>
        <a:effectRef idx="0">
          <a:scrgbClr r="0" g="0" b="0"/>
        </a:effectRef>
        <a:fontRef idx="minor">
          <a:schemeClr val="lt1"/>
        </a:fontRef>
      </xdr:style>
      <xdr:txBody>
        <a:bodyPr spcFirstLastPara="0" vert="horz" wrap="square" lIns="38100" tIns="19050" rIns="38100" bIns="19050" numCol="1" spcCol="1270" anchor="ctr" anchorCtr="0">
          <a:noAutofit/>
        </a:bodyPr>
        <a:lstStyle/>
        <a:p>
          <a:pPr marL="0" lvl="0" indent="0" algn="ctr" defTabSz="444500">
            <a:lnSpc>
              <a:spcPct val="90000"/>
            </a:lnSpc>
            <a:spcBef>
              <a:spcPct val="0"/>
            </a:spcBef>
            <a:spcAft>
              <a:spcPct val="35000"/>
            </a:spcAft>
            <a:buNone/>
          </a:pPr>
          <a:r>
            <a:rPr lang="en-US" sz="1000" kern="1200">
              <a:solidFill>
                <a:sysClr val="window" lastClr="FFFFFF"/>
              </a:solidFill>
              <a:latin typeface="GE Inspira Serif" panose="02060502070000000003" pitchFamily="18" charset="0"/>
              <a:ea typeface="+mn-ea"/>
              <a:cs typeface="+mn-cs"/>
            </a:rPr>
            <a:t>CA</a:t>
          </a:r>
        </a:p>
      </xdr:txBody>
    </xdr:sp>
    <xdr:clientData/>
  </xdr:twoCellAnchor>
  <xdr:twoCellAnchor>
    <xdr:from>
      <xdr:col>2</xdr:col>
      <xdr:colOff>1000125</xdr:colOff>
      <xdr:row>134</xdr:row>
      <xdr:rowOff>142874</xdr:rowOff>
    </xdr:from>
    <xdr:to>
      <xdr:col>3</xdr:col>
      <xdr:colOff>1340516</xdr:colOff>
      <xdr:row>138</xdr:row>
      <xdr:rowOff>47625</xdr:rowOff>
    </xdr:to>
    <xdr:sp macro="" textlink="">
      <xdr:nvSpPr>
        <xdr:cNvPr id="50" name="Rectangle: Top Corners Rounded 12">
          <a:extLst>
            <a:ext uri="{FF2B5EF4-FFF2-40B4-BE49-F238E27FC236}">
              <a16:creationId xmlns:a16="http://schemas.microsoft.com/office/drawing/2014/main" id="{00000000-0008-0000-0B00-000032000000}"/>
            </a:ext>
          </a:extLst>
        </xdr:cNvPr>
        <xdr:cNvSpPr txBox="1"/>
      </xdr:nvSpPr>
      <xdr:spPr>
        <a:xfrm>
          <a:off x="2219325" y="29546549"/>
          <a:ext cx="1883441" cy="704851"/>
        </a:xfrm>
        <a:prstGeom prst="rect">
          <a:avLst/>
        </a:prstGeom>
        <a:solidFill>
          <a:schemeClr val="accent2"/>
        </a:solidFill>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247650" tIns="123825" rIns="247650" bIns="123825" numCol="1" spcCol="1270" anchor="ctr" anchorCtr="0">
          <a:noAutofit/>
        </a:bodyPr>
        <a:lstStyle/>
        <a:p>
          <a:pPr marL="57150" marR="0" lvl="1" indent="-57150" algn="l" defTabSz="444500" eaLnBrk="1" fontAlgn="auto" latinLnBrk="0" hangingPunct="1">
            <a:lnSpc>
              <a:spcPct val="90000"/>
            </a:lnSpc>
            <a:spcBef>
              <a:spcPct val="0"/>
            </a:spcBef>
            <a:spcAft>
              <a:spcPct val="15000"/>
            </a:spcAft>
            <a:buClrTx/>
            <a:buSzTx/>
            <a:buFontTx/>
            <a:buChar char="•"/>
            <a:tabLst/>
            <a:defRPr/>
          </a:pPr>
          <a:r>
            <a:rPr lang="en-US" sz="1000" kern="1200" noProof="0">
              <a:solidFill>
                <a:schemeClr val="dk1">
                  <a:hueOff val="0"/>
                  <a:satOff val="0"/>
                  <a:lumOff val="0"/>
                  <a:alphaOff val="0"/>
                </a:schemeClr>
              </a:solidFill>
              <a:latin typeface="GE Inspira Serif" panose="02060502070000000003" pitchFamily="18" charset="0"/>
              <a:ea typeface="+mn-ea"/>
              <a:cs typeface="+mn-cs"/>
            </a:rPr>
            <a:t>Corrective</a:t>
          </a:r>
          <a:r>
            <a:rPr lang="en-US" sz="1000" kern="1200" baseline="0" noProof="0">
              <a:solidFill>
                <a:schemeClr val="dk1">
                  <a:hueOff val="0"/>
                  <a:satOff val="0"/>
                  <a:lumOff val="0"/>
                  <a:alphaOff val="0"/>
                </a:schemeClr>
              </a:solidFill>
              <a:latin typeface="GE Inspira Serif" panose="02060502070000000003" pitchFamily="18" charset="0"/>
              <a:ea typeface="+mn-ea"/>
              <a:cs typeface="+mn-cs"/>
            </a:rPr>
            <a:t> action { Multiply by number of failures investigated}</a:t>
          </a:r>
          <a:br>
            <a:rPr lang="en-US" sz="1000" kern="1200" baseline="0" noProof="0">
              <a:solidFill>
                <a:schemeClr val="dk1">
                  <a:hueOff val="0"/>
                  <a:satOff val="0"/>
                  <a:lumOff val="0"/>
                  <a:alphaOff val="0"/>
                </a:schemeClr>
              </a:solidFill>
              <a:latin typeface="GE Inspira Serif" panose="02060502070000000003" pitchFamily="18" charset="0"/>
              <a:ea typeface="+mn-ea"/>
              <a:cs typeface="+mn-cs"/>
            </a:rPr>
          </a:br>
          <a:endParaRPr lang="en-US" sz="1000" kern="1200" noProof="0">
            <a:solidFill>
              <a:schemeClr val="dk1">
                <a:hueOff val="0"/>
                <a:satOff val="0"/>
                <a:lumOff val="0"/>
                <a:alphaOff val="0"/>
              </a:schemeClr>
            </a:solidFill>
            <a:latin typeface="GE Inspira Serif" panose="02060502070000000003" pitchFamily="18" charset="0"/>
            <a:ea typeface="+mn-ea"/>
            <a:cs typeface="+mn-cs"/>
          </a:endParaRPr>
        </a:p>
        <a:p>
          <a:pPr marL="57150" marR="0" lvl="1" indent="-57150" algn="l" defTabSz="444500" eaLnBrk="1" fontAlgn="auto" latinLnBrk="0" hangingPunct="1">
            <a:lnSpc>
              <a:spcPct val="90000"/>
            </a:lnSpc>
            <a:spcBef>
              <a:spcPct val="0"/>
            </a:spcBef>
            <a:spcAft>
              <a:spcPct val="15000"/>
            </a:spcAft>
            <a:buClrTx/>
            <a:buSzTx/>
            <a:buFontTx/>
            <a:buChar char="•"/>
            <a:tabLst/>
            <a:defRPr/>
          </a:pPr>
          <a:endParaRPr lang="en-US" sz="1000" kern="1200" noProof="0">
            <a:solidFill>
              <a:schemeClr val="dk1">
                <a:hueOff val="0"/>
                <a:satOff val="0"/>
                <a:lumOff val="0"/>
                <a:alphaOff val="0"/>
              </a:schemeClr>
            </a:solidFill>
            <a:latin typeface="GE Inspira Serif" panose="02060502070000000003" pitchFamily="18" charset="0"/>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10</xdr:col>
      <xdr:colOff>123825</xdr:colOff>
      <xdr:row>24</xdr:row>
      <xdr:rowOff>14968</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609600" y="190500"/>
          <a:ext cx="5610225" cy="4410075"/>
        </a:xfrm>
        <a:prstGeom prst="rect">
          <a:avLst/>
        </a:prstGeom>
      </xdr:spPr>
    </xdr:pic>
    <xdr:clientData/>
  </xdr:twoCellAnchor>
  <xdr:twoCellAnchor editAs="oneCell">
    <xdr:from>
      <xdr:col>12</xdr:col>
      <xdr:colOff>0</xdr:colOff>
      <xdr:row>1</xdr:row>
      <xdr:rowOff>0</xdr:rowOff>
    </xdr:from>
    <xdr:to>
      <xdr:col>24</xdr:col>
      <xdr:colOff>517072</xdr:colOff>
      <xdr:row>25</xdr:row>
      <xdr:rowOff>163286</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7347857" y="190500"/>
          <a:ext cx="7864929" cy="474889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609600</xdr:colOff>
      <xdr:row>1</xdr:row>
      <xdr:rowOff>114300</xdr:rowOff>
    </xdr:to>
    <xdr:pic>
      <xdr:nvPicPr>
        <xdr:cNvPr id="2" name="Picture 1" descr="http://help.synthesisplatform.net/weibull_alta18/images/weibullalta32.png">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096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xdr:row>
      <xdr:rowOff>0</xdr:rowOff>
    </xdr:from>
    <xdr:to>
      <xdr:col>0</xdr:col>
      <xdr:colOff>1285875</xdr:colOff>
      <xdr:row>5</xdr:row>
      <xdr:rowOff>171450</xdr:rowOff>
    </xdr:to>
    <xdr:pic>
      <xdr:nvPicPr>
        <xdr:cNvPr id="3" name="Picture 2" descr="http://help.synthesisplatform.net/weibull_alta18/images/weibull++label_help.png">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76325"/>
          <a:ext cx="1285875"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xdr:row>
      <xdr:rowOff>0</xdr:rowOff>
    </xdr:from>
    <xdr:to>
      <xdr:col>0</xdr:col>
      <xdr:colOff>228600</xdr:colOff>
      <xdr:row>9</xdr:row>
      <xdr:rowOff>38100</xdr:rowOff>
    </xdr:to>
    <xdr:pic>
      <xdr:nvPicPr>
        <xdr:cNvPr id="4" name="Picture 3" descr="http://help.synthesisplatform.net/weibull_alta18/images/icon_nlefs.png">
          <a:extLst>
            <a:ext uri="{FF2B5EF4-FFF2-40B4-BE49-F238E27FC236}">
              <a16:creationId xmlns:a16="http://schemas.microsoft.com/office/drawing/2014/main" id="{00000000-0008-0000-0D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676400"/>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211667</xdr:colOff>
      <xdr:row>19</xdr:row>
      <xdr:rowOff>0</xdr:rowOff>
    </xdr:from>
    <xdr:to>
      <xdr:col>1</xdr:col>
      <xdr:colOff>421481</xdr:colOff>
      <xdr:row>22</xdr:row>
      <xdr:rowOff>116417</xdr:rowOff>
    </xdr:to>
    <xdr:pic>
      <xdr:nvPicPr>
        <xdr:cNvPr id="5" name="Picture 4" descr="http://help.synthesisplatform.net/weibull_alta18/images/nlefs_eqn1.png">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11667" y="4000500"/>
          <a:ext cx="1733814"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201083</xdr:colOff>
      <xdr:row>29</xdr:row>
      <xdr:rowOff>84666</xdr:rowOff>
    </xdr:from>
    <xdr:to>
      <xdr:col>1</xdr:col>
      <xdr:colOff>546364</xdr:colOff>
      <xdr:row>32</xdr:row>
      <xdr:rowOff>63501</xdr:rowOff>
    </xdr:to>
    <xdr:pic>
      <xdr:nvPicPr>
        <xdr:cNvPr id="6" name="Picture 5" descr="http://help.synthesisplatform.net/weibull_alta18/images/nlefs_eqn2.png">
          <a:extLst>
            <a:ext uri="{FF2B5EF4-FFF2-40B4-BE49-F238E27FC236}">
              <a16:creationId xmlns:a16="http://schemas.microsoft.com/office/drawing/2014/main" id="{00000000-0008-0000-0D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01083" y="5958416"/>
          <a:ext cx="1869281" cy="5291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xdr:row>
      <xdr:rowOff>84667</xdr:rowOff>
    </xdr:from>
    <xdr:to>
      <xdr:col>1</xdr:col>
      <xdr:colOff>962025</xdr:colOff>
      <xdr:row>54</xdr:row>
      <xdr:rowOff>0</xdr:rowOff>
    </xdr:to>
    <xdr:pic>
      <xdr:nvPicPr>
        <xdr:cNvPr id="7" name="Picture 6" descr="http://help.synthesisplatform.net/weibull_alta18/images/nlefs_control_panel_equation.png">
          <a:extLst>
            <a:ext uri="{FF2B5EF4-FFF2-40B4-BE49-F238E27FC236}">
              <a16:creationId xmlns:a16="http://schemas.microsoft.com/office/drawing/2014/main" id="{00000000-0008-0000-0D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7260167"/>
          <a:ext cx="2486025" cy="31538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101</xdr:row>
      <xdr:rowOff>146050</xdr:rowOff>
    </xdr:from>
    <xdr:to>
      <xdr:col>7</xdr:col>
      <xdr:colOff>54768</xdr:colOff>
      <xdr:row>126</xdr:row>
      <xdr:rowOff>32808</xdr:rowOff>
    </xdr:to>
    <xdr:pic>
      <xdr:nvPicPr>
        <xdr:cNvPr id="8" name="Picture 7" descr="http://help.synthesisplatform.net/weibull_alta18/images/nlefs_results.png">
          <a:extLst>
            <a:ext uri="{FF2B5EF4-FFF2-40B4-BE49-F238E27FC236}">
              <a16:creationId xmlns:a16="http://schemas.microsoft.com/office/drawing/2014/main" id="{00000000-0008-0000-0D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19333633"/>
          <a:ext cx="6648185" cy="4384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323850</xdr:colOff>
      <xdr:row>77</xdr:row>
      <xdr:rowOff>66675</xdr:rowOff>
    </xdr:from>
    <xdr:to>
      <xdr:col>21</xdr:col>
      <xdr:colOff>419100</xdr:colOff>
      <xdr:row>105</xdr:row>
      <xdr:rowOff>133350</xdr:rowOff>
    </xdr:to>
    <xdr:pic>
      <xdr:nvPicPr>
        <xdr:cNvPr id="9" name="Picture 8" descr="http://help.synthesisplatform.net/weibull_alta18/images/nlefs_plot.png">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029450" y="15916275"/>
          <a:ext cx="6191250" cy="513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76</xdr:row>
      <xdr:rowOff>0</xdr:rowOff>
    </xdr:from>
    <xdr:to>
      <xdr:col>0</xdr:col>
      <xdr:colOff>152400</xdr:colOff>
      <xdr:row>76</xdr:row>
      <xdr:rowOff>152400</xdr:rowOff>
    </xdr:to>
    <xdr:pic>
      <xdr:nvPicPr>
        <xdr:cNvPr id="10" name="Picture 9" descr="http://help.synthesisplatform.net/weibull_alta18/images/email.png">
          <a:extLst>
            <a:ext uri="{FF2B5EF4-FFF2-40B4-BE49-F238E27FC236}">
              <a16:creationId xmlns:a16="http://schemas.microsoft.com/office/drawing/2014/main" id="{00000000-0008-0000-0D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156495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9</xdr:col>
      <xdr:colOff>238125</xdr:colOff>
      <xdr:row>0</xdr:row>
      <xdr:rowOff>180975</xdr:rowOff>
    </xdr:from>
    <xdr:to>
      <xdr:col>15</xdr:col>
      <xdr:colOff>238125</xdr:colOff>
      <xdr:row>10</xdr:row>
      <xdr:rowOff>180975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466725</xdr:colOff>
      <xdr:row>14</xdr:row>
      <xdr:rowOff>76200</xdr:rowOff>
    </xdr:from>
    <xdr:to>
      <xdr:col>15</xdr:col>
      <xdr:colOff>466725</xdr:colOff>
      <xdr:row>24</xdr:row>
      <xdr:rowOff>66675</xdr:rowOff>
    </xdr:to>
    <xdr:graphicFrame macro="">
      <xdr:nvGraphicFramePr>
        <xdr:cNvPr id="3" name="Chart 2">
          <a:extLst>
            <a:ext uri="{FF2B5EF4-FFF2-40B4-BE49-F238E27FC236}">
              <a16:creationId xmlns:a16="http://schemas.microsoft.com/office/drawing/2014/main" id="{00000000-0008-0000-1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95250</xdr:colOff>
      <xdr:row>13</xdr:row>
      <xdr:rowOff>19050</xdr:rowOff>
    </xdr:from>
    <xdr:to>
      <xdr:col>23</xdr:col>
      <xdr:colOff>95250</xdr:colOff>
      <xdr:row>23</xdr:row>
      <xdr:rowOff>9525</xdr:rowOff>
    </xdr:to>
    <xdr:graphicFrame macro="">
      <xdr:nvGraphicFramePr>
        <xdr:cNvPr id="4" name="Chart 3">
          <a:extLst>
            <a:ext uri="{FF2B5EF4-FFF2-40B4-BE49-F238E27FC236}">
              <a16:creationId xmlns:a16="http://schemas.microsoft.com/office/drawing/2014/main" id="{00000000-0008-0000-1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266699</xdr:colOff>
      <xdr:row>9</xdr:row>
      <xdr:rowOff>133350</xdr:rowOff>
    </xdr:from>
    <xdr:to>
      <xdr:col>7</xdr:col>
      <xdr:colOff>495299</xdr:colOff>
      <xdr:row>24</xdr:row>
      <xdr:rowOff>19050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561975</xdr:colOff>
      <xdr:row>15</xdr:row>
      <xdr:rowOff>47625</xdr:rowOff>
    </xdr:from>
    <xdr:to>
      <xdr:col>4</xdr:col>
      <xdr:colOff>628650</xdr:colOff>
      <xdr:row>32</xdr:row>
      <xdr:rowOff>123825</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923925</xdr:colOff>
      <xdr:row>2</xdr:row>
      <xdr:rowOff>85725</xdr:rowOff>
    </xdr:from>
    <xdr:to>
      <xdr:col>12</xdr:col>
      <xdr:colOff>78105</xdr:colOff>
      <xdr:row>5</xdr:row>
      <xdr:rowOff>115570</xdr:rowOff>
    </xdr:to>
    <xdr:pic>
      <xdr:nvPicPr>
        <xdr:cNvPr id="3" name="Picture 2" descr="Equation">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38950" y="466725"/>
          <a:ext cx="4754880" cy="572770"/>
        </a:xfrm>
        <a:prstGeom prst="rect">
          <a:avLst/>
        </a:prstGeom>
        <a:noFill/>
        <a:ln>
          <a:noFill/>
        </a:ln>
      </xdr:spPr>
    </xdr:pic>
    <xdr:clientData/>
  </xdr:twoCellAnchor>
  <xdr:twoCellAnchor>
    <xdr:from>
      <xdr:col>4</xdr:col>
      <xdr:colOff>876300</xdr:colOff>
      <xdr:row>15</xdr:row>
      <xdr:rowOff>100011</xdr:rowOff>
    </xdr:from>
    <xdr:to>
      <xdr:col>9</xdr:col>
      <xdr:colOff>266700</xdr:colOff>
      <xdr:row>32</xdr:row>
      <xdr:rowOff>104774</xdr:rowOff>
    </xdr:to>
    <xdr:graphicFrame macro="">
      <xdr:nvGraphicFramePr>
        <xdr:cNvPr id="6" name="Chart 5">
          <a:extLst>
            <a:ext uri="{FF2B5EF4-FFF2-40B4-BE49-F238E27FC236}">
              <a16:creationId xmlns:a16="http://schemas.microsoft.com/office/drawing/2014/main" id="{00000000-0008-0000-1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35719</xdr:colOff>
      <xdr:row>3</xdr:row>
      <xdr:rowOff>142875</xdr:rowOff>
    </xdr:from>
    <xdr:to>
      <xdr:col>4</xdr:col>
      <xdr:colOff>588169</xdr:colOff>
      <xdr:row>6</xdr:row>
      <xdr:rowOff>73819</xdr:rowOff>
    </xdr:to>
    <xdr:pic>
      <xdr:nvPicPr>
        <xdr:cNvPr id="2" name="Picture 1">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50157" y="750094"/>
          <a:ext cx="2433637" cy="538163"/>
        </a:xfrm>
        <a:prstGeom prst="rect">
          <a:avLst/>
        </a:prstGeom>
        <a:noFill/>
        <a:ln w="25400">
          <a:solidFill>
            <a:schemeClr val="accent2"/>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511287</xdr:colOff>
      <xdr:row>2</xdr:row>
      <xdr:rowOff>51026</xdr:rowOff>
    </xdr:from>
    <xdr:to>
      <xdr:col>18</xdr:col>
      <xdr:colOff>250031</xdr:colOff>
      <xdr:row>19</xdr:row>
      <xdr:rowOff>83343</xdr:rowOff>
    </xdr:to>
    <xdr:pic>
      <xdr:nvPicPr>
        <xdr:cNvPr id="3" name="Picture 2">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2"/>
        <a:stretch>
          <a:fillRect/>
        </a:stretch>
      </xdr:blipFill>
      <xdr:spPr>
        <a:xfrm>
          <a:off x="6643006" y="455839"/>
          <a:ext cx="5203713" cy="365181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4</xdr:col>
      <xdr:colOff>9525</xdr:colOff>
      <xdr:row>2</xdr:row>
      <xdr:rowOff>122767</xdr:rowOff>
    </xdr:from>
    <xdr:to>
      <xdr:col>7</xdr:col>
      <xdr:colOff>190500</xdr:colOff>
      <xdr:row>4</xdr:row>
      <xdr:rowOff>56092</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2100-000002000000}"/>
                </a:ext>
              </a:extLst>
            </xdr:cNvPr>
            <xdr:cNvSpPr txBox="1"/>
          </xdr:nvSpPr>
          <xdr:spPr>
            <a:xfrm>
              <a:off x="7551084" y="526179"/>
              <a:ext cx="3094504" cy="37035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defPPr>
                <a:defRPr lang="en-US"/>
              </a:defPPr>
              <a:lvl1pPr algn="l" rtl="0" eaLnBrk="0" fontAlgn="base" hangingPunct="0">
                <a:spcBef>
                  <a:spcPct val="0"/>
                </a:spcBef>
                <a:spcAft>
                  <a:spcPct val="0"/>
                </a:spcAft>
                <a:defRPr sz="3200" kern="1200">
                  <a:solidFill>
                    <a:schemeClr val="tx1"/>
                  </a:solidFill>
                  <a:latin typeface="+mn-lt"/>
                  <a:ea typeface="+mn-ea"/>
                  <a:cs typeface="+mn-cs"/>
                </a:defRPr>
              </a:lvl1pPr>
              <a:lvl2pPr marL="457200" algn="l" rtl="0" eaLnBrk="0" fontAlgn="base" hangingPunct="0">
                <a:spcBef>
                  <a:spcPct val="0"/>
                </a:spcBef>
                <a:spcAft>
                  <a:spcPct val="0"/>
                </a:spcAft>
                <a:defRPr sz="3200" kern="1200">
                  <a:solidFill>
                    <a:schemeClr val="tx1"/>
                  </a:solidFill>
                  <a:latin typeface="+mn-lt"/>
                  <a:ea typeface="+mn-ea"/>
                  <a:cs typeface="+mn-cs"/>
                </a:defRPr>
              </a:lvl2pPr>
              <a:lvl3pPr marL="914400" algn="l" rtl="0" eaLnBrk="0" fontAlgn="base" hangingPunct="0">
                <a:spcBef>
                  <a:spcPct val="0"/>
                </a:spcBef>
                <a:spcAft>
                  <a:spcPct val="0"/>
                </a:spcAft>
                <a:defRPr sz="3200" kern="1200">
                  <a:solidFill>
                    <a:schemeClr val="tx1"/>
                  </a:solidFill>
                  <a:latin typeface="+mn-lt"/>
                  <a:ea typeface="+mn-ea"/>
                  <a:cs typeface="+mn-cs"/>
                </a:defRPr>
              </a:lvl3pPr>
              <a:lvl4pPr marL="1371600" algn="l" rtl="0" eaLnBrk="0" fontAlgn="base" hangingPunct="0">
                <a:spcBef>
                  <a:spcPct val="0"/>
                </a:spcBef>
                <a:spcAft>
                  <a:spcPct val="0"/>
                </a:spcAft>
                <a:defRPr sz="3200" kern="1200">
                  <a:solidFill>
                    <a:schemeClr val="tx1"/>
                  </a:solidFill>
                  <a:latin typeface="+mn-lt"/>
                  <a:ea typeface="+mn-ea"/>
                  <a:cs typeface="+mn-cs"/>
                </a:defRPr>
              </a:lvl4pPr>
              <a:lvl5pPr marL="1828800" algn="l" rtl="0" eaLnBrk="0" fontAlgn="base" hangingPunct="0">
                <a:spcBef>
                  <a:spcPct val="0"/>
                </a:spcBef>
                <a:spcAft>
                  <a:spcPct val="0"/>
                </a:spcAft>
                <a:defRPr sz="3200" kern="1200">
                  <a:solidFill>
                    <a:schemeClr val="tx1"/>
                  </a:solidFill>
                  <a:latin typeface="+mn-lt"/>
                  <a:ea typeface="+mn-ea"/>
                  <a:cs typeface="+mn-cs"/>
                </a:defRPr>
              </a:lvl5pPr>
              <a:lvl6pPr marL="2286000" algn="l" defTabSz="914400" rtl="0" eaLnBrk="1" latinLnBrk="0" hangingPunct="1">
                <a:defRPr sz="3200" kern="1200">
                  <a:solidFill>
                    <a:schemeClr val="tx1"/>
                  </a:solidFill>
                  <a:latin typeface="+mn-lt"/>
                  <a:ea typeface="+mn-ea"/>
                  <a:cs typeface="+mn-cs"/>
                </a:defRPr>
              </a:lvl6pPr>
              <a:lvl7pPr marL="2743200" algn="l" defTabSz="914400" rtl="0" eaLnBrk="1" latinLnBrk="0" hangingPunct="1">
                <a:defRPr sz="3200" kern="1200">
                  <a:solidFill>
                    <a:schemeClr val="tx1"/>
                  </a:solidFill>
                  <a:latin typeface="+mn-lt"/>
                  <a:ea typeface="+mn-ea"/>
                  <a:cs typeface="+mn-cs"/>
                </a:defRPr>
              </a:lvl7pPr>
              <a:lvl8pPr marL="3200400" algn="l" defTabSz="914400" rtl="0" eaLnBrk="1" latinLnBrk="0" hangingPunct="1">
                <a:defRPr sz="3200" kern="1200">
                  <a:solidFill>
                    <a:schemeClr val="tx1"/>
                  </a:solidFill>
                  <a:latin typeface="+mn-lt"/>
                  <a:ea typeface="+mn-ea"/>
                  <a:cs typeface="+mn-cs"/>
                </a:defRPr>
              </a:lvl8pPr>
              <a:lvl9pPr marL="3657600" algn="l" defTabSz="914400" rtl="0" eaLnBrk="1" latinLnBrk="0" hangingPunct="1">
                <a:defRPr sz="3200" kern="1200">
                  <a:solidFill>
                    <a:schemeClr val="tx1"/>
                  </a:solidFill>
                  <a:latin typeface="+mn-lt"/>
                  <a:ea typeface="+mn-ea"/>
                  <a:cs typeface="+mn-cs"/>
                </a:defRPr>
              </a:lvl9pPr>
            </a:lstStyle>
            <a:p>
              <a:r>
                <a:rPr lang="en-US" sz="1400">
                  <a:latin typeface="GE Inspira Book" panose="020B0503030400020204" pitchFamily="34" charset="0"/>
                  <a:ea typeface="Cambria Math" panose="02040503050406030204" pitchFamily="18" charset="0"/>
                  <a:cs typeface="Rod" panose="02030509050101010101" pitchFamily="49" charset="-79"/>
                </a:rPr>
                <a:t>R </a:t>
              </a:r>
              <a:r>
                <a:rPr lang="en-US" sz="1400" baseline="-25000">
                  <a:latin typeface="GE Inspira Book" panose="020B0503030400020204" pitchFamily="34" charset="0"/>
                  <a:ea typeface="Cambria Math" panose="02040503050406030204" pitchFamily="18" charset="0"/>
                  <a:cs typeface="Rod" panose="02030509050101010101" pitchFamily="49" charset="-79"/>
                </a:rPr>
                <a:t>s</a:t>
              </a:r>
              <a:r>
                <a:rPr lang="en-US" sz="1400" baseline="0">
                  <a:latin typeface="GE Inspira Book" panose="020B0503030400020204" pitchFamily="34" charset="0"/>
                  <a:ea typeface="Cambria Math" panose="02040503050406030204" pitchFamily="18" charset="0"/>
                  <a:cs typeface="Rod" panose="02030509050101010101" pitchFamily="49" charset="-79"/>
                </a:rPr>
                <a:t> (t) </a:t>
              </a:r>
              <a14:m>
                <m:oMath xmlns:m="http://schemas.openxmlformats.org/officeDocument/2006/math">
                  <m:r>
                    <a:rPr lang="en-US" sz="1400" i="1">
                      <a:latin typeface="Cambria Math" panose="02040503050406030204" pitchFamily="18" charset="0"/>
                    </a:rPr>
                    <m:t>=</m:t>
                  </m:r>
                  <m:sSup>
                    <m:sSupPr>
                      <m:ctrlPr>
                        <a:rPr lang="en-US" sz="1400" b="0" i="1">
                          <a:latin typeface="Cambria Math" panose="02040503050406030204" pitchFamily="18" charset="0"/>
                        </a:rPr>
                      </m:ctrlPr>
                    </m:sSupPr>
                    <m:e>
                      <m:r>
                        <a:rPr lang="en-US" sz="1400" b="0" i="1">
                          <a:latin typeface="Cambria Math" panose="02040503050406030204" pitchFamily="18" charset="0"/>
                        </a:rPr>
                        <m:t>ⅇ</m:t>
                      </m:r>
                    </m:e>
                    <m:sup>
                      <m:r>
                        <a:rPr lang="en-US" sz="1400" b="0" i="1">
                          <a:latin typeface="Cambria Math" panose="02040503050406030204" pitchFamily="18" charset="0"/>
                        </a:rPr>
                        <m:t>−</m:t>
                      </m:r>
                      <m:r>
                        <a:rPr lang="en-US" sz="1400" b="0" i="1">
                          <a:latin typeface="Cambria Math" panose="02040503050406030204" pitchFamily="18" charset="0"/>
                        </a:rPr>
                        <m:t>𝜆</m:t>
                      </m:r>
                      <m:r>
                        <a:rPr lang="en-US" sz="1400" b="0" i="1" baseline="-25000">
                          <a:latin typeface="Cambria Math" panose="02040503050406030204" pitchFamily="18" charset="0"/>
                        </a:rPr>
                        <m:t>𝑎</m:t>
                      </m:r>
                      <m:r>
                        <a:rPr lang="en-US" sz="1400" b="0" i="1">
                          <a:latin typeface="Cambria Math" panose="02040503050406030204" pitchFamily="18" charset="0"/>
                        </a:rPr>
                        <m:t>𝑡</m:t>
                      </m:r>
                    </m:sup>
                  </m:sSup>
                  <m:r>
                    <a:rPr lang="en-US" sz="1400" b="0" i="1">
                      <a:latin typeface="Cambria Math" panose="02040503050406030204" pitchFamily="18" charset="0"/>
                    </a:rPr>
                    <m:t>+</m:t>
                  </m:r>
                  <m:f>
                    <m:fPr>
                      <m:ctrlPr>
                        <a:rPr lang="en-US" sz="1400" i="1">
                          <a:latin typeface="Cambria Math" panose="02040503050406030204" pitchFamily="18" charset="0"/>
                        </a:rPr>
                      </m:ctrlPr>
                    </m:fPr>
                    <m:num>
                      <m:r>
                        <a:rPr lang="en-US" sz="1400" b="0" i="1">
                          <a:latin typeface="Cambria Math" panose="02040503050406030204" pitchFamily="18" charset="0"/>
                        </a:rPr>
                        <m:t>𝑝</m:t>
                      </m:r>
                      <m:r>
                        <m:rPr>
                          <m:sty m:val="p"/>
                        </m:rPr>
                        <a:rPr lang="el-GR" sz="1400" b="0" i="1">
                          <a:latin typeface="Cambria Math" panose="02040503050406030204" pitchFamily="18" charset="0"/>
                        </a:rPr>
                        <m:t>λ</m:t>
                      </m:r>
                      <m:r>
                        <a:rPr lang="en-US" sz="1400" b="0" i="1" baseline="-25000">
                          <a:latin typeface="Cambria Math" panose="02040503050406030204" pitchFamily="18" charset="0"/>
                        </a:rPr>
                        <m:t>𝑎</m:t>
                      </m:r>
                    </m:num>
                    <m:den>
                      <m:r>
                        <m:rPr>
                          <m:sty m:val="p"/>
                        </m:rPr>
                        <a:rPr lang="en-US" sz="1400" i="1">
                          <a:latin typeface="Cambria Math" panose="02040503050406030204" pitchFamily="18" charset="0"/>
                        </a:rPr>
                        <m:t>λ</m:t>
                      </m:r>
                      <m:r>
                        <a:rPr lang="en-US" sz="1400" b="0" i="1" baseline="-25000">
                          <a:latin typeface="Cambria Math" panose="02040503050406030204" pitchFamily="18" charset="0"/>
                        </a:rPr>
                        <m:t>𝑏</m:t>
                      </m:r>
                      <m:r>
                        <a:rPr lang="en-US" sz="1400" b="0" i="1">
                          <a:latin typeface="Cambria Math" panose="02040503050406030204" pitchFamily="18" charset="0"/>
                        </a:rPr>
                        <m:t> − </m:t>
                      </m:r>
                      <m:r>
                        <m:rPr>
                          <m:sty m:val="p"/>
                        </m:rPr>
                        <a:rPr lang="el-GR" sz="1400" b="0" i="1">
                          <a:latin typeface="Cambria Math" panose="02040503050406030204" pitchFamily="18" charset="0"/>
                        </a:rPr>
                        <m:t>λ</m:t>
                      </m:r>
                      <m:r>
                        <a:rPr lang="en-US" sz="1400" b="0" i="1">
                          <a:latin typeface="Cambria Math" panose="02040503050406030204" pitchFamily="18" charset="0"/>
                        </a:rPr>
                        <m:t>𝑎</m:t>
                      </m:r>
                      <m:r>
                        <a:rPr lang="en-US" sz="1400" b="0" i="1">
                          <a:latin typeface="Cambria Math" panose="02040503050406030204" pitchFamily="18" charset="0"/>
                        </a:rPr>
                        <m:t> </m:t>
                      </m:r>
                    </m:den>
                  </m:f>
                  <m:r>
                    <a:rPr lang="en-US" sz="1400" b="0" i="1">
                      <a:latin typeface="Cambria Math" panose="02040503050406030204" pitchFamily="18" charset="0"/>
                    </a:rPr>
                    <m:t>(</m:t>
                  </m:r>
                  <m:sSup>
                    <m:sSupPr>
                      <m:ctrlPr>
                        <a:rPr lang="en-US" sz="1400" b="0" i="1">
                          <a:solidFill>
                            <a:schemeClr val="tx1"/>
                          </a:solidFill>
                          <a:effectLst/>
                          <a:latin typeface="Cambria Math" panose="02040503050406030204" pitchFamily="18" charset="0"/>
                        </a:rPr>
                      </m:ctrlPr>
                    </m:sSupPr>
                    <m:e>
                      <m:r>
                        <a:rPr lang="en-US" sz="1400" b="0" i="1">
                          <a:solidFill>
                            <a:schemeClr val="tx1"/>
                          </a:solidFill>
                          <a:effectLst/>
                          <a:latin typeface="Cambria Math" panose="02040503050406030204" pitchFamily="18" charset="0"/>
                        </a:rPr>
                        <m:t>ⅇ</m:t>
                      </m:r>
                    </m:e>
                    <m:sup>
                      <m:r>
                        <a:rPr lang="en-US" sz="1400" b="0" i="1">
                          <a:solidFill>
                            <a:schemeClr val="tx1"/>
                          </a:solidFill>
                          <a:effectLst/>
                          <a:latin typeface="Cambria Math" panose="02040503050406030204" pitchFamily="18" charset="0"/>
                        </a:rPr>
                        <m:t>−</m:t>
                      </m:r>
                      <m:r>
                        <a:rPr lang="en-US" sz="1400" b="0" i="1">
                          <a:solidFill>
                            <a:schemeClr val="tx1"/>
                          </a:solidFill>
                          <a:effectLst/>
                          <a:latin typeface="Cambria Math" panose="02040503050406030204" pitchFamily="18" charset="0"/>
                        </a:rPr>
                        <m:t>𝜆</m:t>
                      </m:r>
                      <m:r>
                        <a:rPr lang="en-US" sz="1400" b="0" i="1" baseline="-25000">
                          <a:solidFill>
                            <a:schemeClr val="tx1"/>
                          </a:solidFill>
                          <a:effectLst/>
                          <a:latin typeface="Cambria Math" panose="02040503050406030204" pitchFamily="18" charset="0"/>
                        </a:rPr>
                        <m:t>𝑎</m:t>
                      </m:r>
                      <m:r>
                        <a:rPr lang="en-US" sz="1400" b="0" i="1">
                          <a:solidFill>
                            <a:schemeClr val="tx1"/>
                          </a:solidFill>
                          <a:effectLst/>
                          <a:latin typeface="Cambria Math" panose="02040503050406030204" pitchFamily="18" charset="0"/>
                        </a:rPr>
                        <m:t>𝑡</m:t>
                      </m:r>
                    </m:sup>
                  </m:sSup>
                </m:oMath>
              </a14:m>
              <a:r>
                <a:rPr lang="en-US" sz="1400">
                  <a:latin typeface="GE Inspira Book" panose="020B0503030400020204" pitchFamily="34" charset="0"/>
                  <a:cs typeface="Rod" panose="02030509050101010101" pitchFamily="49" charset="-79"/>
                </a:rPr>
                <a:t> - </a:t>
              </a:r>
              <a14:m>
                <m:oMath xmlns:m="http://schemas.openxmlformats.org/officeDocument/2006/math">
                  <m:sSup>
                    <m:sSupPr>
                      <m:ctrlPr>
                        <a:rPr lang="en-US" sz="1400" b="0" i="1">
                          <a:solidFill>
                            <a:schemeClr val="tx1"/>
                          </a:solidFill>
                          <a:effectLst/>
                          <a:latin typeface="Cambria Math" panose="02040503050406030204" pitchFamily="18" charset="0"/>
                        </a:rPr>
                      </m:ctrlPr>
                    </m:sSupPr>
                    <m:e>
                      <m:r>
                        <a:rPr lang="en-US" sz="1400" b="0" i="1">
                          <a:solidFill>
                            <a:schemeClr val="tx1"/>
                          </a:solidFill>
                          <a:effectLst/>
                          <a:latin typeface="Cambria Math" panose="02040503050406030204" pitchFamily="18" charset="0"/>
                        </a:rPr>
                        <m:t>ⅇ</m:t>
                      </m:r>
                    </m:e>
                    <m:sup>
                      <m:r>
                        <a:rPr lang="en-US" sz="1400" b="0" i="1">
                          <a:solidFill>
                            <a:schemeClr val="tx1"/>
                          </a:solidFill>
                          <a:effectLst/>
                          <a:latin typeface="Cambria Math" panose="02040503050406030204" pitchFamily="18" charset="0"/>
                        </a:rPr>
                        <m:t>−</m:t>
                      </m:r>
                      <m:r>
                        <a:rPr lang="en-US" sz="1400" b="0" i="1">
                          <a:solidFill>
                            <a:schemeClr val="tx1"/>
                          </a:solidFill>
                          <a:effectLst/>
                          <a:latin typeface="Cambria Math" panose="02040503050406030204" pitchFamily="18" charset="0"/>
                        </a:rPr>
                        <m:t>𝜆</m:t>
                      </m:r>
                      <m:r>
                        <a:rPr lang="en-US" sz="1400" b="0" i="1" baseline="-25000">
                          <a:solidFill>
                            <a:schemeClr val="tx1"/>
                          </a:solidFill>
                          <a:effectLst/>
                          <a:latin typeface="Cambria Math" panose="02040503050406030204" pitchFamily="18" charset="0"/>
                        </a:rPr>
                        <m:t>𝑏</m:t>
                      </m:r>
                      <m:r>
                        <a:rPr lang="en-US" sz="1400" b="0" i="1">
                          <a:solidFill>
                            <a:schemeClr val="tx1"/>
                          </a:solidFill>
                          <a:effectLst/>
                          <a:latin typeface="Cambria Math" panose="02040503050406030204" pitchFamily="18" charset="0"/>
                        </a:rPr>
                        <m:t>𝑡</m:t>
                      </m:r>
                    </m:sup>
                  </m:sSup>
                </m:oMath>
              </a14:m>
              <a:r>
                <a:rPr lang="en-US" sz="1400">
                  <a:latin typeface="GE Inspira Book" panose="020B0503030400020204" pitchFamily="34" charset="0"/>
                  <a:cs typeface="Rod" panose="02030509050101010101" pitchFamily="49" charset="-79"/>
                </a:rPr>
                <a:t>)</a:t>
              </a:r>
            </a:p>
          </xdr:txBody>
        </xdr:sp>
      </mc:Choice>
      <mc:Fallback xmlns="">
        <xdr:sp macro="" textlink="">
          <xdr:nvSpPr>
            <xdr:cNvPr id="2" name="TextBox 1">
              <a:extLst>
                <a:ext uri="{FF2B5EF4-FFF2-40B4-BE49-F238E27FC236}">
                  <a16:creationId xmlns:a16="http://schemas.microsoft.com/office/drawing/2014/main" id="{87EA6FE6-707E-476F-A08F-DB22A1E1F9FF}"/>
                </a:ext>
              </a:extLst>
            </xdr:cNvPr>
            <xdr:cNvSpPr txBox="1"/>
          </xdr:nvSpPr>
          <xdr:spPr>
            <a:xfrm>
              <a:off x="7551084" y="526179"/>
              <a:ext cx="3094504" cy="37035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defPPr>
                <a:defRPr lang="en-US"/>
              </a:defPPr>
              <a:lvl1pPr algn="l" rtl="0" eaLnBrk="0" fontAlgn="base" hangingPunct="0">
                <a:spcBef>
                  <a:spcPct val="0"/>
                </a:spcBef>
                <a:spcAft>
                  <a:spcPct val="0"/>
                </a:spcAft>
                <a:defRPr sz="3200" kern="1200">
                  <a:solidFill>
                    <a:schemeClr val="tx1"/>
                  </a:solidFill>
                  <a:latin typeface="+mn-lt"/>
                  <a:ea typeface="+mn-ea"/>
                  <a:cs typeface="+mn-cs"/>
                </a:defRPr>
              </a:lvl1pPr>
              <a:lvl2pPr marL="457200" algn="l" rtl="0" eaLnBrk="0" fontAlgn="base" hangingPunct="0">
                <a:spcBef>
                  <a:spcPct val="0"/>
                </a:spcBef>
                <a:spcAft>
                  <a:spcPct val="0"/>
                </a:spcAft>
                <a:defRPr sz="3200" kern="1200">
                  <a:solidFill>
                    <a:schemeClr val="tx1"/>
                  </a:solidFill>
                  <a:latin typeface="+mn-lt"/>
                  <a:ea typeface="+mn-ea"/>
                  <a:cs typeface="+mn-cs"/>
                </a:defRPr>
              </a:lvl2pPr>
              <a:lvl3pPr marL="914400" algn="l" rtl="0" eaLnBrk="0" fontAlgn="base" hangingPunct="0">
                <a:spcBef>
                  <a:spcPct val="0"/>
                </a:spcBef>
                <a:spcAft>
                  <a:spcPct val="0"/>
                </a:spcAft>
                <a:defRPr sz="3200" kern="1200">
                  <a:solidFill>
                    <a:schemeClr val="tx1"/>
                  </a:solidFill>
                  <a:latin typeface="+mn-lt"/>
                  <a:ea typeface="+mn-ea"/>
                  <a:cs typeface="+mn-cs"/>
                </a:defRPr>
              </a:lvl3pPr>
              <a:lvl4pPr marL="1371600" algn="l" rtl="0" eaLnBrk="0" fontAlgn="base" hangingPunct="0">
                <a:spcBef>
                  <a:spcPct val="0"/>
                </a:spcBef>
                <a:spcAft>
                  <a:spcPct val="0"/>
                </a:spcAft>
                <a:defRPr sz="3200" kern="1200">
                  <a:solidFill>
                    <a:schemeClr val="tx1"/>
                  </a:solidFill>
                  <a:latin typeface="+mn-lt"/>
                  <a:ea typeface="+mn-ea"/>
                  <a:cs typeface="+mn-cs"/>
                </a:defRPr>
              </a:lvl4pPr>
              <a:lvl5pPr marL="1828800" algn="l" rtl="0" eaLnBrk="0" fontAlgn="base" hangingPunct="0">
                <a:spcBef>
                  <a:spcPct val="0"/>
                </a:spcBef>
                <a:spcAft>
                  <a:spcPct val="0"/>
                </a:spcAft>
                <a:defRPr sz="3200" kern="1200">
                  <a:solidFill>
                    <a:schemeClr val="tx1"/>
                  </a:solidFill>
                  <a:latin typeface="+mn-lt"/>
                  <a:ea typeface="+mn-ea"/>
                  <a:cs typeface="+mn-cs"/>
                </a:defRPr>
              </a:lvl5pPr>
              <a:lvl6pPr marL="2286000" algn="l" defTabSz="914400" rtl="0" eaLnBrk="1" latinLnBrk="0" hangingPunct="1">
                <a:defRPr sz="3200" kern="1200">
                  <a:solidFill>
                    <a:schemeClr val="tx1"/>
                  </a:solidFill>
                  <a:latin typeface="+mn-lt"/>
                  <a:ea typeface="+mn-ea"/>
                  <a:cs typeface="+mn-cs"/>
                </a:defRPr>
              </a:lvl6pPr>
              <a:lvl7pPr marL="2743200" algn="l" defTabSz="914400" rtl="0" eaLnBrk="1" latinLnBrk="0" hangingPunct="1">
                <a:defRPr sz="3200" kern="1200">
                  <a:solidFill>
                    <a:schemeClr val="tx1"/>
                  </a:solidFill>
                  <a:latin typeface="+mn-lt"/>
                  <a:ea typeface="+mn-ea"/>
                  <a:cs typeface="+mn-cs"/>
                </a:defRPr>
              </a:lvl7pPr>
              <a:lvl8pPr marL="3200400" algn="l" defTabSz="914400" rtl="0" eaLnBrk="1" latinLnBrk="0" hangingPunct="1">
                <a:defRPr sz="3200" kern="1200">
                  <a:solidFill>
                    <a:schemeClr val="tx1"/>
                  </a:solidFill>
                  <a:latin typeface="+mn-lt"/>
                  <a:ea typeface="+mn-ea"/>
                  <a:cs typeface="+mn-cs"/>
                </a:defRPr>
              </a:lvl8pPr>
              <a:lvl9pPr marL="3657600" algn="l" defTabSz="914400" rtl="0" eaLnBrk="1" latinLnBrk="0" hangingPunct="1">
                <a:defRPr sz="3200" kern="1200">
                  <a:solidFill>
                    <a:schemeClr val="tx1"/>
                  </a:solidFill>
                  <a:latin typeface="+mn-lt"/>
                  <a:ea typeface="+mn-ea"/>
                  <a:cs typeface="+mn-cs"/>
                </a:defRPr>
              </a:lvl9pPr>
            </a:lstStyle>
            <a:p>
              <a:r>
                <a:rPr lang="en-US" sz="1400">
                  <a:latin typeface="GE Inspira Book" panose="020B0503030400020204" pitchFamily="34" charset="0"/>
                  <a:ea typeface="Cambria Math" panose="02040503050406030204" pitchFamily="18" charset="0"/>
                  <a:cs typeface="Rod" panose="02030509050101010101" pitchFamily="49" charset="-79"/>
                </a:rPr>
                <a:t>R </a:t>
              </a:r>
              <a:r>
                <a:rPr lang="en-US" sz="1400" baseline="-25000">
                  <a:latin typeface="GE Inspira Book" panose="020B0503030400020204" pitchFamily="34" charset="0"/>
                  <a:ea typeface="Cambria Math" panose="02040503050406030204" pitchFamily="18" charset="0"/>
                  <a:cs typeface="Rod" panose="02030509050101010101" pitchFamily="49" charset="-79"/>
                </a:rPr>
                <a:t>s</a:t>
              </a:r>
              <a:r>
                <a:rPr lang="en-US" sz="1400" baseline="0">
                  <a:latin typeface="GE Inspira Book" panose="020B0503030400020204" pitchFamily="34" charset="0"/>
                  <a:ea typeface="Cambria Math" panose="02040503050406030204" pitchFamily="18" charset="0"/>
                  <a:cs typeface="Rod" panose="02030509050101010101" pitchFamily="49" charset="-79"/>
                </a:rPr>
                <a:t> (t) </a:t>
              </a:r>
              <a:r>
                <a:rPr lang="en-US" sz="1400" i="0">
                  <a:latin typeface="Cambria Math" panose="02040503050406030204" pitchFamily="18" charset="0"/>
                </a:rPr>
                <a:t>=</a:t>
              </a:r>
              <a:r>
                <a:rPr lang="en-US" sz="1400" b="0" i="0">
                  <a:latin typeface="Cambria Math" panose="02040503050406030204" pitchFamily="18" charset="0"/>
                </a:rPr>
                <a:t>ⅇ^(−𝜆</a:t>
              </a:r>
              <a:r>
                <a:rPr lang="en-US" sz="1400" b="0" i="0" baseline="-25000">
                  <a:latin typeface="Cambria Math" panose="02040503050406030204" pitchFamily="18" charset="0"/>
                </a:rPr>
                <a:t>𝑎</a:t>
              </a:r>
              <a:r>
                <a:rPr lang="en-US" sz="1400" b="0" i="0">
                  <a:latin typeface="Cambria Math" panose="02040503050406030204" pitchFamily="18" charset="0"/>
                </a:rPr>
                <a:t>𝑡)+𝑝</a:t>
              </a:r>
              <a:r>
                <a:rPr lang="el-GR" sz="1400" b="0" i="0">
                  <a:latin typeface="Cambria Math" panose="02040503050406030204" pitchFamily="18" charset="0"/>
                </a:rPr>
                <a:t>λ</a:t>
              </a:r>
              <a:r>
                <a:rPr lang="en-US" sz="1400" b="0" i="0" baseline="-25000">
                  <a:latin typeface="Cambria Math" panose="02040503050406030204" pitchFamily="18" charset="0"/>
                </a:rPr>
                <a:t>𝑎/(</a:t>
              </a:r>
              <a:r>
                <a:rPr lang="en-US" sz="1400" i="0">
                  <a:latin typeface="Cambria Math" panose="02040503050406030204" pitchFamily="18" charset="0"/>
                </a:rPr>
                <a:t>λ</a:t>
              </a:r>
              <a:r>
                <a:rPr lang="en-US" sz="1400" b="0" i="0" baseline="-25000">
                  <a:latin typeface="Cambria Math" panose="02040503050406030204" pitchFamily="18" charset="0"/>
                </a:rPr>
                <a:t>𝑏</a:t>
              </a:r>
              <a:r>
                <a:rPr lang="en-US" sz="1400" b="0" i="0">
                  <a:latin typeface="Cambria Math" panose="02040503050406030204" pitchFamily="18" charset="0"/>
                </a:rPr>
                <a:t> − </a:t>
              </a:r>
              <a:r>
                <a:rPr lang="el-GR" sz="1400" b="0" i="0">
                  <a:latin typeface="Cambria Math" panose="02040503050406030204" pitchFamily="18" charset="0"/>
                </a:rPr>
                <a:t>λ</a:t>
              </a:r>
              <a:r>
                <a:rPr lang="en-US" sz="1400" b="0" i="0">
                  <a:latin typeface="Cambria Math" panose="02040503050406030204" pitchFamily="18" charset="0"/>
                </a:rPr>
                <a:t>𝑎 )(</a:t>
              </a:r>
              <a:r>
                <a:rPr lang="en-US" sz="1400" b="0" i="0">
                  <a:solidFill>
                    <a:schemeClr val="tx1"/>
                  </a:solidFill>
                  <a:effectLst/>
                  <a:latin typeface="Cambria Math" panose="02040503050406030204" pitchFamily="18" charset="0"/>
                </a:rPr>
                <a:t>ⅇ^(−𝜆</a:t>
              </a:r>
              <a:r>
                <a:rPr lang="en-US" sz="1400" b="0" i="0" baseline="-25000">
                  <a:solidFill>
                    <a:schemeClr val="tx1"/>
                  </a:solidFill>
                  <a:effectLst/>
                  <a:latin typeface="Cambria Math" panose="02040503050406030204" pitchFamily="18" charset="0"/>
                </a:rPr>
                <a:t>𝑎</a:t>
              </a:r>
              <a:r>
                <a:rPr lang="en-US" sz="1400" b="0" i="0">
                  <a:solidFill>
                    <a:schemeClr val="tx1"/>
                  </a:solidFill>
                  <a:effectLst/>
                  <a:latin typeface="Cambria Math" panose="02040503050406030204" pitchFamily="18" charset="0"/>
                </a:rPr>
                <a:t>𝑡)</a:t>
              </a:r>
              <a:r>
                <a:rPr lang="en-US" sz="1400">
                  <a:latin typeface="GE Inspira Book" panose="020B0503030400020204" pitchFamily="34" charset="0"/>
                  <a:cs typeface="Rod" panose="02030509050101010101" pitchFamily="49" charset="-79"/>
                </a:rPr>
                <a:t> - </a:t>
              </a:r>
              <a:r>
                <a:rPr lang="en-US" sz="1400" b="0" i="0">
                  <a:solidFill>
                    <a:schemeClr val="tx1"/>
                  </a:solidFill>
                  <a:effectLst/>
                  <a:latin typeface="Cambria Math" panose="02040503050406030204" pitchFamily="18" charset="0"/>
                </a:rPr>
                <a:t>ⅇ^(−𝜆</a:t>
              </a:r>
              <a:r>
                <a:rPr lang="en-US" sz="1400" b="0" i="0" baseline="-25000">
                  <a:solidFill>
                    <a:schemeClr val="tx1"/>
                  </a:solidFill>
                  <a:effectLst/>
                  <a:latin typeface="Cambria Math" panose="02040503050406030204" pitchFamily="18" charset="0"/>
                </a:rPr>
                <a:t>𝑏</a:t>
              </a:r>
              <a:r>
                <a:rPr lang="en-US" sz="1400" b="0" i="0">
                  <a:solidFill>
                    <a:schemeClr val="tx1"/>
                  </a:solidFill>
                  <a:effectLst/>
                  <a:latin typeface="Cambria Math" panose="02040503050406030204" pitchFamily="18" charset="0"/>
                </a:rPr>
                <a:t>𝑡)</a:t>
              </a:r>
              <a:r>
                <a:rPr lang="en-US" sz="1400">
                  <a:latin typeface="GE Inspira Book" panose="020B0503030400020204" pitchFamily="34" charset="0"/>
                  <a:cs typeface="Rod" panose="02030509050101010101" pitchFamily="49" charset="-79"/>
                </a:rPr>
                <a:t>)</a:t>
              </a:r>
            </a:p>
          </xdr:txBody>
        </xdr:sp>
      </mc:Fallback>
    </mc:AlternateContent>
    <xdr:clientData/>
  </xdr:twoCellAnchor>
  <xdr:twoCellAnchor>
    <xdr:from>
      <xdr:col>3</xdr:col>
      <xdr:colOff>1019175</xdr:colOff>
      <xdr:row>5</xdr:row>
      <xdr:rowOff>86783</xdr:rowOff>
    </xdr:from>
    <xdr:to>
      <xdr:col>7</xdr:col>
      <xdr:colOff>370415</xdr:colOff>
      <xdr:row>8</xdr:row>
      <xdr:rowOff>126999</xdr:rowOff>
    </xdr:to>
    <xdr:sp macro="" textlink="">
      <xdr:nvSpPr>
        <xdr:cNvPr id="3" name="TextBox 2">
          <a:extLst>
            <a:ext uri="{FF2B5EF4-FFF2-40B4-BE49-F238E27FC236}">
              <a16:creationId xmlns:a16="http://schemas.microsoft.com/office/drawing/2014/main" id="{00000000-0008-0000-2100-000003000000}"/>
            </a:ext>
          </a:extLst>
        </xdr:cNvPr>
        <xdr:cNvSpPr txBox="1">
          <a:spLocks noChangeArrowheads="1"/>
        </xdr:cNvSpPr>
      </xdr:nvSpPr>
      <xdr:spPr bwMode="auto">
        <a:xfrm>
          <a:off x="6715125" y="1163108"/>
          <a:ext cx="4275665" cy="716491"/>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0" tIns="0" rIns="0" bIns="0" numCol="1" anchor="t" anchorCtr="0" compatLnSpc="1">
          <a:prstTxWarp prst="textNoShape">
            <a:avLst/>
          </a:prstTxWarp>
        </a:bodyPr>
        <a:lstStyle>
          <a:defPPr>
            <a:defRPr lang="en-US"/>
          </a:defPPr>
          <a:lvl1pPr algn="l" rtl="0" eaLnBrk="0" fontAlgn="base" hangingPunct="0">
            <a:spcBef>
              <a:spcPct val="0"/>
            </a:spcBef>
            <a:spcAft>
              <a:spcPct val="0"/>
            </a:spcAft>
            <a:defRPr sz="3200" kern="1200">
              <a:solidFill>
                <a:schemeClr val="tx1"/>
              </a:solidFill>
              <a:latin typeface="GE Inspira Pitch" pitchFamily="34" charset="0"/>
              <a:ea typeface="+mn-ea"/>
              <a:cs typeface="+mn-cs"/>
            </a:defRPr>
          </a:lvl1pPr>
          <a:lvl2pPr marL="457200" algn="l" rtl="0" eaLnBrk="0" fontAlgn="base" hangingPunct="0">
            <a:spcBef>
              <a:spcPct val="0"/>
            </a:spcBef>
            <a:spcAft>
              <a:spcPct val="0"/>
            </a:spcAft>
            <a:defRPr sz="3200" kern="1200">
              <a:solidFill>
                <a:schemeClr val="tx1"/>
              </a:solidFill>
              <a:latin typeface="GE Inspira Pitch" pitchFamily="34" charset="0"/>
              <a:ea typeface="+mn-ea"/>
              <a:cs typeface="+mn-cs"/>
            </a:defRPr>
          </a:lvl2pPr>
          <a:lvl3pPr marL="914400" algn="l" rtl="0" eaLnBrk="0" fontAlgn="base" hangingPunct="0">
            <a:spcBef>
              <a:spcPct val="0"/>
            </a:spcBef>
            <a:spcAft>
              <a:spcPct val="0"/>
            </a:spcAft>
            <a:defRPr sz="3200" kern="1200">
              <a:solidFill>
                <a:schemeClr val="tx1"/>
              </a:solidFill>
              <a:latin typeface="GE Inspira Pitch" pitchFamily="34" charset="0"/>
              <a:ea typeface="+mn-ea"/>
              <a:cs typeface="+mn-cs"/>
            </a:defRPr>
          </a:lvl3pPr>
          <a:lvl4pPr marL="1371600" algn="l" rtl="0" eaLnBrk="0" fontAlgn="base" hangingPunct="0">
            <a:spcBef>
              <a:spcPct val="0"/>
            </a:spcBef>
            <a:spcAft>
              <a:spcPct val="0"/>
            </a:spcAft>
            <a:defRPr sz="3200" kern="1200">
              <a:solidFill>
                <a:schemeClr val="tx1"/>
              </a:solidFill>
              <a:latin typeface="GE Inspira Pitch" pitchFamily="34" charset="0"/>
              <a:ea typeface="+mn-ea"/>
              <a:cs typeface="+mn-cs"/>
            </a:defRPr>
          </a:lvl4pPr>
          <a:lvl5pPr marL="1828800" algn="l" rtl="0" eaLnBrk="0" fontAlgn="base" hangingPunct="0">
            <a:spcBef>
              <a:spcPct val="0"/>
            </a:spcBef>
            <a:spcAft>
              <a:spcPct val="0"/>
            </a:spcAft>
            <a:defRPr sz="3200" kern="1200">
              <a:solidFill>
                <a:schemeClr val="tx1"/>
              </a:solidFill>
              <a:latin typeface="GE Inspira Pitch" pitchFamily="34" charset="0"/>
              <a:ea typeface="+mn-ea"/>
              <a:cs typeface="+mn-cs"/>
            </a:defRPr>
          </a:lvl5pPr>
          <a:lvl6pPr marL="2286000" algn="l" defTabSz="914400" rtl="0" eaLnBrk="1" latinLnBrk="0" hangingPunct="1">
            <a:defRPr sz="3200" kern="1200">
              <a:solidFill>
                <a:schemeClr val="tx1"/>
              </a:solidFill>
              <a:latin typeface="GE Inspira Pitch" pitchFamily="34" charset="0"/>
              <a:ea typeface="+mn-ea"/>
              <a:cs typeface="+mn-cs"/>
            </a:defRPr>
          </a:lvl6pPr>
          <a:lvl7pPr marL="2743200" algn="l" defTabSz="914400" rtl="0" eaLnBrk="1" latinLnBrk="0" hangingPunct="1">
            <a:defRPr sz="3200" kern="1200">
              <a:solidFill>
                <a:schemeClr val="tx1"/>
              </a:solidFill>
              <a:latin typeface="GE Inspira Pitch" pitchFamily="34" charset="0"/>
              <a:ea typeface="+mn-ea"/>
              <a:cs typeface="+mn-cs"/>
            </a:defRPr>
          </a:lvl7pPr>
          <a:lvl8pPr marL="3200400" algn="l" defTabSz="914400" rtl="0" eaLnBrk="1" latinLnBrk="0" hangingPunct="1">
            <a:defRPr sz="3200" kern="1200">
              <a:solidFill>
                <a:schemeClr val="tx1"/>
              </a:solidFill>
              <a:latin typeface="GE Inspira Pitch" pitchFamily="34" charset="0"/>
              <a:ea typeface="+mn-ea"/>
              <a:cs typeface="+mn-cs"/>
            </a:defRPr>
          </a:lvl8pPr>
          <a:lvl9pPr marL="3657600" algn="l" defTabSz="914400" rtl="0" eaLnBrk="1" latinLnBrk="0" hangingPunct="1">
            <a:defRPr sz="3200" kern="1200">
              <a:solidFill>
                <a:schemeClr val="tx1"/>
              </a:solidFill>
              <a:latin typeface="GE Inspira Pitch" pitchFamily="34" charset="0"/>
              <a:ea typeface="+mn-ea"/>
              <a:cs typeface="+mn-cs"/>
            </a:defRPr>
          </a:lvl9pPr>
        </a:lstStyle>
        <a:p>
          <a:pPr marL="0" indent="0" algn="l" rtl="0" eaLnBrk="0" fontAlgn="base" hangingPunct="0">
            <a:spcBef>
              <a:spcPct val="0"/>
            </a:spcBef>
            <a:spcAft>
              <a:spcPct val="0"/>
            </a:spcAft>
          </a:pPr>
          <a:r>
            <a:rPr lang="en-GB" sz="1200" kern="1200">
              <a:solidFill>
                <a:schemeClr val="tx1"/>
              </a:solidFill>
              <a:latin typeface="GE Inspira Book" panose="020B0503030400020204" pitchFamily="34" charset="0"/>
              <a:ea typeface="Cambria Math" panose="02040503050406030204" pitchFamily="18" charset="0"/>
              <a:cs typeface="Rod" panose="02030509050101010101" pitchFamily="49" charset="-79"/>
            </a:rPr>
            <a:t>Where: p is the reliability of the switch</a:t>
          </a:r>
        </a:p>
        <a:p>
          <a:pPr marL="0" indent="0" algn="l" rtl="0" eaLnBrk="0" fontAlgn="base" hangingPunct="0">
            <a:spcBef>
              <a:spcPct val="0"/>
            </a:spcBef>
            <a:spcAft>
              <a:spcPct val="0"/>
            </a:spcAft>
          </a:pPr>
          <a:r>
            <a:rPr lang="en-GB" sz="1200" kern="1200">
              <a:solidFill>
                <a:schemeClr val="tx1"/>
              </a:solidFill>
              <a:latin typeface="GE Inspira Book" panose="020B0503030400020204" pitchFamily="34" charset="0"/>
              <a:ea typeface="Cambria Math" panose="02040503050406030204" pitchFamily="18" charset="0"/>
              <a:cs typeface="Rod" panose="02030509050101010101" pitchFamily="49" charset="-79"/>
            </a:rPr>
            <a:t>	   λa is the failure rate for the primary component</a:t>
          </a:r>
        </a:p>
        <a:p>
          <a:pPr marL="0" indent="0" algn="l" rtl="0" eaLnBrk="0" fontAlgn="base" hangingPunct="0">
            <a:spcBef>
              <a:spcPct val="0"/>
            </a:spcBef>
            <a:spcAft>
              <a:spcPct val="0"/>
            </a:spcAft>
          </a:pPr>
          <a:r>
            <a:rPr lang="en-GB" sz="1200" kern="1200">
              <a:solidFill>
                <a:schemeClr val="tx1"/>
              </a:solidFill>
              <a:latin typeface="GE Inspira Book" panose="020B0503030400020204" pitchFamily="34" charset="0"/>
              <a:ea typeface="Cambria Math" panose="02040503050406030204" pitchFamily="18" charset="0"/>
              <a:cs typeface="Rod" panose="02030509050101010101" pitchFamily="49" charset="-79"/>
            </a:rPr>
            <a:t>	   λb is the failure rate of the standby component</a:t>
          </a:r>
        </a:p>
        <a:p>
          <a:pPr marL="297180"/>
          <a:r>
            <a:rPr lang="en-GB" sz="1400" kern="0">
              <a:latin typeface="GE Inspira Book" panose="020B0503030400020204" pitchFamily="34" charset="0"/>
            </a:rPr>
            <a:t>	</a:t>
          </a:r>
        </a:p>
        <a:p>
          <a:pPr marL="754380" lvl="1"/>
          <a:endParaRPr lang="en-GB" sz="1400" kern="0">
            <a:latin typeface="GE Inspira Book" panose="020B0503030400020204" pitchFamily="34" charset="0"/>
          </a:endParaRPr>
        </a:p>
        <a:p>
          <a:pPr marL="640080" indent="-342900">
            <a:buFont typeface="Arial" panose="020B0604020202020204" pitchFamily="34" charset="0"/>
            <a:buChar char="•"/>
          </a:pPr>
          <a:endParaRPr lang="en-GB" sz="1400" kern="0">
            <a:latin typeface="GE Inspira Book" panose="020B0503030400020204" pitchFamily="34" charset="0"/>
          </a:endParaRPr>
        </a:p>
        <a:p>
          <a:pPr marL="297180"/>
          <a:r>
            <a:rPr lang="en-GB" sz="1400" kern="0">
              <a:latin typeface="GE Inspira Book" panose="020B0503030400020204" pitchFamily="34" charset="0"/>
            </a:rPr>
            <a:t>		</a:t>
          </a:r>
        </a:p>
        <a:p>
          <a:pPr marL="297180"/>
          <a:endParaRPr lang="en-GB" sz="1400" kern="0">
            <a:latin typeface="GE Inspira Book" panose="020B0503030400020204" pitchFamily="34" charset="0"/>
          </a:endParaRPr>
        </a:p>
        <a:p>
          <a:r>
            <a:rPr lang="en-GB" sz="1400" kern="0">
              <a:latin typeface="GE Inspira Book" panose="020B0503030400020204" pitchFamily="34" charset="0"/>
            </a:rPr>
            <a:t>	</a:t>
          </a:r>
        </a:p>
      </xdr:txBody>
    </xdr:sp>
    <xdr:clientData/>
  </xdr:twoCellAnchor>
  <xdr:twoCellAnchor editAs="oneCell">
    <xdr:from>
      <xdr:col>1</xdr:col>
      <xdr:colOff>1</xdr:colOff>
      <xdr:row>20</xdr:row>
      <xdr:rowOff>0</xdr:rowOff>
    </xdr:from>
    <xdr:to>
      <xdr:col>2</xdr:col>
      <xdr:colOff>352426</xdr:colOff>
      <xdr:row>41</xdr:row>
      <xdr:rowOff>143933</xdr:rowOff>
    </xdr:to>
    <xdr:pic>
      <xdr:nvPicPr>
        <xdr:cNvPr id="4" name="Picture 3">
          <a:extLst>
            <a:ext uri="{FF2B5EF4-FFF2-40B4-BE49-F238E27FC236}">
              <a16:creationId xmlns:a16="http://schemas.microsoft.com/office/drawing/2014/main" id="{00000000-0008-0000-2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1" y="4533900"/>
          <a:ext cx="3505200" cy="4344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590742</xdr:colOff>
      <xdr:row>22</xdr:row>
      <xdr:rowOff>124499</xdr:rowOff>
    </xdr:from>
    <xdr:to>
      <xdr:col>4</xdr:col>
      <xdr:colOff>1116049</xdr:colOff>
      <xdr:row>39</xdr:row>
      <xdr:rowOff>18667</xdr:rowOff>
    </xdr:to>
    <xdr:pic>
      <xdr:nvPicPr>
        <xdr:cNvPr id="5" name="Picture 4">
          <a:extLst>
            <a:ext uri="{FF2B5EF4-FFF2-40B4-BE49-F238E27FC236}">
              <a16:creationId xmlns:a16="http://schemas.microsoft.com/office/drawing/2014/main" id="{00000000-0008-0000-2100-000005000000}"/>
            </a:ext>
          </a:extLst>
        </xdr:cNvPr>
        <xdr:cNvPicPr>
          <a:picLocks noChangeAspect="1"/>
        </xdr:cNvPicPr>
      </xdr:nvPicPr>
      <xdr:blipFill>
        <a:blip xmlns:r="http://schemas.openxmlformats.org/officeDocument/2006/relationships" r:embed="rId2"/>
        <a:stretch>
          <a:fillRect/>
        </a:stretch>
      </xdr:blipFill>
      <xdr:spPr>
        <a:xfrm>
          <a:off x="5229417" y="5058449"/>
          <a:ext cx="3430432" cy="3294593"/>
        </a:xfrm>
        <a:prstGeom prst="rect">
          <a:avLst/>
        </a:prstGeom>
      </xdr:spPr>
    </xdr:pic>
    <xdr:clientData/>
  </xdr:twoCellAnchor>
  <xdr:twoCellAnchor editAs="oneCell">
    <xdr:from>
      <xdr:col>5</xdr:col>
      <xdr:colOff>271704</xdr:colOff>
      <xdr:row>20</xdr:row>
      <xdr:rowOff>7698</xdr:rowOff>
    </xdr:from>
    <xdr:to>
      <xdr:col>13</xdr:col>
      <xdr:colOff>563509</xdr:colOff>
      <xdr:row>40</xdr:row>
      <xdr:rowOff>193386</xdr:rowOff>
    </xdr:to>
    <xdr:pic>
      <xdr:nvPicPr>
        <xdr:cNvPr id="6" name="Picture 5">
          <a:extLst>
            <a:ext uri="{FF2B5EF4-FFF2-40B4-BE49-F238E27FC236}">
              <a16:creationId xmlns:a16="http://schemas.microsoft.com/office/drawing/2014/main" id="{00000000-0008-0000-2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520479" y="4541598"/>
          <a:ext cx="5902030" cy="41861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644337</xdr:colOff>
      <xdr:row>48</xdr:row>
      <xdr:rowOff>45944</xdr:rowOff>
    </xdr:from>
    <xdr:to>
      <xdr:col>7</xdr:col>
      <xdr:colOff>918883</xdr:colOff>
      <xdr:row>69</xdr:row>
      <xdr:rowOff>1</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633130</xdr:colOff>
      <xdr:row>37</xdr:row>
      <xdr:rowOff>169207</xdr:rowOff>
    </xdr:from>
    <xdr:to>
      <xdr:col>17</xdr:col>
      <xdr:colOff>358588</xdr:colOff>
      <xdr:row>61</xdr:row>
      <xdr:rowOff>11205</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291914</xdr:colOff>
      <xdr:row>20</xdr:row>
      <xdr:rowOff>134189</xdr:rowOff>
    </xdr:from>
    <xdr:to>
      <xdr:col>13</xdr:col>
      <xdr:colOff>310963</xdr:colOff>
      <xdr:row>38</xdr:row>
      <xdr:rowOff>138952</xdr:rowOff>
    </xdr:to>
    <xdr:graphicFrame macro="">
      <xdr:nvGraphicFramePr>
        <xdr:cNvPr id="2" name="Chart 1">
          <a:extLst>
            <a:ext uri="{FF2B5EF4-FFF2-40B4-BE49-F238E27FC236}">
              <a16:creationId xmlns:a16="http://schemas.microsoft.com/office/drawing/2014/main" id="{00000000-0008-0000-2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116821</xdr:colOff>
      <xdr:row>0</xdr:row>
      <xdr:rowOff>113459</xdr:rowOff>
    </xdr:from>
    <xdr:to>
      <xdr:col>13</xdr:col>
      <xdr:colOff>283509</xdr:colOff>
      <xdr:row>17</xdr:row>
      <xdr:rowOff>89647</xdr:rowOff>
    </xdr:to>
    <xdr:graphicFrame macro="">
      <xdr:nvGraphicFramePr>
        <xdr:cNvPr id="3" name="Chart 2">
          <a:extLst>
            <a:ext uri="{FF2B5EF4-FFF2-40B4-BE49-F238E27FC236}">
              <a16:creationId xmlns:a16="http://schemas.microsoft.com/office/drawing/2014/main" id="{00000000-0008-0000-2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504825</xdr:colOff>
          <xdr:row>11</xdr:row>
          <xdr:rowOff>171450</xdr:rowOff>
        </xdr:from>
        <xdr:to>
          <xdr:col>0</xdr:col>
          <xdr:colOff>847725</xdr:colOff>
          <xdr:row>13</xdr:row>
          <xdr:rowOff>47625</xdr:rowOff>
        </xdr:to>
        <xdr:sp macro="" textlink="">
          <xdr:nvSpPr>
            <xdr:cNvPr id="112641" name="Check Box 1" hidden="1">
              <a:extLst>
                <a:ext uri="{63B3BB69-23CF-44E3-9099-C40C66FF867C}">
                  <a14:compatExt spid="_x0000_s112641"/>
                </a:ext>
                <a:ext uri="{FF2B5EF4-FFF2-40B4-BE49-F238E27FC236}">
                  <a16:creationId xmlns:a16="http://schemas.microsoft.com/office/drawing/2014/main" id="{00000000-0008-0000-2600-000001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16</xdr:row>
          <xdr:rowOff>161925</xdr:rowOff>
        </xdr:from>
        <xdr:to>
          <xdr:col>0</xdr:col>
          <xdr:colOff>923925</xdr:colOff>
          <xdr:row>18</xdr:row>
          <xdr:rowOff>38100</xdr:rowOff>
        </xdr:to>
        <xdr:sp macro="" textlink="">
          <xdr:nvSpPr>
            <xdr:cNvPr id="112642" name="Check Box 2" hidden="1">
              <a:extLst>
                <a:ext uri="{63B3BB69-23CF-44E3-9099-C40C66FF867C}">
                  <a14:compatExt spid="_x0000_s112642"/>
                </a:ext>
                <a:ext uri="{FF2B5EF4-FFF2-40B4-BE49-F238E27FC236}">
                  <a16:creationId xmlns:a16="http://schemas.microsoft.com/office/drawing/2014/main" id="{00000000-0008-0000-2600-000002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19</xdr:row>
          <xdr:rowOff>161925</xdr:rowOff>
        </xdr:from>
        <xdr:to>
          <xdr:col>0</xdr:col>
          <xdr:colOff>942975</xdr:colOff>
          <xdr:row>21</xdr:row>
          <xdr:rowOff>38100</xdr:rowOff>
        </xdr:to>
        <xdr:sp macro="" textlink="">
          <xdr:nvSpPr>
            <xdr:cNvPr id="112643" name="Check Box 3" hidden="1">
              <a:extLst>
                <a:ext uri="{63B3BB69-23CF-44E3-9099-C40C66FF867C}">
                  <a14:compatExt spid="_x0000_s112643"/>
                </a:ext>
                <a:ext uri="{FF2B5EF4-FFF2-40B4-BE49-F238E27FC236}">
                  <a16:creationId xmlns:a16="http://schemas.microsoft.com/office/drawing/2014/main" id="{00000000-0008-0000-2600-000003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21</xdr:row>
          <xdr:rowOff>161925</xdr:rowOff>
        </xdr:from>
        <xdr:to>
          <xdr:col>0</xdr:col>
          <xdr:colOff>962025</xdr:colOff>
          <xdr:row>23</xdr:row>
          <xdr:rowOff>38100</xdr:rowOff>
        </xdr:to>
        <xdr:sp macro="" textlink="">
          <xdr:nvSpPr>
            <xdr:cNvPr id="112644" name="Check Box 4" hidden="1">
              <a:extLst>
                <a:ext uri="{63B3BB69-23CF-44E3-9099-C40C66FF867C}">
                  <a14:compatExt spid="_x0000_s112644"/>
                </a:ext>
                <a:ext uri="{FF2B5EF4-FFF2-40B4-BE49-F238E27FC236}">
                  <a16:creationId xmlns:a16="http://schemas.microsoft.com/office/drawing/2014/main" id="{00000000-0008-0000-2600-000004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647700</xdr:colOff>
          <xdr:row>27</xdr:row>
          <xdr:rowOff>0</xdr:rowOff>
        </xdr:from>
        <xdr:to>
          <xdr:col>0</xdr:col>
          <xdr:colOff>990600</xdr:colOff>
          <xdr:row>28</xdr:row>
          <xdr:rowOff>0</xdr:rowOff>
        </xdr:to>
        <xdr:sp macro="" textlink="">
          <xdr:nvSpPr>
            <xdr:cNvPr id="112646" name="Check Box 6" hidden="1">
              <a:extLst>
                <a:ext uri="{63B3BB69-23CF-44E3-9099-C40C66FF867C}">
                  <a14:compatExt spid="_x0000_s112646"/>
                </a:ext>
                <a:ext uri="{FF2B5EF4-FFF2-40B4-BE49-F238E27FC236}">
                  <a16:creationId xmlns:a16="http://schemas.microsoft.com/office/drawing/2014/main" id="{00000000-0008-0000-2600-000006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228600</xdr:colOff>
      <xdr:row>5</xdr:row>
      <xdr:rowOff>166687</xdr:rowOff>
    </xdr:from>
    <xdr:to>
      <xdr:col>16</xdr:col>
      <xdr:colOff>533400</xdr:colOff>
      <xdr:row>23</xdr:row>
      <xdr:rowOff>42862</xdr:rowOff>
    </xdr:to>
    <xdr:graphicFrame macro="">
      <xdr:nvGraphicFramePr>
        <xdr:cNvPr id="8" name="Chart 7">
          <a:extLst>
            <a:ext uri="{FF2B5EF4-FFF2-40B4-BE49-F238E27FC236}">
              <a16:creationId xmlns:a16="http://schemas.microsoft.com/office/drawing/2014/main" id="{00000000-0008-0000-2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504825</xdr:colOff>
          <xdr:row>11</xdr:row>
          <xdr:rowOff>171450</xdr:rowOff>
        </xdr:from>
        <xdr:to>
          <xdr:col>0</xdr:col>
          <xdr:colOff>847725</xdr:colOff>
          <xdr:row>13</xdr:row>
          <xdr:rowOff>19050</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27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15</xdr:row>
          <xdr:rowOff>161925</xdr:rowOff>
        </xdr:from>
        <xdr:to>
          <xdr:col>0</xdr:col>
          <xdr:colOff>923925</xdr:colOff>
          <xdr:row>17</xdr:row>
          <xdr:rowOff>19050</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27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18</xdr:row>
          <xdr:rowOff>161925</xdr:rowOff>
        </xdr:from>
        <xdr:to>
          <xdr:col>0</xdr:col>
          <xdr:colOff>942975</xdr:colOff>
          <xdr:row>20</xdr:row>
          <xdr:rowOff>19050</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27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20</xdr:row>
          <xdr:rowOff>161925</xdr:rowOff>
        </xdr:from>
        <xdr:to>
          <xdr:col>0</xdr:col>
          <xdr:colOff>962025</xdr:colOff>
          <xdr:row>22</xdr:row>
          <xdr:rowOff>19050</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27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21</xdr:row>
          <xdr:rowOff>180975</xdr:rowOff>
        </xdr:from>
        <xdr:to>
          <xdr:col>0</xdr:col>
          <xdr:colOff>962025</xdr:colOff>
          <xdr:row>23</xdr:row>
          <xdr:rowOff>38100</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27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647700</xdr:colOff>
          <xdr:row>23</xdr:row>
          <xdr:rowOff>161925</xdr:rowOff>
        </xdr:from>
        <xdr:to>
          <xdr:col>0</xdr:col>
          <xdr:colOff>990600</xdr:colOff>
          <xdr:row>24</xdr:row>
          <xdr:rowOff>209550</xdr:rowOff>
        </xdr:to>
        <xdr:sp macro="" textlink="">
          <xdr:nvSpPr>
            <xdr:cNvPr id="83979" name="Check Box 11" hidden="1">
              <a:extLst>
                <a:ext uri="{63B3BB69-23CF-44E3-9099-C40C66FF867C}">
                  <a14:compatExt spid="_x0000_s83979"/>
                </a:ext>
                <a:ext uri="{FF2B5EF4-FFF2-40B4-BE49-F238E27FC236}">
                  <a16:creationId xmlns:a16="http://schemas.microsoft.com/office/drawing/2014/main" id="{00000000-0008-0000-27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295275</xdr:colOff>
      <xdr:row>11</xdr:row>
      <xdr:rowOff>4762</xdr:rowOff>
    </xdr:from>
    <xdr:to>
      <xdr:col>16</xdr:col>
      <xdr:colOff>600075</xdr:colOff>
      <xdr:row>24</xdr:row>
      <xdr:rowOff>261937</xdr:rowOff>
    </xdr:to>
    <xdr:graphicFrame macro="">
      <xdr:nvGraphicFramePr>
        <xdr:cNvPr id="2" name="Chart 1">
          <a:extLst>
            <a:ext uri="{FF2B5EF4-FFF2-40B4-BE49-F238E27FC236}">
              <a16:creationId xmlns:a16="http://schemas.microsoft.com/office/drawing/2014/main" id="{00000000-0008-0000-2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7</xdr:col>
      <xdr:colOff>28575</xdr:colOff>
      <xdr:row>17</xdr:row>
      <xdr:rowOff>119062</xdr:rowOff>
    </xdr:from>
    <xdr:to>
      <xdr:col>14</xdr:col>
      <xdr:colOff>171450</xdr:colOff>
      <xdr:row>31</xdr:row>
      <xdr:rowOff>80962</xdr:rowOff>
    </xdr:to>
    <xdr:graphicFrame macro="">
      <xdr:nvGraphicFramePr>
        <xdr:cNvPr id="2" name="Chart 1">
          <a:extLst>
            <a:ext uri="{FF2B5EF4-FFF2-40B4-BE49-F238E27FC236}">
              <a16:creationId xmlns:a16="http://schemas.microsoft.com/office/drawing/2014/main" id="{00000000-0008-0000-2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142874</xdr:colOff>
      <xdr:row>11</xdr:row>
      <xdr:rowOff>47625</xdr:rowOff>
    </xdr:from>
    <xdr:to>
      <xdr:col>8</xdr:col>
      <xdr:colOff>38099</xdr:colOff>
      <xdr:row>25</xdr:row>
      <xdr:rowOff>123825</xdr:rowOff>
    </xdr:to>
    <xdr:graphicFrame macro="">
      <xdr:nvGraphicFramePr>
        <xdr:cNvPr id="2" name="Chart 1">
          <a:extLst>
            <a:ext uri="{FF2B5EF4-FFF2-40B4-BE49-F238E27FC236}">
              <a16:creationId xmlns:a16="http://schemas.microsoft.com/office/drawing/2014/main" id="{00000000-0008-0000-2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editAs="oneCell">
    <xdr:from>
      <xdr:col>8</xdr:col>
      <xdr:colOff>557893</xdr:colOff>
      <xdr:row>0</xdr:row>
      <xdr:rowOff>122464</xdr:rowOff>
    </xdr:from>
    <xdr:to>
      <xdr:col>19</xdr:col>
      <xdr:colOff>774247</xdr:colOff>
      <xdr:row>35</xdr:row>
      <xdr:rowOff>13607</xdr:rowOff>
    </xdr:to>
    <xdr:pic>
      <xdr:nvPicPr>
        <xdr:cNvPr id="2" name="Picture 1">
          <a:extLst>
            <a:ext uri="{FF2B5EF4-FFF2-40B4-BE49-F238E27FC236}">
              <a16:creationId xmlns:a16="http://schemas.microsoft.com/office/drawing/2014/main" id="{00000000-0008-0000-2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82643" y="122464"/>
          <a:ext cx="9197068" cy="5633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190499</xdr:colOff>
      <xdr:row>35</xdr:row>
      <xdr:rowOff>108858</xdr:rowOff>
    </xdr:from>
    <xdr:to>
      <xdr:col>13</xdr:col>
      <xdr:colOff>657224</xdr:colOff>
      <xdr:row>84</xdr:row>
      <xdr:rowOff>14969</xdr:rowOff>
    </xdr:to>
    <xdr:pic>
      <xdr:nvPicPr>
        <xdr:cNvPr id="3" name="Picture 2">
          <a:extLst>
            <a:ext uri="{FF2B5EF4-FFF2-40B4-BE49-F238E27FC236}">
              <a16:creationId xmlns:a16="http://schemas.microsoft.com/office/drawing/2014/main" id="{00000000-0008-0000-2B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23356" y="6327322"/>
          <a:ext cx="10440761" cy="79071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4</xdr:col>
      <xdr:colOff>428625</xdr:colOff>
      <xdr:row>4</xdr:row>
      <xdr:rowOff>0</xdr:rowOff>
    </xdr:from>
    <xdr:to>
      <xdr:col>12</xdr:col>
      <xdr:colOff>123825</xdr:colOff>
      <xdr:row>18</xdr:row>
      <xdr:rowOff>76200</xdr:rowOff>
    </xdr:to>
    <xdr:graphicFrame macro="">
      <xdr:nvGraphicFramePr>
        <xdr:cNvPr id="2" name="Chart 1">
          <a:extLst>
            <a:ext uri="{FF2B5EF4-FFF2-40B4-BE49-F238E27FC236}">
              <a16:creationId xmlns:a16="http://schemas.microsoft.com/office/drawing/2014/main" id="{00000000-0008-0000-2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452437</xdr:colOff>
      <xdr:row>18</xdr:row>
      <xdr:rowOff>95250</xdr:rowOff>
    </xdr:from>
    <xdr:to>
      <xdr:col>12</xdr:col>
      <xdr:colOff>147637</xdr:colOff>
      <xdr:row>32</xdr:row>
      <xdr:rowOff>161925</xdr:rowOff>
    </xdr:to>
    <xdr:graphicFrame macro="">
      <xdr:nvGraphicFramePr>
        <xdr:cNvPr id="4" name="Chart 3">
          <a:extLst>
            <a:ext uri="{FF2B5EF4-FFF2-40B4-BE49-F238E27FC236}">
              <a16:creationId xmlns:a16="http://schemas.microsoft.com/office/drawing/2014/main" id="{00000000-0008-0000-2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209550</xdr:colOff>
      <xdr:row>31</xdr:row>
      <xdr:rowOff>95250</xdr:rowOff>
    </xdr:from>
    <xdr:to>
      <xdr:col>20</xdr:col>
      <xdr:colOff>514350</xdr:colOff>
      <xdr:row>46</xdr:row>
      <xdr:rowOff>38100</xdr:rowOff>
    </xdr:to>
    <xdr:graphicFrame macro="">
      <xdr:nvGraphicFramePr>
        <xdr:cNvPr id="3" name="Chart 2">
          <a:extLst>
            <a:ext uri="{FF2B5EF4-FFF2-40B4-BE49-F238E27FC236}">
              <a16:creationId xmlns:a16="http://schemas.microsoft.com/office/drawing/2014/main" id="{00000000-0008-0000-3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xdr:colOff>
      <xdr:row>15</xdr:row>
      <xdr:rowOff>95250</xdr:rowOff>
    </xdr:from>
    <xdr:to>
      <xdr:col>20</xdr:col>
      <xdr:colOff>338137</xdr:colOff>
      <xdr:row>30</xdr:row>
      <xdr:rowOff>38100</xdr:rowOff>
    </xdr:to>
    <xdr:graphicFrame macro="">
      <xdr:nvGraphicFramePr>
        <xdr:cNvPr id="4" name="Chart 3">
          <a:extLst>
            <a:ext uri="{FF2B5EF4-FFF2-40B4-BE49-F238E27FC236}">
              <a16:creationId xmlns:a16="http://schemas.microsoft.com/office/drawing/2014/main" id="{00000000-0008-0000-3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333375</xdr:colOff>
      <xdr:row>15</xdr:row>
      <xdr:rowOff>114300</xdr:rowOff>
    </xdr:from>
    <xdr:to>
      <xdr:col>12</xdr:col>
      <xdr:colOff>476250</xdr:colOff>
      <xdr:row>30</xdr:row>
      <xdr:rowOff>57150</xdr:rowOff>
    </xdr:to>
    <xdr:graphicFrame macro="">
      <xdr:nvGraphicFramePr>
        <xdr:cNvPr id="9" name="Chart 8">
          <a:extLst>
            <a:ext uri="{FF2B5EF4-FFF2-40B4-BE49-F238E27FC236}">
              <a16:creationId xmlns:a16="http://schemas.microsoft.com/office/drawing/2014/main" id="{00000000-0008-0000-3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447675</xdr:colOff>
      <xdr:row>31</xdr:row>
      <xdr:rowOff>47625</xdr:rowOff>
    </xdr:from>
    <xdr:to>
      <xdr:col>12</xdr:col>
      <xdr:colOff>590550</xdr:colOff>
      <xdr:row>46</xdr:row>
      <xdr:rowOff>76200</xdr:rowOff>
    </xdr:to>
    <xdr:graphicFrame macro="">
      <xdr:nvGraphicFramePr>
        <xdr:cNvPr id="10" name="Chart 9">
          <a:extLst>
            <a:ext uri="{FF2B5EF4-FFF2-40B4-BE49-F238E27FC236}">
              <a16:creationId xmlns:a16="http://schemas.microsoft.com/office/drawing/2014/main" id="{00000000-0008-0000-3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78:G83" totalsRowShown="0" headerRowDxfId="13" dataDxfId="12">
  <autoFilter ref="B78:G83" xr:uid="{00000000-0009-0000-0100-000001000000}"/>
  <tableColumns count="6">
    <tableColumn id="1" xr3:uid="{00000000-0010-0000-0000-000001000000}" name="Item Number" dataDxfId="11"/>
    <tableColumn id="2" xr3:uid="{00000000-0010-0000-0000-000002000000}" name="Time (hours)" dataDxfId="10">
      <calculatedColumnFormula>100</calculatedColumnFormula>
    </tableColumn>
    <tableColumn id="3" xr3:uid="{00000000-0010-0000-0000-000003000000}" name="Fail or Suspend" dataDxfId="9"/>
    <tableColumn id="4" xr3:uid="{00000000-0010-0000-0000-000004000000}" name="Ni" dataDxfId="8">
      <calculatedColumnFormula>1</calculatedColumnFormula>
    </tableColumn>
    <tableColumn id="5" xr3:uid="{00000000-0010-0000-0000-000005000000}" name="iti (Mean Order Number)" dataDxfId="7"/>
    <tableColumn id="6" xr3:uid="{00000000-0010-0000-0000-000006000000}" name="rti"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67FA38-03BC-4EF5-9B0E-ECB8ACCB13B0}" name="Table2" displayName="Table2" ref="A1:B6" totalsRowShown="0" headerRowDxfId="5" headerRowBorderDxfId="4" tableBorderDxfId="3" totalsRowBorderDxfId="2">
  <autoFilter ref="A1:B6" xr:uid="{76E1F8D8-3946-4200-8F7A-F192D550F73F}"/>
  <tableColumns count="2">
    <tableColumn id="1" xr3:uid="{A9B537D3-F2AE-45DC-ACA6-0F0B2C830B9F}" name="Distance (cm)" dataDxfId="1"/>
    <tableColumn id="2" xr3:uid="{8A1FF9C5-C757-4504-BB5E-66E920E61072}" name="Force (N)"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weibull.com/hotwire/issue177/fmeacorner177.htm"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8" Type="http://schemas.openxmlformats.org/officeDocument/2006/relationships/hyperlink" Target="http://help.synthesisplatform.net/weibull_alta11/weibull_simumatic_setup_window.htm" TargetMode="External"/><Relationship Id="rId3" Type="http://schemas.openxmlformats.org/officeDocument/2006/relationships/hyperlink" Target="http://help.synthesisplatform.net/weibull_alta11/mixed_weibull_analysis.htm" TargetMode="External"/><Relationship Id="rId7" Type="http://schemas.openxmlformats.org/officeDocument/2006/relationships/hyperlink" Target="http://help.synthesisplatform.net/weibull_alta11/weibull_simumatic_setup_window.htm" TargetMode="External"/><Relationship Id="rId2" Type="http://schemas.openxmlformats.org/officeDocument/2006/relationships/hyperlink" Target="http://help.synthesisplatform.net/weibull_alta11/quick_parameter_experimenter.htm" TargetMode="External"/><Relationship Id="rId1" Type="http://schemas.openxmlformats.org/officeDocument/2006/relationships/hyperlink" Target="http://help.synthesisplatform.net/weibull_alta11/monte_carlo_simulation_and_the_simumatic_utility.htm" TargetMode="External"/><Relationship Id="rId6" Type="http://schemas.openxmlformats.org/officeDocument/2006/relationships/hyperlink" Target="http://help.synthesisplatform.net/weibull_alta11/weibull_simumatic_setup_window.htm" TargetMode="External"/><Relationship Id="rId11" Type="http://schemas.openxmlformats.org/officeDocument/2006/relationships/vmlDrawing" Target="../drawings/vmlDrawing2.vml"/><Relationship Id="rId5" Type="http://schemas.openxmlformats.org/officeDocument/2006/relationships/hyperlink" Target="http://help.synthesisplatform.net/weibull_alta11/time_dependent_stress_profiles.htm" TargetMode="External"/><Relationship Id="rId10" Type="http://schemas.openxmlformats.org/officeDocument/2006/relationships/drawing" Target="../drawings/drawing5.xml"/><Relationship Id="rId4" Type="http://schemas.openxmlformats.org/officeDocument/2006/relationships/hyperlink" Target="http://help.synthesisplatform.net/weibull_alta11/user-defined_equations.htm"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0.bin"/><Relationship Id="rId1" Type="http://schemas.openxmlformats.org/officeDocument/2006/relationships/hyperlink" Target="http://weibull.reliasoft.com/"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4.bin"/><Relationship Id="rId1" Type="http://schemas.openxmlformats.org/officeDocument/2006/relationships/hyperlink" Target="javascript:void(0);" TargetMode="External"/><Relationship Id="rId4" Type="http://schemas.openxmlformats.org/officeDocument/2006/relationships/vmlDrawing" Target="../drawings/vmlDrawing3.v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omments" Target="../comments4.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omments" Target="../comments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omments" Target="../comments6.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8.bin"/></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9.vml"/><Relationship Id="rId7" Type="http://schemas.openxmlformats.org/officeDocument/2006/relationships/ctrlProp" Target="../ctrlProps/ctrlProp4.xml"/><Relationship Id="rId2" Type="http://schemas.openxmlformats.org/officeDocument/2006/relationships/drawing" Target="../drawings/drawing20.xml"/><Relationship Id="rId1" Type="http://schemas.openxmlformats.org/officeDocument/2006/relationships/printerSettings" Target="../printerSettings/printerSettings29.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10.vml"/><Relationship Id="rId7" Type="http://schemas.openxmlformats.org/officeDocument/2006/relationships/ctrlProp" Target="../ctrlProps/ctrlProp9.xml"/><Relationship Id="rId2" Type="http://schemas.openxmlformats.org/officeDocument/2006/relationships/drawing" Target="../drawings/drawing21.xml"/><Relationship Id="rId1" Type="http://schemas.openxmlformats.org/officeDocument/2006/relationships/printerSettings" Target="../printerSettings/printerSettings30.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3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9.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00FF00"/>
    <pageSetUpPr fitToPage="1"/>
  </sheetPr>
  <dimension ref="A1:H30"/>
  <sheetViews>
    <sheetView topLeftCell="A7" zoomScale="55" zoomScaleNormal="55" workbookViewId="0">
      <selection activeCell="C40" sqref="C40"/>
    </sheetView>
  </sheetViews>
  <sheetFormatPr defaultRowHeight="18"/>
  <cols>
    <col min="1" max="1" width="16.85546875" style="140" customWidth="1"/>
    <col min="2" max="2" width="62.7109375" style="140" customWidth="1"/>
    <col min="3" max="3" width="27.28515625" style="140" customWidth="1"/>
    <col min="4" max="4" width="27.7109375" style="140" customWidth="1"/>
    <col min="5" max="5" width="26.85546875" style="140" customWidth="1"/>
    <col min="6" max="6" width="29" style="140" customWidth="1"/>
    <col min="7" max="7" width="27.42578125" style="140" customWidth="1"/>
    <col min="8" max="8" width="24.7109375" style="140" customWidth="1"/>
    <col min="9" max="9" width="16.42578125" style="140" customWidth="1"/>
    <col min="10" max="10" width="10" style="140" customWidth="1"/>
    <col min="11" max="16384" width="9.140625" style="140"/>
  </cols>
  <sheetData>
    <row r="1" spans="1:8" ht="18.75" thickBot="1"/>
    <row r="2" spans="1:8" ht="45.75" customHeight="1" thickBot="1">
      <c r="A2" s="164"/>
      <c r="B2" s="164"/>
      <c r="C2" s="607" t="s">
        <v>499</v>
      </c>
      <c r="D2" s="608"/>
      <c r="E2" s="608"/>
      <c r="F2" s="609"/>
      <c r="G2" s="613" t="s">
        <v>496</v>
      </c>
      <c r="H2" s="614"/>
    </row>
    <row r="3" spans="1:8" s="182" customFormat="1" ht="51.75" customHeight="1" thickBot="1">
      <c r="A3" s="175" t="s">
        <v>465</v>
      </c>
      <c r="B3" s="176" t="s">
        <v>498</v>
      </c>
      <c r="C3" s="177" t="s">
        <v>466</v>
      </c>
      <c r="D3" s="178" t="s">
        <v>467</v>
      </c>
      <c r="E3" s="179" t="s">
        <v>468</v>
      </c>
      <c r="F3" s="180" t="s">
        <v>469</v>
      </c>
      <c r="G3" s="177" t="s">
        <v>470</v>
      </c>
      <c r="H3" s="181" t="s">
        <v>497</v>
      </c>
    </row>
    <row r="4" spans="1:8" ht="28.5" customHeight="1">
      <c r="A4" s="166">
        <v>1</v>
      </c>
      <c r="B4" s="174" t="s">
        <v>477</v>
      </c>
      <c r="C4" s="172"/>
      <c r="D4" s="172"/>
      <c r="E4" s="172"/>
      <c r="F4" s="172"/>
      <c r="G4" s="172"/>
      <c r="H4" s="173"/>
    </row>
    <row r="5" spans="1:8" ht="23.25">
      <c r="A5" s="166">
        <f>A4+1</f>
        <v>2</v>
      </c>
      <c r="B5" s="167" t="s">
        <v>487</v>
      </c>
      <c r="C5" s="168"/>
      <c r="D5" s="168"/>
      <c r="E5" s="168"/>
      <c r="F5" s="168"/>
      <c r="G5" s="168"/>
      <c r="H5" s="169"/>
    </row>
    <row r="6" spans="1:8" ht="23.25">
      <c r="A6" s="166">
        <f t="shared" ref="A6:A16" si="0">A5+1</f>
        <v>3</v>
      </c>
      <c r="B6" s="167" t="s">
        <v>488</v>
      </c>
      <c r="C6" s="170"/>
      <c r="D6" s="170"/>
      <c r="E6" s="170"/>
      <c r="F6" s="170"/>
      <c r="G6" s="171"/>
      <c r="H6" s="168"/>
    </row>
    <row r="7" spans="1:8" ht="23.25">
      <c r="A7" s="166">
        <f t="shared" si="0"/>
        <v>4</v>
      </c>
      <c r="B7" s="167" t="s">
        <v>464</v>
      </c>
      <c r="C7" s="170"/>
      <c r="D7" s="170"/>
      <c r="E7" s="170"/>
      <c r="F7" s="170"/>
      <c r="G7" s="171"/>
      <c r="H7" s="168"/>
    </row>
    <row r="8" spans="1:8" ht="23.25">
      <c r="A8" s="166">
        <f t="shared" si="0"/>
        <v>5</v>
      </c>
      <c r="B8" s="167" t="s">
        <v>490</v>
      </c>
      <c r="C8" s="170"/>
      <c r="D8" s="170"/>
      <c r="E8" s="170"/>
      <c r="F8" s="170"/>
      <c r="G8" s="168"/>
      <c r="H8" s="168"/>
    </row>
    <row r="9" spans="1:8" ht="23.25">
      <c r="A9" s="166">
        <f t="shared" si="0"/>
        <v>6</v>
      </c>
      <c r="B9" s="167" t="s">
        <v>489</v>
      </c>
      <c r="C9" s="170"/>
      <c r="D9" s="170"/>
      <c r="E9" s="170"/>
      <c r="F9" s="170"/>
      <c r="G9" s="168"/>
      <c r="H9" s="168"/>
    </row>
    <row r="10" spans="1:8" ht="23.25">
      <c r="A10" s="166">
        <f t="shared" si="0"/>
        <v>7</v>
      </c>
      <c r="B10" s="167" t="s">
        <v>491</v>
      </c>
      <c r="C10" s="170"/>
      <c r="D10" s="170"/>
      <c r="E10" s="170"/>
      <c r="F10" s="170"/>
      <c r="G10" s="171"/>
      <c r="H10" s="168"/>
    </row>
    <row r="11" spans="1:8" ht="46.5">
      <c r="A11" s="166">
        <f t="shared" si="0"/>
        <v>8</v>
      </c>
      <c r="B11" s="167" t="s">
        <v>492</v>
      </c>
      <c r="C11" s="170"/>
      <c r="D11" s="170"/>
      <c r="E11" s="170"/>
      <c r="F11" s="170"/>
      <c r="G11" s="171"/>
      <c r="H11" s="168"/>
    </row>
    <row r="12" spans="1:8" ht="46.5">
      <c r="A12" s="166">
        <f t="shared" si="0"/>
        <v>9</v>
      </c>
      <c r="B12" s="167" t="s">
        <v>493</v>
      </c>
      <c r="C12" s="170"/>
      <c r="D12" s="170"/>
      <c r="E12" s="170"/>
      <c r="F12" s="170"/>
      <c r="G12" s="171"/>
      <c r="H12" s="168"/>
    </row>
    <row r="13" spans="1:8" ht="46.5">
      <c r="A13" s="166">
        <f t="shared" si="0"/>
        <v>10</v>
      </c>
      <c r="B13" s="167" t="s">
        <v>384</v>
      </c>
      <c r="C13" s="170"/>
      <c r="D13" s="170"/>
      <c r="E13" s="170"/>
      <c r="F13" s="170"/>
      <c r="G13" s="171"/>
      <c r="H13" s="168"/>
    </row>
    <row r="14" spans="1:8" ht="23.25">
      <c r="A14" s="166">
        <f t="shared" si="0"/>
        <v>11</v>
      </c>
      <c r="B14" s="167" t="s">
        <v>475</v>
      </c>
      <c r="C14" s="170"/>
      <c r="D14" s="170"/>
      <c r="E14" s="170"/>
      <c r="F14" s="170"/>
      <c r="G14" s="171"/>
      <c r="H14" s="168"/>
    </row>
    <row r="15" spans="1:8" ht="69.75">
      <c r="A15" s="166">
        <f t="shared" si="0"/>
        <v>12</v>
      </c>
      <c r="B15" s="167" t="s">
        <v>476</v>
      </c>
      <c r="C15" s="170"/>
      <c r="D15" s="170"/>
      <c r="E15" s="168"/>
      <c r="F15" s="168"/>
      <c r="G15" s="171"/>
      <c r="H15" s="168"/>
    </row>
    <row r="16" spans="1:8" ht="23.25">
      <c r="A16" s="166">
        <f t="shared" si="0"/>
        <v>13</v>
      </c>
      <c r="B16" s="167" t="s">
        <v>495</v>
      </c>
      <c r="C16" s="170"/>
      <c r="D16" s="170"/>
      <c r="E16" s="168"/>
      <c r="F16" s="168"/>
      <c r="G16" s="171"/>
      <c r="H16" s="168"/>
    </row>
    <row r="17" spans="2:8">
      <c r="B17" s="151"/>
      <c r="D17" s="151"/>
      <c r="E17" s="151"/>
      <c r="F17" s="151"/>
      <c r="G17" s="151"/>
      <c r="H17" s="151"/>
    </row>
    <row r="18" spans="2:8">
      <c r="C18" s="155"/>
    </row>
    <row r="19" spans="2:8">
      <c r="B19" s="140" t="s">
        <v>483</v>
      </c>
      <c r="C19" s="140" t="e">
        <f>SUM(#REF!)</f>
        <v>#REF!</v>
      </c>
    </row>
    <row r="20" spans="2:8">
      <c r="B20" s="140" t="s">
        <v>484</v>
      </c>
      <c r="C20" s="140" t="e">
        <f>SUM(#REF!)</f>
        <v>#REF!</v>
      </c>
    </row>
    <row r="21" spans="2:8" ht="18.75" thickBot="1">
      <c r="B21" s="140" t="s">
        <v>385</v>
      </c>
      <c r="C21" s="156" t="e">
        <f>SUM(C19:C20)</f>
        <v>#REF!</v>
      </c>
    </row>
    <row r="22" spans="2:8" ht="18.75" thickTop="1"/>
    <row r="23" spans="2:8">
      <c r="B23" s="140" t="s">
        <v>485</v>
      </c>
      <c r="C23" s="155" t="e">
        <f>C19/C21</f>
        <v>#REF!</v>
      </c>
    </row>
    <row r="24" spans="2:8">
      <c r="B24" s="140" t="s">
        <v>486</v>
      </c>
      <c r="C24" s="155" t="e">
        <f>C20/C21</f>
        <v>#REF!</v>
      </c>
    </row>
    <row r="25" spans="2:8" ht="18.75" thickBot="1">
      <c r="B25" s="140" t="s">
        <v>385</v>
      </c>
      <c r="C25" s="157" t="e">
        <f>SUM(C23:C24)</f>
        <v>#REF!</v>
      </c>
    </row>
    <row r="26" spans="2:8" ht="18.75" thickTop="1"/>
    <row r="28" spans="2:8" ht="23.25">
      <c r="C28" s="610" t="s">
        <v>478</v>
      </c>
      <c r="D28" s="611"/>
      <c r="E28" s="612"/>
    </row>
    <row r="29" spans="2:8" ht="33" customHeight="1">
      <c r="C29" s="165" t="s">
        <v>481</v>
      </c>
      <c r="D29" s="165" t="s">
        <v>480</v>
      </c>
      <c r="E29" s="165" t="s">
        <v>479</v>
      </c>
    </row>
    <row r="30" spans="2:8" ht="19.5">
      <c r="C30" s="148"/>
      <c r="D30" s="149"/>
      <c r="E30" s="150"/>
    </row>
  </sheetData>
  <mergeCells count="3">
    <mergeCell ref="C2:F2"/>
    <mergeCell ref="C28:E28"/>
    <mergeCell ref="G2:H2"/>
  </mergeCells>
  <pageMargins left="0.7" right="0.7" top="0.75" bottom="0.75" header="0.3" footer="0.3"/>
  <pageSetup scale="5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rgb="FF00FF00"/>
    <pageSetUpPr fitToPage="1"/>
  </sheetPr>
  <dimension ref="A2:J31"/>
  <sheetViews>
    <sheetView topLeftCell="A10" zoomScale="55" zoomScaleNormal="55" workbookViewId="0">
      <selection activeCell="B52" sqref="B52"/>
    </sheetView>
  </sheetViews>
  <sheetFormatPr defaultRowHeight="18"/>
  <cols>
    <col min="1" max="1" width="16.85546875" style="140" customWidth="1"/>
    <col min="2" max="2" width="62.7109375" style="140" customWidth="1"/>
    <col min="3" max="3" width="27.28515625" style="140" customWidth="1"/>
    <col min="4" max="4" width="27.7109375" style="140" customWidth="1"/>
    <col min="5" max="5" width="26.85546875" style="140" customWidth="1"/>
    <col min="6" max="6" width="29" style="140" customWidth="1"/>
    <col min="7" max="7" width="37.7109375" style="140" customWidth="1"/>
    <col min="8" max="8" width="27.7109375" style="140" customWidth="1"/>
    <col min="9" max="9" width="19.28515625" style="140" customWidth="1"/>
    <col min="10" max="10" width="25.85546875" style="140" customWidth="1"/>
    <col min="11" max="11" width="16.42578125" style="140" customWidth="1"/>
    <col min="12" max="12" width="10" style="140" customWidth="1"/>
    <col min="13" max="16384" width="9.140625" style="140"/>
  </cols>
  <sheetData>
    <row r="2" spans="1:10" ht="36">
      <c r="C2" s="615" t="s">
        <v>471</v>
      </c>
      <c r="D2" s="615"/>
      <c r="E2" s="615"/>
      <c r="F2" s="615"/>
      <c r="G2" s="141" t="s">
        <v>472</v>
      </c>
      <c r="H2" s="141" t="s">
        <v>474</v>
      </c>
    </row>
    <row r="3" spans="1:10" s="144" customFormat="1" ht="36">
      <c r="A3" s="142" t="s">
        <v>465</v>
      </c>
      <c r="B3" s="143" t="s">
        <v>383</v>
      </c>
      <c r="C3" s="142" t="s">
        <v>466</v>
      </c>
      <c r="D3" s="142" t="s">
        <v>467</v>
      </c>
      <c r="E3" s="142" t="s">
        <v>468</v>
      </c>
      <c r="F3" s="142" t="s">
        <v>469</v>
      </c>
      <c r="G3" s="142" t="s">
        <v>470</v>
      </c>
      <c r="H3" s="142" t="s">
        <v>473</v>
      </c>
      <c r="I3" s="142" t="s">
        <v>385</v>
      </c>
      <c r="J3" s="142" t="s">
        <v>494</v>
      </c>
    </row>
    <row r="4" spans="1:10" ht="19.5">
      <c r="A4" s="145">
        <v>1</v>
      </c>
      <c r="B4" s="146" t="s">
        <v>477</v>
      </c>
      <c r="C4" s="158"/>
      <c r="D4" s="158"/>
      <c r="E4" s="158"/>
      <c r="F4" s="158"/>
      <c r="G4" s="158"/>
      <c r="H4" s="159">
        <f>1</f>
        <v>1</v>
      </c>
      <c r="I4" s="162">
        <f>SUM(C4:H4)</f>
        <v>1</v>
      </c>
      <c r="J4" s="155">
        <f>$I4/$I$17</f>
        <v>1.9607843137254902E-2</v>
      </c>
    </row>
    <row r="5" spans="1:10" ht="19.5">
      <c r="A5" s="145">
        <f>A4+1</f>
        <v>2</v>
      </c>
      <c r="B5" s="146" t="s">
        <v>487</v>
      </c>
      <c r="C5" s="158"/>
      <c r="D5" s="158"/>
      <c r="E5" s="158"/>
      <c r="F5" s="158"/>
      <c r="G5" s="158"/>
      <c r="H5" s="159">
        <f>1</f>
        <v>1</v>
      </c>
      <c r="I5" s="162">
        <f t="shared" ref="I5:I16" si="0">SUM(C5:H5)</f>
        <v>1</v>
      </c>
      <c r="J5" s="155">
        <f t="shared" ref="J5:J16" si="1">$I5/$I$17</f>
        <v>1.9607843137254902E-2</v>
      </c>
    </row>
    <row r="6" spans="1:10">
      <c r="A6" s="145">
        <f t="shared" ref="A6:A16" si="2">A5+1</f>
        <v>3</v>
      </c>
      <c r="B6" s="146" t="s">
        <v>488</v>
      </c>
      <c r="C6" s="160">
        <f>1</f>
        <v>1</v>
      </c>
      <c r="D6" s="160">
        <f>1</f>
        <v>1</v>
      </c>
      <c r="E6" s="160">
        <f>1</f>
        <v>1</v>
      </c>
      <c r="F6" s="160">
        <f>1</f>
        <v>1</v>
      </c>
      <c r="G6" s="161">
        <f>1</f>
        <v>1</v>
      </c>
      <c r="H6" s="158"/>
      <c r="I6" s="162">
        <f t="shared" si="0"/>
        <v>5</v>
      </c>
      <c r="J6" s="155">
        <f t="shared" si="1"/>
        <v>9.8039215686274508E-2</v>
      </c>
    </row>
    <row r="7" spans="1:10">
      <c r="A7" s="145">
        <f t="shared" si="2"/>
        <v>4</v>
      </c>
      <c r="B7" s="146" t="s">
        <v>464</v>
      </c>
      <c r="C7" s="160">
        <f>1</f>
        <v>1</v>
      </c>
      <c r="D7" s="160">
        <f>1</f>
        <v>1</v>
      </c>
      <c r="E7" s="160">
        <f>1</f>
        <v>1</v>
      </c>
      <c r="F7" s="160">
        <f>1</f>
        <v>1</v>
      </c>
      <c r="G7" s="161">
        <f>1</f>
        <v>1</v>
      </c>
      <c r="H7" s="158"/>
      <c r="I7" s="162">
        <f t="shared" si="0"/>
        <v>5</v>
      </c>
      <c r="J7" s="155">
        <f t="shared" si="1"/>
        <v>9.8039215686274508E-2</v>
      </c>
    </row>
    <row r="8" spans="1:10">
      <c r="A8" s="145">
        <f t="shared" si="2"/>
        <v>5</v>
      </c>
      <c r="B8" s="146" t="s">
        <v>490</v>
      </c>
      <c r="C8" s="160">
        <f>1</f>
        <v>1</v>
      </c>
      <c r="D8" s="160">
        <f>1</f>
        <v>1</v>
      </c>
      <c r="E8" s="160">
        <f>1</f>
        <v>1</v>
      </c>
      <c r="F8" s="160">
        <f>1</f>
        <v>1</v>
      </c>
      <c r="G8" s="158"/>
      <c r="H8" s="158"/>
      <c r="I8" s="162">
        <f t="shared" si="0"/>
        <v>4</v>
      </c>
      <c r="J8" s="155">
        <f t="shared" si="1"/>
        <v>7.8431372549019607E-2</v>
      </c>
    </row>
    <row r="9" spans="1:10">
      <c r="A9" s="145">
        <f t="shared" si="2"/>
        <v>6</v>
      </c>
      <c r="B9" s="146" t="s">
        <v>489</v>
      </c>
      <c r="C9" s="160">
        <f>1</f>
        <v>1</v>
      </c>
      <c r="D9" s="160">
        <f>1</f>
        <v>1</v>
      </c>
      <c r="E9" s="160">
        <f>1</f>
        <v>1</v>
      </c>
      <c r="F9" s="160">
        <f>1</f>
        <v>1</v>
      </c>
      <c r="G9" s="158"/>
      <c r="H9" s="158"/>
      <c r="I9" s="162">
        <f t="shared" si="0"/>
        <v>4</v>
      </c>
      <c r="J9" s="155">
        <f t="shared" si="1"/>
        <v>7.8431372549019607E-2</v>
      </c>
    </row>
    <row r="10" spans="1:10">
      <c r="A10" s="145">
        <f t="shared" si="2"/>
        <v>7</v>
      </c>
      <c r="B10" s="146" t="s">
        <v>491</v>
      </c>
      <c r="C10" s="160">
        <f>1</f>
        <v>1</v>
      </c>
      <c r="D10" s="160">
        <f>1</f>
        <v>1</v>
      </c>
      <c r="E10" s="160">
        <f>1</f>
        <v>1</v>
      </c>
      <c r="F10" s="160">
        <f>1</f>
        <v>1</v>
      </c>
      <c r="G10" s="161">
        <f>1</f>
        <v>1</v>
      </c>
      <c r="H10" s="158"/>
      <c r="I10" s="162">
        <f t="shared" si="0"/>
        <v>5</v>
      </c>
      <c r="J10" s="155">
        <f t="shared" si="1"/>
        <v>9.8039215686274508E-2</v>
      </c>
    </row>
    <row r="11" spans="1:10" ht="36">
      <c r="A11" s="145">
        <f t="shared" si="2"/>
        <v>8</v>
      </c>
      <c r="B11" s="146" t="s">
        <v>492</v>
      </c>
      <c r="C11" s="160">
        <f>1</f>
        <v>1</v>
      </c>
      <c r="D11" s="160">
        <f>1</f>
        <v>1</v>
      </c>
      <c r="E11" s="160">
        <f>1</f>
        <v>1</v>
      </c>
      <c r="F11" s="160">
        <f>1</f>
        <v>1</v>
      </c>
      <c r="G11" s="161">
        <f>1</f>
        <v>1</v>
      </c>
      <c r="H11" s="158"/>
      <c r="I11" s="162">
        <f t="shared" si="0"/>
        <v>5</v>
      </c>
      <c r="J11" s="155">
        <f t="shared" si="1"/>
        <v>9.8039215686274508E-2</v>
      </c>
    </row>
    <row r="12" spans="1:10" ht="36">
      <c r="A12" s="145">
        <f t="shared" si="2"/>
        <v>9</v>
      </c>
      <c r="B12" s="146" t="s">
        <v>493</v>
      </c>
      <c r="C12" s="160">
        <f>1</f>
        <v>1</v>
      </c>
      <c r="D12" s="160">
        <f>1</f>
        <v>1</v>
      </c>
      <c r="E12" s="160">
        <f>1</f>
        <v>1</v>
      </c>
      <c r="F12" s="160">
        <f>1</f>
        <v>1</v>
      </c>
      <c r="G12" s="161">
        <f>1</f>
        <v>1</v>
      </c>
      <c r="H12" s="158"/>
      <c r="I12" s="162">
        <f t="shared" si="0"/>
        <v>5</v>
      </c>
      <c r="J12" s="155">
        <f t="shared" si="1"/>
        <v>9.8039215686274508E-2</v>
      </c>
    </row>
    <row r="13" spans="1:10" ht="36">
      <c r="A13" s="145">
        <f t="shared" si="2"/>
        <v>10</v>
      </c>
      <c r="B13" s="146" t="s">
        <v>384</v>
      </c>
      <c r="C13" s="160">
        <f>1</f>
        <v>1</v>
      </c>
      <c r="D13" s="160">
        <f>1</f>
        <v>1</v>
      </c>
      <c r="E13" s="160">
        <f>1</f>
        <v>1</v>
      </c>
      <c r="F13" s="160">
        <f>1</f>
        <v>1</v>
      </c>
      <c r="G13" s="161">
        <f>1</f>
        <v>1</v>
      </c>
      <c r="H13" s="158"/>
      <c r="I13" s="162">
        <f t="shared" si="0"/>
        <v>5</v>
      </c>
      <c r="J13" s="155">
        <f t="shared" si="1"/>
        <v>9.8039215686274508E-2</v>
      </c>
    </row>
    <row r="14" spans="1:10">
      <c r="A14" s="145">
        <f t="shared" si="2"/>
        <v>11</v>
      </c>
      <c r="B14" s="146" t="s">
        <v>475</v>
      </c>
      <c r="C14" s="160">
        <f>1</f>
        <v>1</v>
      </c>
      <c r="D14" s="160">
        <f>1</f>
        <v>1</v>
      </c>
      <c r="E14" s="160">
        <f>1</f>
        <v>1</v>
      </c>
      <c r="F14" s="160">
        <f>1</f>
        <v>1</v>
      </c>
      <c r="G14" s="161">
        <f>1</f>
        <v>1</v>
      </c>
      <c r="H14" s="158"/>
      <c r="I14" s="162">
        <f t="shared" si="0"/>
        <v>5</v>
      </c>
      <c r="J14" s="155">
        <f t="shared" si="1"/>
        <v>9.8039215686274508E-2</v>
      </c>
    </row>
    <row r="15" spans="1:10" ht="36">
      <c r="A15" s="145">
        <f t="shared" si="2"/>
        <v>12</v>
      </c>
      <c r="B15" s="146" t="s">
        <v>476</v>
      </c>
      <c r="C15" s="160">
        <f>1</f>
        <v>1</v>
      </c>
      <c r="D15" s="160">
        <f>1</f>
        <v>1</v>
      </c>
      <c r="E15" s="158"/>
      <c r="F15" s="158"/>
      <c r="G15" s="161">
        <f>1</f>
        <v>1</v>
      </c>
      <c r="H15" s="158"/>
      <c r="I15" s="162">
        <f t="shared" si="0"/>
        <v>3</v>
      </c>
      <c r="J15" s="155">
        <f t="shared" si="1"/>
        <v>5.8823529411764705E-2</v>
      </c>
    </row>
    <row r="16" spans="1:10">
      <c r="A16" s="145">
        <f t="shared" si="2"/>
        <v>13</v>
      </c>
      <c r="B16" s="146" t="s">
        <v>495</v>
      </c>
      <c r="C16" s="160">
        <f>1</f>
        <v>1</v>
      </c>
      <c r="D16" s="160">
        <f>1</f>
        <v>1</v>
      </c>
      <c r="E16" s="158"/>
      <c r="F16" s="158"/>
      <c r="G16" s="161">
        <f>1</f>
        <v>1</v>
      </c>
      <c r="H16" s="158"/>
      <c r="I16" s="162">
        <f t="shared" si="0"/>
        <v>3</v>
      </c>
      <c r="J16" s="155">
        <f t="shared" si="1"/>
        <v>5.8823529411764705E-2</v>
      </c>
    </row>
    <row r="17" spans="2:10" s="151" customFormat="1" ht="18.75" thickBot="1">
      <c r="B17" s="152" t="s">
        <v>482</v>
      </c>
      <c r="C17" s="153">
        <f>SUM(C6:C16)</f>
        <v>11</v>
      </c>
      <c r="D17" s="153">
        <f>SUM(D6:D16)</f>
        <v>11</v>
      </c>
      <c r="E17" s="153">
        <f>SUM(E6:E14)</f>
        <v>9</v>
      </c>
      <c r="F17" s="153">
        <f>SUM(F6:F14)</f>
        <v>9</v>
      </c>
      <c r="G17" s="153">
        <f>SUM(G6:G16)</f>
        <v>9</v>
      </c>
      <c r="H17" s="154">
        <f>SUM(H4:H16)</f>
        <v>2</v>
      </c>
      <c r="I17" s="154">
        <f>SUM(I4:I16)</f>
        <v>51</v>
      </c>
      <c r="J17" s="163">
        <f>SUM(J4:J16)</f>
        <v>1</v>
      </c>
    </row>
    <row r="18" spans="2:10" ht="18.75" thickTop="1">
      <c r="B18" s="151"/>
      <c r="D18" s="151"/>
      <c r="E18" s="151"/>
      <c r="F18" s="151"/>
      <c r="G18" s="151"/>
      <c r="H18" s="151"/>
    </row>
    <row r="19" spans="2:10">
      <c r="C19" s="155"/>
    </row>
    <row r="20" spans="2:10">
      <c r="B20" s="140" t="s">
        <v>483</v>
      </c>
      <c r="C20" s="140">
        <f>SUM(C17:F17)</f>
        <v>40</v>
      </c>
    </row>
    <row r="21" spans="2:10">
      <c r="B21" s="140" t="s">
        <v>484</v>
      </c>
      <c r="C21" s="140">
        <f>SUM(G17:H17)</f>
        <v>11</v>
      </c>
    </row>
    <row r="22" spans="2:10" ht="18.75" thickBot="1">
      <c r="B22" s="140" t="s">
        <v>385</v>
      </c>
      <c r="C22" s="156">
        <f>SUM(C20:C21)</f>
        <v>51</v>
      </c>
    </row>
    <row r="23" spans="2:10" ht="18.75" thickTop="1"/>
    <row r="24" spans="2:10">
      <c r="B24" s="140" t="s">
        <v>485</v>
      </c>
      <c r="C24" s="155">
        <f>C20/C22</f>
        <v>0.78431372549019607</v>
      </c>
    </row>
    <row r="25" spans="2:10">
      <c r="B25" s="140" t="s">
        <v>486</v>
      </c>
      <c r="C25" s="155">
        <f>C21/C22</f>
        <v>0.21568627450980393</v>
      </c>
    </row>
    <row r="26" spans="2:10" ht="18.75" thickBot="1">
      <c r="B26" s="140" t="s">
        <v>385</v>
      </c>
      <c r="C26" s="157">
        <f>SUM(C24:C25)</f>
        <v>1</v>
      </c>
    </row>
    <row r="27" spans="2:10" ht="18.75" thickTop="1"/>
    <row r="29" spans="2:10">
      <c r="C29" s="616" t="s">
        <v>478</v>
      </c>
      <c r="D29" s="616"/>
      <c r="E29" s="616"/>
    </row>
    <row r="30" spans="2:10">
      <c r="C30" s="147" t="s">
        <v>481</v>
      </c>
      <c r="D30" s="147" t="s">
        <v>480</v>
      </c>
      <c r="E30" s="147" t="s">
        <v>479</v>
      </c>
    </row>
    <row r="31" spans="2:10" ht="19.5">
      <c r="C31" s="148"/>
      <c r="D31" s="149"/>
      <c r="E31" s="150"/>
    </row>
  </sheetData>
  <mergeCells count="2">
    <mergeCell ref="C2:F2"/>
    <mergeCell ref="C29:E29"/>
  </mergeCells>
  <pageMargins left="0.7" right="0.7" top="0.75" bottom="0.75" header="0.3" footer="0.3"/>
  <pageSetup scale="2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8"/>
  </sheetPr>
  <dimension ref="C1:K13"/>
  <sheetViews>
    <sheetView topLeftCell="B1" zoomScale="80" zoomScaleNormal="80" workbookViewId="0">
      <selection activeCell="M3" sqref="M3"/>
    </sheetView>
  </sheetViews>
  <sheetFormatPr defaultRowHeight="14.25"/>
  <cols>
    <col min="1" max="2" width="9.140625" style="27"/>
    <col min="3" max="3" width="22.5703125" style="27" customWidth="1"/>
    <col min="4" max="4" width="22.7109375" style="27" customWidth="1"/>
    <col min="5" max="5" width="25" style="27" customWidth="1"/>
    <col min="6" max="6" width="24.7109375" style="27" customWidth="1"/>
    <col min="7" max="7" width="25.5703125" style="27" customWidth="1"/>
    <col min="8" max="8" width="17.7109375" style="27" customWidth="1"/>
    <col min="9" max="9" width="14.28515625" style="27" customWidth="1"/>
    <col min="10" max="10" width="25.85546875" style="27" customWidth="1"/>
    <col min="11" max="11" width="19.85546875" style="27" customWidth="1"/>
    <col min="12" max="12" width="11.28515625" style="27" customWidth="1"/>
    <col min="13" max="16384" width="9.140625" style="27"/>
  </cols>
  <sheetData>
    <row r="1" spans="3:11" ht="15" thickBot="1"/>
    <row r="2" spans="3:11" ht="69.75">
      <c r="C2" s="42" t="s">
        <v>19</v>
      </c>
      <c r="D2" s="42" t="s">
        <v>0</v>
      </c>
      <c r="E2" s="43" t="s">
        <v>4</v>
      </c>
      <c r="F2" s="42" t="s">
        <v>6</v>
      </c>
      <c r="G2" s="42" t="s">
        <v>7</v>
      </c>
      <c r="H2" s="42" t="s">
        <v>8</v>
      </c>
      <c r="I2" s="42" t="s">
        <v>11</v>
      </c>
      <c r="J2" s="43" t="s">
        <v>9</v>
      </c>
      <c r="K2" s="43" t="s">
        <v>10</v>
      </c>
    </row>
    <row r="3" spans="3:11" ht="63.75">
      <c r="C3" s="44" t="s">
        <v>20</v>
      </c>
      <c r="D3" s="44" t="s">
        <v>1</v>
      </c>
      <c r="E3" s="45" t="s">
        <v>5</v>
      </c>
      <c r="F3" s="44" t="s">
        <v>14</v>
      </c>
      <c r="G3" s="44" t="s">
        <v>15</v>
      </c>
      <c r="H3" s="45" t="s">
        <v>17</v>
      </c>
      <c r="I3" s="44"/>
      <c r="J3" s="44" t="s">
        <v>18</v>
      </c>
      <c r="K3" s="44"/>
    </row>
    <row r="4" spans="3:11" ht="51">
      <c r="C4" s="46"/>
      <c r="D4" s="45" t="s">
        <v>2</v>
      </c>
      <c r="E4" s="44" t="s">
        <v>13</v>
      </c>
      <c r="F4" s="45" t="s">
        <v>23</v>
      </c>
      <c r="G4" s="44" t="s">
        <v>22</v>
      </c>
      <c r="H4" s="44"/>
      <c r="I4" s="44"/>
      <c r="J4" s="44" t="s">
        <v>34</v>
      </c>
      <c r="K4" s="44"/>
    </row>
    <row r="5" spans="3:11" ht="51">
      <c r="C5" s="46"/>
      <c r="D5" s="44" t="s">
        <v>3</v>
      </c>
      <c r="E5" s="45" t="s">
        <v>16</v>
      </c>
      <c r="F5" s="45" t="s">
        <v>16</v>
      </c>
      <c r="G5" s="45" t="s">
        <v>16</v>
      </c>
      <c r="H5" s="44"/>
      <c r="I5" s="44"/>
      <c r="J5" s="44"/>
      <c r="K5" s="44"/>
    </row>
    <row r="6" spans="3:11" ht="51">
      <c r="C6" s="46"/>
      <c r="D6" s="44" t="s">
        <v>12</v>
      </c>
      <c r="E6" s="45"/>
      <c r="F6" s="45" t="s">
        <v>24</v>
      </c>
      <c r="G6" s="45" t="s">
        <v>21</v>
      </c>
      <c r="H6" s="44"/>
      <c r="I6" s="44"/>
      <c r="J6" s="44"/>
      <c r="K6" s="44"/>
    </row>
    <row r="7" spans="3:11" ht="38.25">
      <c r="C7" s="47"/>
      <c r="D7" s="47"/>
      <c r="E7" s="47"/>
      <c r="F7" s="45" t="s">
        <v>25</v>
      </c>
      <c r="G7" s="45" t="s">
        <v>28</v>
      </c>
      <c r="H7" s="47"/>
      <c r="I7" s="47"/>
      <c r="J7" s="47"/>
      <c r="K7" s="47"/>
    </row>
    <row r="8" spans="3:11" ht="33.75" customHeight="1">
      <c r="C8" s="47"/>
      <c r="D8" s="47"/>
      <c r="E8" s="47"/>
      <c r="F8" s="45" t="s">
        <v>26</v>
      </c>
      <c r="G8" s="45" t="s">
        <v>29</v>
      </c>
      <c r="H8" s="47"/>
      <c r="I8" s="47"/>
      <c r="J8" s="47"/>
      <c r="K8" s="47"/>
    </row>
    <row r="9" spans="3:11" ht="51">
      <c r="C9" s="47"/>
      <c r="D9" s="47"/>
      <c r="E9" s="47"/>
      <c r="F9" s="45" t="s">
        <v>27</v>
      </c>
      <c r="G9" s="45" t="s">
        <v>30</v>
      </c>
      <c r="H9" s="47"/>
      <c r="I9" s="47"/>
      <c r="J9" s="47"/>
      <c r="K9" s="47"/>
    </row>
    <row r="10" spans="3:11" ht="38.25">
      <c r="C10" s="47"/>
      <c r="D10" s="47"/>
      <c r="E10" s="47"/>
      <c r="F10" s="45" t="s">
        <v>33</v>
      </c>
      <c r="G10" s="45" t="s">
        <v>31</v>
      </c>
      <c r="H10" s="47"/>
      <c r="I10" s="47"/>
      <c r="J10" s="47"/>
      <c r="K10" s="47"/>
    </row>
    <row r="11" spans="3:11" ht="33.75" customHeight="1">
      <c r="C11" s="47"/>
      <c r="D11" s="47"/>
      <c r="E11" s="47"/>
      <c r="F11" s="48" t="s">
        <v>35</v>
      </c>
      <c r="G11" s="45" t="s">
        <v>32</v>
      </c>
      <c r="H11" s="47"/>
      <c r="I11" s="47"/>
      <c r="J11" s="47"/>
      <c r="K11" s="47"/>
    </row>
    <row r="12" spans="3:11" ht="38.25">
      <c r="C12" s="47"/>
      <c r="D12" s="47"/>
      <c r="E12" s="47"/>
      <c r="F12" s="45" t="s">
        <v>25</v>
      </c>
      <c r="G12" s="45" t="s">
        <v>21</v>
      </c>
      <c r="H12" s="47"/>
      <c r="I12" s="47"/>
      <c r="J12" s="47"/>
      <c r="K12" s="47"/>
    </row>
    <row r="13" spans="3:11" ht="32.25" customHeight="1">
      <c r="C13" s="49"/>
      <c r="D13" s="49"/>
      <c r="E13" s="49"/>
      <c r="F13" s="49"/>
      <c r="G13" s="49"/>
      <c r="H13" s="49"/>
      <c r="I13" s="49"/>
      <c r="J13" s="49"/>
      <c r="K13" s="4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5"/>
  </sheetPr>
  <dimension ref="B2:K83"/>
  <sheetViews>
    <sheetView topLeftCell="A58" workbookViewId="0">
      <selection activeCell="G75" sqref="G75"/>
    </sheetView>
  </sheetViews>
  <sheetFormatPr defaultRowHeight="14.25"/>
  <cols>
    <col min="1" max="1" width="9.140625" style="1"/>
    <col min="2" max="2" width="19.42578125" style="1" customWidth="1"/>
    <col min="3" max="3" width="21.28515625" style="1" customWidth="1"/>
    <col min="4" max="4" width="25.42578125" style="1" customWidth="1"/>
    <col min="5" max="5" width="16.5703125" style="1" customWidth="1"/>
    <col min="6" max="6" width="17.140625" style="1" customWidth="1"/>
    <col min="7" max="7" width="13.42578125" style="1" customWidth="1"/>
    <col min="8" max="16384" width="9.140625" style="1"/>
  </cols>
  <sheetData>
    <row r="2" spans="2:11" ht="18">
      <c r="E2" s="22" t="s">
        <v>67</v>
      </c>
    </row>
    <row r="3" spans="2:11" ht="18">
      <c r="E3" s="22" t="s">
        <v>68</v>
      </c>
    </row>
    <row r="5" spans="2:11" ht="15" thickBot="1"/>
    <row r="6" spans="2:11" ht="18">
      <c r="B6" s="7" t="s">
        <v>49</v>
      </c>
      <c r="C6" s="8"/>
      <c r="D6" s="8"/>
      <c r="E6" s="8"/>
      <c r="F6" s="8"/>
      <c r="G6" s="8"/>
      <c r="H6" s="8"/>
      <c r="I6" s="8"/>
      <c r="J6" s="9"/>
    </row>
    <row r="7" spans="2:11" ht="15">
      <c r="B7" s="10"/>
      <c r="C7" s="11"/>
      <c r="D7" s="11"/>
      <c r="E7" s="11"/>
      <c r="F7" s="11"/>
      <c r="G7" s="11"/>
      <c r="H7" s="11"/>
      <c r="I7" s="11"/>
      <c r="J7" s="12"/>
    </row>
    <row r="8" spans="2:11" ht="29.25" customHeight="1">
      <c r="B8" s="13" t="s">
        <v>50</v>
      </c>
      <c r="C8" s="11"/>
      <c r="D8" s="11"/>
      <c r="E8" s="11"/>
      <c r="F8" s="11"/>
      <c r="G8" s="11"/>
      <c r="H8" s="11"/>
      <c r="I8" s="11"/>
      <c r="J8" s="12"/>
    </row>
    <row r="9" spans="2:11" ht="25.5" customHeight="1">
      <c r="B9" s="13" t="s">
        <v>51</v>
      </c>
      <c r="C9" s="11"/>
      <c r="D9" s="11"/>
      <c r="E9" s="11"/>
      <c r="F9" s="11"/>
      <c r="G9" s="11"/>
      <c r="H9" s="11"/>
      <c r="I9" s="11"/>
      <c r="J9" s="12"/>
    </row>
    <row r="10" spans="2:11" ht="15">
      <c r="B10" s="10"/>
      <c r="C10" s="11"/>
      <c r="D10" s="11"/>
      <c r="E10" s="11"/>
      <c r="F10" s="11"/>
      <c r="G10" s="11"/>
      <c r="H10" s="11"/>
      <c r="I10" s="11"/>
      <c r="J10" s="12"/>
    </row>
    <row r="11" spans="2:11" ht="20.25" customHeight="1">
      <c r="B11" s="13" t="s">
        <v>52</v>
      </c>
      <c r="C11" s="11"/>
      <c r="D11" s="11"/>
      <c r="E11" s="11"/>
      <c r="F11" s="11"/>
      <c r="G11" s="11"/>
      <c r="H11" s="11"/>
      <c r="I11" s="11"/>
      <c r="J11" s="12"/>
    </row>
    <row r="12" spans="2:11" ht="41.25" customHeight="1">
      <c r="B12" s="14" t="s">
        <v>53</v>
      </c>
      <c r="C12" s="11"/>
      <c r="D12" s="11"/>
      <c r="E12" s="11"/>
      <c r="F12" s="11"/>
      <c r="G12" s="11"/>
      <c r="H12" s="11"/>
      <c r="I12" s="11"/>
      <c r="J12" s="12"/>
    </row>
    <row r="13" spans="2:11" ht="18">
      <c r="B13" s="14" t="s">
        <v>54</v>
      </c>
      <c r="C13" s="11"/>
      <c r="D13" s="11"/>
      <c r="E13" s="11"/>
      <c r="F13" s="11"/>
      <c r="G13" s="11"/>
      <c r="H13" s="11"/>
      <c r="I13" s="11"/>
      <c r="J13" s="12"/>
    </row>
    <row r="14" spans="2:11" ht="18.75" thickBot="1">
      <c r="B14" s="15" t="s">
        <v>55</v>
      </c>
      <c r="C14" s="16"/>
      <c r="D14" s="16"/>
      <c r="E14" s="16"/>
      <c r="F14" s="16"/>
      <c r="G14" s="16"/>
      <c r="H14" s="16"/>
      <c r="I14" s="16"/>
      <c r="J14" s="17"/>
    </row>
    <row r="15" spans="2:11" ht="18.75" thickBot="1">
      <c r="B15" s="18"/>
      <c r="C15" s="11"/>
      <c r="D15" s="11"/>
      <c r="E15" s="11"/>
      <c r="F15" s="11"/>
      <c r="G15" s="11"/>
      <c r="H15" s="11"/>
      <c r="I15" s="11"/>
      <c r="J15" s="11"/>
    </row>
    <row r="16" spans="2:11" ht="18">
      <c r="B16" s="7" t="s">
        <v>56</v>
      </c>
      <c r="C16" s="8"/>
      <c r="D16" s="8"/>
      <c r="E16" s="8"/>
      <c r="F16" s="8"/>
      <c r="G16" s="8"/>
      <c r="H16" s="8"/>
      <c r="I16" s="8"/>
      <c r="J16" s="8"/>
      <c r="K16" s="9"/>
    </row>
    <row r="17" spans="2:11" ht="18">
      <c r="B17" s="13" t="s">
        <v>57</v>
      </c>
      <c r="C17" s="11"/>
      <c r="D17" s="11"/>
      <c r="E17" s="11"/>
      <c r="F17" s="11"/>
      <c r="G17" s="11"/>
      <c r="H17" s="11"/>
      <c r="I17" s="11"/>
      <c r="J17" s="11"/>
      <c r="K17" s="12"/>
    </row>
    <row r="18" spans="2:11" ht="17.25" customHeight="1">
      <c r="B18" s="14"/>
      <c r="C18" s="11"/>
      <c r="D18" s="11"/>
      <c r="E18" s="11"/>
      <c r="F18" s="11"/>
      <c r="G18" s="11"/>
      <c r="H18" s="11"/>
      <c r="I18" s="11"/>
      <c r="J18" s="11"/>
      <c r="K18" s="12"/>
    </row>
    <row r="19" spans="2:11" ht="18.75" thickBot="1">
      <c r="B19" s="15"/>
      <c r="C19" s="16"/>
      <c r="D19" s="16"/>
      <c r="E19" s="16"/>
      <c r="F19" s="16"/>
      <c r="G19" s="16"/>
      <c r="H19" s="16"/>
      <c r="I19" s="16"/>
      <c r="J19" s="16"/>
      <c r="K19" s="17"/>
    </row>
    <row r="20" spans="2:11" ht="18">
      <c r="B20" s="18"/>
      <c r="C20" s="11"/>
      <c r="D20" s="11"/>
      <c r="E20" s="11"/>
      <c r="F20" s="11"/>
      <c r="G20" s="11"/>
      <c r="H20" s="11"/>
      <c r="I20" s="11"/>
      <c r="J20" s="11"/>
    </row>
    <row r="21" spans="2:11" ht="18">
      <c r="B21" s="6"/>
    </row>
    <row r="22" spans="2:11" ht="15">
      <c r="B22" s="4" t="s">
        <v>36</v>
      </c>
      <c r="C22" s="4" t="s">
        <v>37</v>
      </c>
      <c r="D22" s="4" t="s">
        <v>38</v>
      </c>
    </row>
    <row r="23" spans="2:11">
      <c r="B23" s="3">
        <v>1</v>
      </c>
      <c r="C23" s="3" t="s">
        <v>39</v>
      </c>
      <c r="D23" s="3">
        <v>105</v>
      </c>
    </row>
    <row r="24" spans="2:11">
      <c r="B24" s="3">
        <v>0.4</v>
      </c>
      <c r="C24" s="3" t="s">
        <v>39</v>
      </c>
      <c r="D24" s="3">
        <v>168</v>
      </c>
      <c r="E24" s="1" t="s">
        <v>40</v>
      </c>
    </row>
    <row r="25" spans="2:11">
      <c r="B25" s="3">
        <v>1</v>
      </c>
      <c r="C25" s="3" t="s">
        <v>39</v>
      </c>
      <c r="D25" s="3">
        <v>220</v>
      </c>
    </row>
    <row r="26" spans="2:11">
      <c r="B26" s="3">
        <v>1</v>
      </c>
      <c r="C26" s="3" t="s">
        <v>39</v>
      </c>
      <c r="D26" s="3">
        <v>290</v>
      </c>
    </row>
    <row r="27" spans="2:11">
      <c r="B27" s="3">
        <v>1</v>
      </c>
      <c r="C27" s="3" t="s">
        <v>39</v>
      </c>
      <c r="D27" s="3">
        <v>410</v>
      </c>
    </row>
    <row r="29" spans="2:11" ht="30">
      <c r="B29" s="4" t="s">
        <v>36</v>
      </c>
      <c r="C29" s="4" t="s">
        <v>37</v>
      </c>
      <c r="D29" s="4" t="s">
        <v>38</v>
      </c>
      <c r="E29" s="4" t="s">
        <v>44</v>
      </c>
      <c r="F29" s="4" t="s">
        <v>42</v>
      </c>
      <c r="G29" s="4" t="s">
        <v>43</v>
      </c>
    </row>
    <row r="30" spans="2:11">
      <c r="B30" s="3">
        <v>1</v>
      </c>
      <c r="C30" s="3" t="s">
        <v>39</v>
      </c>
      <c r="D30" s="3">
        <v>105</v>
      </c>
      <c r="E30" s="3">
        <f>1</f>
        <v>1</v>
      </c>
      <c r="F30" s="3">
        <f>1</f>
        <v>1</v>
      </c>
      <c r="G30" s="5">
        <f>(1-0.3)/(5+0.4)</f>
        <v>0.12962962962962962</v>
      </c>
    </row>
    <row r="31" spans="2:11">
      <c r="B31" s="3">
        <v>0.4</v>
      </c>
      <c r="C31" s="3" t="s">
        <v>39</v>
      </c>
      <c r="D31" s="3">
        <v>168</v>
      </c>
      <c r="E31" s="3">
        <f>1</f>
        <v>1</v>
      </c>
      <c r="F31" s="3">
        <f>F30+1*B31</f>
        <v>1.4</v>
      </c>
      <c r="G31" s="5">
        <f>(F31-0.3)/(5+0.4)</f>
        <v>0.20370370370370366</v>
      </c>
    </row>
    <row r="32" spans="2:11">
      <c r="B32" s="3">
        <v>0.6</v>
      </c>
      <c r="C32" s="3" t="s">
        <v>41</v>
      </c>
      <c r="D32" s="3">
        <v>168</v>
      </c>
      <c r="E32" s="3">
        <f>(5+1-F31)/(1+3)</f>
        <v>1.1499999999999999</v>
      </c>
      <c r="G32" s="3"/>
      <c r="H32" s="1" t="str">
        <f ca="1">_xlfn.FORMULATEXT(E32)</f>
        <v>=(5+1-F31)/(1+3)</v>
      </c>
    </row>
    <row r="33" spans="2:7">
      <c r="B33" s="3">
        <v>1</v>
      </c>
      <c r="C33" s="3" t="s">
        <v>39</v>
      </c>
      <c r="D33" s="3">
        <v>220</v>
      </c>
      <c r="E33" s="3">
        <v>1.1499999999999999</v>
      </c>
      <c r="F33" s="3">
        <f>F31+E33</f>
        <v>2.5499999999999998</v>
      </c>
      <c r="G33" s="5">
        <f>(F33-0.3)/(5+0.4)</f>
        <v>0.41666666666666663</v>
      </c>
    </row>
    <row r="34" spans="2:7">
      <c r="B34" s="3">
        <v>1</v>
      </c>
      <c r="C34" s="3" t="s">
        <v>39</v>
      </c>
      <c r="D34" s="3">
        <v>290</v>
      </c>
      <c r="E34" s="3">
        <v>1.1499999999999999</v>
      </c>
      <c r="F34" s="3">
        <f>F33+E34</f>
        <v>3.6999999999999997</v>
      </c>
      <c r="G34" s="5">
        <f>(F34-0.3)/(5+0.4)</f>
        <v>0.62962962962962954</v>
      </c>
    </row>
    <row r="35" spans="2:7">
      <c r="B35" s="3">
        <v>1</v>
      </c>
      <c r="C35" s="3" t="s">
        <v>39</v>
      </c>
      <c r="D35" s="3">
        <v>410</v>
      </c>
      <c r="E35" s="3">
        <v>1.1499999999999999</v>
      </c>
      <c r="F35" s="3">
        <f>F34+E35</f>
        <v>4.8499999999999996</v>
      </c>
      <c r="G35" s="5">
        <f>(F35-0.3)/(5+0.4)</f>
        <v>0.84259259259259256</v>
      </c>
    </row>
    <row r="37" spans="2:7" ht="15">
      <c r="B37" s="4" t="s">
        <v>45</v>
      </c>
      <c r="C37" s="4" t="s">
        <v>46</v>
      </c>
      <c r="D37" s="4" t="s">
        <v>47</v>
      </c>
      <c r="E37" s="4" t="s">
        <v>48</v>
      </c>
      <c r="F37" s="4" t="s">
        <v>43</v>
      </c>
    </row>
    <row r="38" spans="2:7">
      <c r="B38" s="19" t="s">
        <v>39</v>
      </c>
      <c r="C38" s="19" t="s">
        <v>58</v>
      </c>
      <c r="D38" s="19">
        <f>1</f>
        <v>1</v>
      </c>
      <c r="E38" s="19">
        <f>1</f>
        <v>1</v>
      </c>
      <c r="F38" s="20">
        <f>(1-0.3)/(4+0.4)</f>
        <v>0.15909090909090906</v>
      </c>
    </row>
    <row r="39" spans="2:7">
      <c r="B39" s="19" t="s">
        <v>41</v>
      </c>
      <c r="C39" s="19" t="s">
        <v>59</v>
      </c>
      <c r="D39" s="19"/>
      <c r="E39" s="21">
        <f>(4+1-1)/(1+2)</f>
        <v>1.3333333333333333</v>
      </c>
      <c r="F39" s="19"/>
    </row>
    <row r="40" spans="2:7">
      <c r="B40" s="19" t="s">
        <v>39</v>
      </c>
      <c r="C40" s="19" t="s">
        <v>60</v>
      </c>
      <c r="D40" s="19"/>
      <c r="E40" s="21">
        <f>(4+1-1)/(1+2)</f>
        <v>1.3333333333333333</v>
      </c>
      <c r="F40" s="20">
        <f>(E40-0.3)/(4+0.4)</f>
        <v>0.23484848484848481</v>
      </c>
      <c r="G40" s="1" t="str">
        <f ca="1">_xlfn.FORMULATEXT(F40)</f>
        <v>=(E40-0.3)/(4+0.4)</v>
      </c>
    </row>
    <row r="41" spans="2:7">
      <c r="B41" s="19" t="s">
        <v>39</v>
      </c>
      <c r="C41" s="19" t="s">
        <v>61</v>
      </c>
      <c r="D41" s="19"/>
      <c r="E41" s="21">
        <f>(4+1-1)/(1+2)</f>
        <v>1.3333333333333333</v>
      </c>
      <c r="F41" s="20">
        <f>(E41-0.3)/(4+0.4)</f>
        <v>0.23484848484848481</v>
      </c>
    </row>
    <row r="42" spans="2:7">
      <c r="B42" s="2"/>
    </row>
    <row r="43" spans="2:7" ht="15">
      <c r="B43" s="4" t="s">
        <v>36</v>
      </c>
      <c r="C43" s="4" t="s">
        <v>46</v>
      </c>
    </row>
    <row r="44" spans="2:7">
      <c r="B44" s="19">
        <v>1</v>
      </c>
      <c r="C44" s="19">
        <v>59</v>
      </c>
    </row>
    <row r="45" spans="2:7">
      <c r="B45" s="19">
        <v>0.4</v>
      </c>
      <c r="C45" s="19">
        <v>71</v>
      </c>
    </row>
    <row r="46" spans="2:7">
      <c r="B46" s="19">
        <v>1</v>
      </c>
      <c r="C46" s="19">
        <v>95</v>
      </c>
    </row>
    <row r="47" spans="2:7">
      <c r="B47" s="19">
        <v>1</v>
      </c>
      <c r="C47" s="19">
        <v>108</v>
      </c>
    </row>
    <row r="48" spans="2:7">
      <c r="B48" s="19">
        <v>1</v>
      </c>
      <c r="C48" s="19">
        <v>137</v>
      </c>
    </row>
    <row r="49" spans="2:7">
      <c r="B49" s="19">
        <v>0.7</v>
      </c>
      <c r="C49" s="19">
        <v>154</v>
      </c>
    </row>
    <row r="50" spans="2:7">
      <c r="B50" s="19">
        <v>1</v>
      </c>
      <c r="C50" s="19">
        <v>177</v>
      </c>
    </row>
    <row r="51" spans="2:7">
      <c r="B51" s="19">
        <v>1</v>
      </c>
      <c r="C51" s="19">
        <v>199</v>
      </c>
    </row>
    <row r="52" spans="2:7">
      <c r="B52" s="19">
        <v>1</v>
      </c>
      <c r="C52" s="19">
        <v>219</v>
      </c>
    </row>
    <row r="54" spans="2:7" ht="23.25" customHeight="1">
      <c r="B54" s="619" t="s">
        <v>36</v>
      </c>
      <c r="C54" s="619"/>
      <c r="D54" s="617" t="s">
        <v>64</v>
      </c>
      <c r="E54" s="617" t="s">
        <v>47</v>
      </c>
      <c r="F54" s="617" t="s">
        <v>48</v>
      </c>
      <c r="G54" s="617" t="s">
        <v>43</v>
      </c>
    </row>
    <row r="55" spans="2:7" ht="21.75" customHeight="1">
      <c r="B55" s="4" t="s">
        <v>62</v>
      </c>
      <c r="C55" s="4" t="s">
        <v>63</v>
      </c>
      <c r="D55" s="617"/>
      <c r="E55" s="617"/>
      <c r="F55" s="617"/>
      <c r="G55" s="617"/>
    </row>
    <row r="56" spans="2:7">
      <c r="B56" s="19">
        <v>1</v>
      </c>
      <c r="C56" s="19" t="s">
        <v>39</v>
      </c>
      <c r="D56" s="19">
        <f>C44</f>
        <v>59</v>
      </c>
      <c r="E56" s="19">
        <f>1</f>
        <v>1</v>
      </c>
      <c r="F56" s="19">
        <f>1</f>
        <v>1</v>
      </c>
      <c r="G56" s="20">
        <f>(1-0.3)/(9+0.4)</f>
        <v>7.4468085106382975E-2</v>
      </c>
    </row>
    <row r="57" spans="2:7">
      <c r="B57" s="19">
        <f>B45</f>
        <v>0.4</v>
      </c>
      <c r="C57" s="19" t="s">
        <v>39</v>
      </c>
      <c r="D57" s="19">
        <f>C45</f>
        <v>71</v>
      </c>
      <c r="E57" s="19">
        <f>1</f>
        <v>1</v>
      </c>
      <c r="F57" s="19">
        <f>F56+E57*B57</f>
        <v>1.4</v>
      </c>
      <c r="G57" s="20">
        <f>(F57-0.3)/(9+0.4)</f>
        <v>0.11702127659574466</v>
      </c>
    </row>
    <row r="58" spans="2:7">
      <c r="B58" s="19">
        <f>1-B57</f>
        <v>0.6</v>
      </c>
      <c r="C58" s="19" t="s">
        <v>41</v>
      </c>
      <c r="D58" s="19">
        <f>C45</f>
        <v>71</v>
      </c>
      <c r="E58" s="19">
        <f>(9+1-F57)/(1+7)</f>
        <v>1.075</v>
      </c>
      <c r="F58" s="19"/>
      <c r="G58" s="19"/>
    </row>
    <row r="59" spans="2:7">
      <c r="B59" s="19">
        <f>B46</f>
        <v>1</v>
      </c>
      <c r="C59" s="19" t="s">
        <v>39</v>
      </c>
      <c r="D59" s="19">
        <f>C46</f>
        <v>95</v>
      </c>
      <c r="E59" s="19">
        <v>1.075</v>
      </c>
      <c r="F59" s="19">
        <f>E58+F57</f>
        <v>2.4749999999999996</v>
      </c>
      <c r="G59" s="20">
        <f>(F59-0.3)/(9+0.4)</f>
        <v>0.23138297872340421</v>
      </c>
    </row>
    <row r="60" spans="2:7">
      <c r="B60" s="19">
        <f>1</f>
        <v>1</v>
      </c>
      <c r="C60" s="19" t="s">
        <v>39</v>
      </c>
      <c r="D60" s="19">
        <f>C47</f>
        <v>108</v>
      </c>
      <c r="E60" s="19">
        <v>1.075</v>
      </c>
      <c r="F60" s="19">
        <f>F59+E60</f>
        <v>3.55</v>
      </c>
      <c r="G60" s="20">
        <f>(F60-0.3)/(9+0.4)</f>
        <v>0.3457446808510638</v>
      </c>
    </row>
    <row r="61" spans="2:7">
      <c r="B61" s="19">
        <f>B48</f>
        <v>1</v>
      </c>
      <c r="C61" s="19" t="s">
        <v>39</v>
      </c>
      <c r="D61" s="19">
        <f>C48</f>
        <v>137</v>
      </c>
      <c r="E61" s="19">
        <v>1.075</v>
      </c>
      <c r="F61" s="19">
        <f>F60+E61</f>
        <v>4.625</v>
      </c>
      <c r="G61" s="20">
        <f>(F61-0.3)/(9+0.4)</f>
        <v>0.46010638297872342</v>
      </c>
    </row>
    <row r="62" spans="2:7">
      <c r="B62" s="19">
        <f>B49</f>
        <v>0.7</v>
      </c>
      <c r="C62" s="19" t="s">
        <v>39</v>
      </c>
      <c r="D62" s="19">
        <f>C49</f>
        <v>154</v>
      </c>
      <c r="E62" s="19">
        <v>1.075</v>
      </c>
      <c r="F62" s="19">
        <f>F61+E62*B62</f>
        <v>5.3774999999999995</v>
      </c>
      <c r="G62" s="20">
        <f>(F62-0.3)/(9+0.4)</f>
        <v>0.54015957446808505</v>
      </c>
    </row>
    <row r="63" spans="2:7">
      <c r="B63" s="19">
        <f>1-B62</f>
        <v>0.30000000000000004</v>
      </c>
      <c r="C63" s="19" t="s">
        <v>41</v>
      </c>
      <c r="D63" s="19">
        <f>D62</f>
        <v>154</v>
      </c>
      <c r="E63" s="19">
        <f>(9+1-F62)/(1+3)</f>
        <v>1.1556250000000001</v>
      </c>
      <c r="F63" s="19"/>
      <c r="G63" s="20"/>
    </row>
    <row r="64" spans="2:7">
      <c r="B64" s="19">
        <f>B50</f>
        <v>1</v>
      </c>
      <c r="C64" s="19" t="s">
        <v>39</v>
      </c>
      <c r="D64" s="19">
        <f>C50</f>
        <v>177</v>
      </c>
      <c r="E64" s="19">
        <v>1.1556250000000001</v>
      </c>
      <c r="F64" s="19">
        <f>F62+E64</f>
        <v>6.5331250000000001</v>
      </c>
      <c r="G64" s="20">
        <f>(F64-0.3)/(9+0.4)</f>
        <v>0.66309840425531918</v>
      </c>
    </row>
    <row r="65" spans="2:7">
      <c r="B65" s="19">
        <f>1</f>
        <v>1</v>
      </c>
      <c r="C65" s="19" t="s">
        <v>39</v>
      </c>
      <c r="D65" s="19">
        <f>C51</f>
        <v>199</v>
      </c>
      <c r="E65" s="19">
        <v>1.1556250000000001</v>
      </c>
      <c r="F65" s="19">
        <f>F64+E65</f>
        <v>7.6887500000000006</v>
      </c>
      <c r="G65" s="20">
        <f>(F65-0.3)/(9+0.4)</f>
        <v>0.78603723404255321</v>
      </c>
    </row>
    <row r="66" spans="2:7">
      <c r="B66" s="19">
        <f>B52</f>
        <v>1</v>
      </c>
      <c r="C66" s="19" t="s">
        <v>39</v>
      </c>
      <c r="D66" s="19">
        <f>C52</f>
        <v>219</v>
      </c>
      <c r="E66" s="19">
        <v>1.1556250000000001</v>
      </c>
      <c r="F66" s="19">
        <f>F65+E66</f>
        <v>8.8443750000000012</v>
      </c>
      <c r="G66" s="20">
        <f>(F66-0.3)/(9+0.4)</f>
        <v>0.90897606382978724</v>
      </c>
    </row>
    <row r="69" spans="2:7" ht="15" customHeight="1">
      <c r="B69" s="618" t="s">
        <v>65</v>
      </c>
      <c r="C69" s="618"/>
      <c r="D69" s="618"/>
      <c r="E69" s="618"/>
    </row>
    <row r="70" spans="2:7">
      <c r="B70" s="19">
        <v>199742</v>
      </c>
      <c r="C70" s="19">
        <v>114277</v>
      </c>
      <c r="D70" s="19">
        <v>225487</v>
      </c>
      <c r="E70" s="19">
        <v>144249</v>
      </c>
    </row>
    <row r="71" spans="2:7">
      <c r="B71" s="19">
        <v>264677</v>
      </c>
      <c r="C71" s="19">
        <v>104917</v>
      </c>
      <c r="D71" s="19">
        <v>282435</v>
      </c>
      <c r="E71" s="19">
        <v>134718</v>
      </c>
    </row>
    <row r="72" spans="2:7">
      <c r="B72" s="19">
        <v>183481</v>
      </c>
      <c r="C72" s="19">
        <v>149342</v>
      </c>
      <c r="D72" s="19">
        <v>210678</v>
      </c>
      <c r="E72" s="19">
        <v>178686</v>
      </c>
    </row>
    <row r="73" spans="2:7">
      <c r="B73" s="19">
        <v>130612</v>
      </c>
      <c r="C73" s="19">
        <v>39190</v>
      </c>
      <c r="D73" s="19">
        <v>160521</v>
      </c>
      <c r="E73" s="19">
        <v>61276</v>
      </c>
    </row>
    <row r="74" spans="2:7">
      <c r="B74" s="19">
        <v>26029</v>
      </c>
      <c r="C74" s="19">
        <v>32732</v>
      </c>
      <c r="D74" s="19">
        <v>44168</v>
      </c>
      <c r="E74" s="19">
        <v>53055</v>
      </c>
    </row>
    <row r="76" spans="2:7" ht="15">
      <c r="B76" s="23" t="s">
        <v>72</v>
      </c>
    </row>
    <row r="78" spans="2:7" ht="18.75">
      <c r="B78" s="24" t="s">
        <v>73</v>
      </c>
      <c r="C78" s="24" t="s">
        <v>74</v>
      </c>
      <c r="D78" s="24" t="s">
        <v>75</v>
      </c>
      <c r="E78" s="24" t="s">
        <v>76</v>
      </c>
      <c r="F78" s="24" t="s">
        <v>82</v>
      </c>
      <c r="G78" s="24" t="s">
        <v>77</v>
      </c>
    </row>
    <row r="79" spans="2:7">
      <c r="B79" s="24">
        <v>1</v>
      </c>
      <c r="C79" s="24">
        <f>100</f>
        <v>100</v>
      </c>
      <c r="D79" s="24" t="s">
        <v>78</v>
      </c>
      <c r="E79" s="24">
        <f>((5+1)-0)/(1+5)</f>
        <v>1</v>
      </c>
      <c r="F79" s="24">
        <f>Table1[[#This Row],[Ni]]</f>
        <v>1</v>
      </c>
      <c r="G79" s="26">
        <f>(Table1[[#This Row],[iti (Mean Order Number)]]-0.3)/(5+0.4)</f>
        <v>0.12962962962962962</v>
      </c>
    </row>
    <row r="80" spans="2:7">
      <c r="B80" s="24">
        <v>2</v>
      </c>
      <c r="C80" s="24">
        <f>100+C79</f>
        <v>200</v>
      </c>
      <c r="D80" s="24" t="s">
        <v>81</v>
      </c>
      <c r="E80" s="24" t="s">
        <v>83</v>
      </c>
      <c r="F80" s="24" t="s">
        <v>83</v>
      </c>
      <c r="G80" s="24" t="s">
        <v>83</v>
      </c>
    </row>
    <row r="81" spans="2:7">
      <c r="B81" s="24">
        <v>3</v>
      </c>
      <c r="C81" s="24">
        <f>100+C80</f>
        <v>300</v>
      </c>
      <c r="D81" s="24" t="s">
        <v>79</v>
      </c>
      <c r="E81" s="25">
        <f>((5+1)-1)/(1+(5-2))</f>
        <v>1.25</v>
      </c>
      <c r="F81" s="24">
        <f>F79+Table1[[#This Row],[Ni]]</f>
        <v>2.25</v>
      </c>
      <c r="G81" s="26">
        <f>(Table1[[#This Row],[iti (Mean Order Number)]]-0.3)/(5+0.4)</f>
        <v>0.3611111111111111</v>
      </c>
    </row>
    <row r="82" spans="2:7">
      <c r="B82" s="24">
        <v>4</v>
      </c>
      <c r="C82" s="24">
        <f>100+C81</f>
        <v>400</v>
      </c>
      <c r="D82" s="24" t="s">
        <v>81</v>
      </c>
      <c r="E82" s="24" t="s">
        <v>83</v>
      </c>
      <c r="F82" s="24" t="s">
        <v>83</v>
      </c>
      <c r="G82" s="24" t="s">
        <v>83</v>
      </c>
    </row>
    <row r="83" spans="2:7">
      <c r="B83" s="24">
        <v>5</v>
      </c>
      <c r="C83" s="24">
        <f>100+C82</f>
        <v>500</v>
      </c>
      <c r="D83" s="24" t="s">
        <v>80</v>
      </c>
      <c r="E83" s="24">
        <f>((5+1)-2.25)/(1+(5-4))</f>
        <v>1.875</v>
      </c>
      <c r="F83" s="24">
        <f>Table1[[#This Row],[Ni]]+F81</f>
        <v>4.125</v>
      </c>
      <c r="G83" s="26">
        <f>(Table1[[#This Row],[iti (Mean Order Number)]]-0.3)/(5+0.4)</f>
        <v>0.70833333333333337</v>
      </c>
    </row>
  </sheetData>
  <mergeCells count="6">
    <mergeCell ref="G54:G55"/>
    <mergeCell ref="B69:E69"/>
    <mergeCell ref="B54:C54"/>
    <mergeCell ref="D54:D55"/>
    <mergeCell ref="E54:E55"/>
    <mergeCell ref="F54:F55"/>
  </mergeCells>
  <conditionalFormatting sqref="D30:D35">
    <cfRule type="dataBar" priority="8">
      <dataBar>
        <cfvo type="min"/>
        <cfvo type="max"/>
        <color rgb="FFD6007B"/>
      </dataBar>
      <extLst>
        <ext xmlns:x14="http://schemas.microsoft.com/office/spreadsheetml/2009/9/main" uri="{B025F937-C7B1-47D3-B67F-A62EFF666E3E}">
          <x14:id>{30FA8A6E-2C20-4DA5-B7A8-CD6AE57F875D}</x14:id>
        </ext>
      </extLst>
    </cfRule>
  </conditionalFormatting>
  <conditionalFormatting sqref="G30:G35">
    <cfRule type="dataBar" priority="7">
      <dataBar>
        <cfvo type="min"/>
        <cfvo type="max"/>
        <color rgb="FFD6007B"/>
      </dataBar>
      <extLst>
        <ext xmlns:x14="http://schemas.microsoft.com/office/spreadsheetml/2009/9/main" uri="{B025F937-C7B1-47D3-B67F-A62EFF666E3E}">
          <x14:id>{92D244FB-EC0A-4168-8394-D06B69E7696E}</x14:id>
        </ext>
      </extLst>
    </cfRule>
  </conditionalFormatting>
  <conditionalFormatting sqref="D23:D27">
    <cfRule type="dataBar" priority="6">
      <dataBar>
        <cfvo type="min"/>
        <cfvo type="max"/>
        <color rgb="FFFF555A"/>
      </dataBar>
      <extLst>
        <ext xmlns:x14="http://schemas.microsoft.com/office/spreadsheetml/2009/9/main" uri="{B025F937-C7B1-47D3-B67F-A62EFF666E3E}">
          <x14:id>{42A4DEFA-4150-4294-AFC2-F7874366F483}</x14:id>
        </ext>
      </extLst>
    </cfRule>
  </conditionalFormatting>
  <conditionalFormatting sqref="F38:F41">
    <cfRule type="dataBar" priority="5">
      <dataBar>
        <cfvo type="min"/>
        <cfvo type="max"/>
        <color rgb="FF638EC6"/>
      </dataBar>
      <extLst>
        <ext xmlns:x14="http://schemas.microsoft.com/office/spreadsheetml/2009/9/main" uri="{B025F937-C7B1-47D3-B67F-A62EFF666E3E}">
          <x14:id>{0D72F530-81FF-4BA9-A2F7-7E49DE035B7E}</x14:id>
        </ext>
      </extLst>
    </cfRule>
  </conditionalFormatting>
  <conditionalFormatting sqref="F30:F35">
    <cfRule type="dataBar" priority="2">
      <dataBar>
        <cfvo type="min"/>
        <cfvo type="max"/>
        <color rgb="FF63C384"/>
      </dataBar>
      <extLst>
        <ext xmlns:x14="http://schemas.microsoft.com/office/spreadsheetml/2009/9/main" uri="{B025F937-C7B1-47D3-B67F-A62EFF666E3E}">
          <x14:id>{EBFC71FE-4E01-4555-ABB8-44E0FCA8B308}</x14:id>
        </ext>
      </extLst>
    </cfRule>
  </conditionalFormatting>
  <conditionalFormatting sqref="C44:C52">
    <cfRule type="dataBar" priority="1">
      <dataBar>
        <cfvo type="min"/>
        <cfvo type="max"/>
        <color rgb="FF008AEF"/>
      </dataBar>
      <extLst>
        <ext xmlns:x14="http://schemas.microsoft.com/office/spreadsheetml/2009/9/main" uri="{B025F937-C7B1-47D3-B67F-A62EFF666E3E}">
          <x14:id>{BE5D955D-E249-4521-92EA-E61C95F2446C}</x14:id>
        </ext>
      </extLst>
    </cfRule>
  </conditionalFormatting>
  <pageMargins left="0.7" right="0.7" top="0.75" bottom="0.75" header="0.3" footer="0.3"/>
  <pageSetup orientation="portrait" r:id="rId1"/>
  <ignoredErrors>
    <ignoredError sqref="B60 B65 F62" formula="1"/>
    <ignoredError sqref="C80:C83 E79:E83"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30FA8A6E-2C20-4DA5-B7A8-CD6AE57F875D}">
            <x14:dataBar minLength="0" maxLength="100" gradient="0">
              <x14:cfvo type="autoMin"/>
              <x14:cfvo type="autoMax"/>
              <x14:negativeFillColor rgb="FFFF0000"/>
              <x14:axisColor rgb="FF000000"/>
            </x14:dataBar>
          </x14:cfRule>
          <xm:sqref>D30:D35</xm:sqref>
        </x14:conditionalFormatting>
        <x14:conditionalFormatting xmlns:xm="http://schemas.microsoft.com/office/excel/2006/main">
          <x14:cfRule type="dataBar" id="{92D244FB-EC0A-4168-8394-D06B69E7696E}">
            <x14:dataBar minLength="0" maxLength="100" gradient="0">
              <x14:cfvo type="autoMin"/>
              <x14:cfvo type="autoMax"/>
              <x14:negativeFillColor rgb="FFFF0000"/>
              <x14:axisColor rgb="FF000000"/>
            </x14:dataBar>
          </x14:cfRule>
          <xm:sqref>G30:G35</xm:sqref>
        </x14:conditionalFormatting>
        <x14:conditionalFormatting xmlns:xm="http://schemas.microsoft.com/office/excel/2006/main">
          <x14:cfRule type="dataBar" id="{42A4DEFA-4150-4294-AFC2-F7874366F483}">
            <x14:dataBar minLength="0" maxLength="100" gradient="0">
              <x14:cfvo type="autoMin"/>
              <x14:cfvo type="autoMax"/>
              <x14:negativeFillColor rgb="FFFF0000"/>
              <x14:axisColor rgb="FF000000"/>
            </x14:dataBar>
          </x14:cfRule>
          <xm:sqref>D23:D27</xm:sqref>
        </x14:conditionalFormatting>
        <x14:conditionalFormatting xmlns:xm="http://schemas.microsoft.com/office/excel/2006/main">
          <x14:cfRule type="dataBar" id="{0D72F530-81FF-4BA9-A2F7-7E49DE035B7E}">
            <x14:dataBar minLength="0" maxLength="100" border="1" negativeBarBorderColorSameAsPositive="0">
              <x14:cfvo type="autoMin"/>
              <x14:cfvo type="autoMax"/>
              <x14:borderColor rgb="FF638EC6"/>
              <x14:negativeFillColor rgb="FFFF0000"/>
              <x14:negativeBorderColor rgb="FFFF0000"/>
              <x14:axisColor rgb="FF000000"/>
            </x14:dataBar>
          </x14:cfRule>
          <xm:sqref>F38:F41</xm:sqref>
        </x14:conditionalFormatting>
        <x14:conditionalFormatting xmlns:xm="http://schemas.microsoft.com/office/excel/2006/main">
          <x14:cfRule type="dataBar" id="{EBFC71FE-4E01-4555-ABB8-44E0FCA8B308}">
            <x14:dataBar minLength="0" maxLength="100" gradient="0">
              <x14:cfvo type="autoMin"/>
              <x14:cfvo type="autoMax"/>
              <x14:negativeFillColor rgb="FFFF0000"/>
              <x14:axisColor rgb="FF000000"/>
            </x14:dataBar>
          </x14:cfRule>
          <xm:sqref>F30:F35</xm:sqref>
        </x14:conditionalFormatting>
        <x14:conditionalFormatting xmlns:xm="http://schemas.microsoft.com/office/excel/2006/main">
          <x14:cfRule type="dataBar" id="{BE5D955D-E249-4521-92EA-E61C95F2446C}">
            <x14:dataBar minLength="0" maxLength="100" gradient="0">
              <x14:cfvo type="autoMin"/>
              <x14:cfvo type="autoMax"/>
              <x14:negativeFillColor rgb="FFFF0000"/>
              <x14:axisColor rgb="FF000000"/>
            </x14:dataBar>
          </x14:cfRule>
          <xm:sqref>C44:C52</xm:sqref>
        </x14:conditionalFormatting>
        <x14:conditionalFormatting xmlns:xm="http://schemas.microsoft.com/office/excel/2006/main">
          <x14:cfRule type="iconSet" priority="4" id="{788A5B7A-648C-495B-8756-B20095EF94C6}">
            <x14:iconSet iconSet="3Triangles">
              <x14:cfvo type="percent">
                <xm:f>0</xm:f>
              </x14:cfvo>
              <x14:cfvo type="percent">
                <xm:f>33</xm:f>
              </x14:cfvo>
              <x14:cfvo type="percent">
                <xm:f>67</xm:f>
              </x14:cfvo>
            </x14:iconSet>
          </x14:cfRule>
          <xm:sqref>B56:B66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7030A0"/>
  </sheetPr>
  <dimension ref="C2:I91"/>
  <sheetViews>
    <sheetView topLeftCell="A103" zoomScale="80" zoomScaleNormal="80" workbookViewId="0">
      <selection activeCell="X114" sqref="X114"/>
    </sheetView>
  </sheetViews>
  <sheetFormatPr defaultRowHeight="14.25"/>
  <cols>
    <col min="1" max="1" width="17" style="27" customWidth="1"/>
    <col min="2" max="16384" width="9.140625" style="27"/>
  </cols>
  <sheetData>
    <row r="2" spans="3:9" ht="20.25">
      <c r="C2" s="38"/>
      <c r="I2" s="39" t="s">
        <v>66</v>
      </c>
    </row>
    <row r="3" spans="3:9" ht="18">
      <c r="C3" s="40"/>
    </row>
    <row r="4" spans="3:9" ht="15">
      <c r="C4" s="29" t="s">
        <v>69</v>
      </c>
    </row>
    <row r="44" spans="3:3" ht="18">
      <c r="C44" s="40" t="s">
        <v>70</v>
      </c>
    </row>
    <row r="91" spans="3:3" s="41" customFormat="1" ht="39.75" customHeight="1">
      <c r="C91" s="41" t="s">
        <v>71</v>
      </c>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F0000"/>
  </sheetPr>
  <dimension ref="A1:H27"/>
  <sheetViews>
    <sheetView workbookViewId="0">
      <selection activeCell="A12" sqref="A12:XFD12"/>
    </sheetView>
  </sheetViews>
  <sheetFormatPr defaultColWidth="96" defaultRowHeight="15"/>
  <cols>
    <col min="1" max="16384" width="96" style="102"/>
  </cols>
  <sheetData>
    <row r="1" spans="1:8" ht="15.75">
      <c r="A1" s="101" t="s">
        <v>176</v>
      </c>
    </row>
    <row r="2" spans="1:8" ht="60">
      <c r="A2" s="103" t="s">
        <v>177</v>
      </c>
      <c r="H2" s="104"/>
    </row>
    <row r="3" spans="1:8" ht="45">
      <c r="A3" s="103" t="s">
        <v>178</v>
      </c>
    </row>
    <row r="4" spans="1:8" ht="60">
      <c r="A4" s="103" t="s">
        <v>179</v>
      </c>
    </row>
    <row r="5" spans="1:8" ht="15.75">
      <c r="A5" s="101" t="s">
        <v>180</v>
      </c>
    </row>
    <row r="6" spans="1:8" ht="60">
      <c r="A6" s="103" t="s">
        <v>181</v>
      </c>
    </row>
    <row r="7" spans="1:8" ht="31.5">
      <c r="A7" s="105" t="s">
        <v>182</v>
      </c>
    </row>
    <row r="8" spans="1:8" ht="60">
      <c r="A8" s="103" t="s">
        <v>183</v>
      </c>
    </row>
    <row r="9" spans="1:8" ht="16.5">
      <c r="A9" s="105" t="s">
        <v>184</v>
      </c>
    </row>
    <row r="10" spans="1:8" ht="66">
      <c r="A10" s="103" t="s">
        <v>185</v>
      </c>
    </row>
    <row r="11" spans="1:8" ht="16.5">
      <c r="A11" s="105" t="s">
        <v>186</v>
      </c>
    </row>
    <row r="12" spans="1:8" ht="66">
      <c r="A12" s="103" t="s">
        <v>187</v>
      </c>
    </row>
    <row r="13" spans="1:8" ht="16.5">
      <c r="A13" s="105" t="s">
        <v>188</v>
      </c>
    </row>
    <row r="14" spans="1:8" ht="66">
      <c r="A14" s="103" t="s">
        <v>189</v>
      </c>
    </row>
    <row r="15" spans="1:8" ht="16.5">
      <c r="A15" s="105" t="s">
        <v>190</v>
      </c>
    </row>
    <row r="16" spans="1:8" ht="66">
      <c r="A16" s="103" t="s">
        <v>191</v>
      </c>
    </row>
    <row r="17" spans="1:1" ht="16.5">
      <c r="A17" s="105" t="s">
        <v>192</v>
      </c>
    </row>
    <row r="18" spans="1:1" ht="66">
      <c r="A18" s="103" t="s">
        <v>193</v>
      </c>
    </row>
    <row r="19" spans="1:1" ht="16.5">
      <c r="A19" s="105" t="s">
        <v>194</v>
      </c>
    </row>
    <row r="20" spans="1:1" ht="66">
      <c r="A20" s="103" t="s">
        <v>195</v>
      </c>
    </row>
    <row r="21" spans="1:1" ht="16.5">
      <c r="A21" s="105" t="s">
        <v>196</v>
      </c>
    </row>
    <row r="22" spans="1:1" ht="82.5">
      <c r="A22" s="103" t="s">
        <v>197</v>
      </c>
    </row>
    <row r="23" spans="1:1" ht="16.5">
      <c r="A23" s="105" t="s">
        <v>198</v>
      </c>
    </row>
    <row r="24" spans="1:1" ht="33">
      <c r="A24" s="106" t="s">
        <v>199</v>
      </c>
    </row>
    <row r="25" spans="1:1" ht="49.5">
      <c r="A25" s="103" t="s">
        <v>200</v>
      </c>
    </row>
    <row r="26" spans="1:1" ht="33">
      <c r="A26" s="103" t="s">
        <v>201</v>
      </c>
    </row>
    <row r="27" spans="1:1" ht="49.5">
      <c r="A27" s="103" t="s">
        <v>202</v>
      </c>
    </row>
  </sheetData>
  <hyperlinks>
    <hyperlink ref="A24" r:id="rId1" display="http://www.weibull.com/hotwire/issue177/fmeacorner177.htm" xr:uid="{00000000-0004-0000-0500-000000000000}"/>
  </hyperlinks>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7030A0"/>
  </sheetPr>
  <dimension ref="B2:M44"/>
  <sheetViews>
    <sheetView topLeftCell="A13" zoomScale="80" zoomScaleNormal="80" workbookViewId="0">
      <selection activeCell="Q30" sqref="Q30"/>
    </sheetView>
  </sheetViews>
  <sheetFormatPr defaultRowHeight="15"/>
  <cols>
    <col min="1" max="11" width="9.140625" style="29"/>
    <col min="12" max="12" width="32.140625" style="29" bestFit="1" customWidth="1"/>
    <col min="13" max="13" width="18.7109375" style="29" customWidth="1"/>
    <col min="14" max="16384" width="9.140625" style="29"/>
  </cols>
  <sheetData>
    <row r="2" spans="2:13" ht="15.75">
      <c r="B2" s="28" t="s">
        <v>88</v>
      </c>
    </row>
    <row r="3" spans="2:13" ht="26.25" customHeight="1">
      <c r="B3" s="29" t="s">
        <v>89</v>
      </c>
    </row>
    <row r="4" spans="2:13">
      <c r="B4" s="29" t="s">
        <v>90</v>
      </c>
    </row>
    <row r="5" spans="2:13" ht="15.75">
      <c r="B5" s="29" t="s">
        <v>91</v>
      </c>
      <c r="L5" s="620" t="s">
        <v>98</v>
      </c>
      <c r="M5" s="620"/>
    </row>
    <row r="6" spans="2:13">
      <c r="B6" s="29" t="s">
        <v>92</v>
      </c>
      <c r="L6" s="30" t="s">
        <v>99</v>
      </c>
      <c r="M6" s="31"/>
    </row>
    <row r="7" spans="2:13">
      <c r="B7" s="29" t="s">
        <v>93</v>
      </c>
      <c r="L7" s="32" t="s">
        <v>100</v>
      </c>
      <c r="M7" s="33">
        <v>0</v>
      </c>
    </row>
    <row r="8" spans="2:13">
      <c r="B8" s="29" t="s">
        <v>94</v>
      </c>
      <c r="L8" s="32" t="s">
        <v>101</v>
      </c>
      <c r="M8" s="33">
        <v>15690.3</v>
      </c>
    </row>
    <row r="9" spans="2:13">
      <c r="B9" s="29" t="s">
        <v>95</v>
      </c>
      <c r="L9" s="32" t="s">
        <v>102</v>
      </c>
      <c r="M9" s="34">
        <v>37333.99</v>
      </c>
    </row>
    <row r="10" spans="2:13">
      <c r="B10" s="29" t="s">
        <v>96</v>
      </c>
      <c r="L10" s="32" t="s">
        <v>103</v>
      </c>
      <c r="M10" s="33">
        <v>53024.29</v>
      </c>
    </row>
    <row r="11" spans="2:13">
      <c r="B11" s="29" t="s">
        <v>97</v>
      </c>
      <c r="L11" s="30" t="s">
        <v>104</v>
      </c>
      <c r="M11" s="31"/>
    </row>
    <row r="12" spans="2:13">
      <c r="L12" s="32" t="s">
        <v>105</v>
      </c>
      <c r="M12" s="33">
        <v>0</v>
      </c>
    </row>
    <row r="13" spans="2:13">
      <c r="L13" s="32" t="s">
        <v>106</v>
      </c>
      <c r="M13" s="33">
        <v>0</v>
      </c>
    </row>
    <row r="14" spans="2:13">
      <c r="L14" s="32" t="s">
        <v>107</v>
      </c>
      <c r="M14" s="33">
        <v>0</v>
      </c>
    </row>
    <row r="15" spans="2:13">
      <c r="L15" s="32" t="s">
        <v>108</v>
      </c>
      <c r="M15" s="33">
        <v>0</v>
      </c>
    </row>
    <row r="16" spans="2:13">
      <c r="L16" s="30" t="s">
        <v>109</v>
      </c>
      <c r="M16" s="31"/>
    </row>
    <row r="17" spans="12:13">
      <c r="L17" s="32" t="s">
        <v>110</v>
      </c>
      <c r="M17" s="33">
        <v>0</v>
      </c>
    </row>
    <row r="18" spans="12:13">
      <c r="L18" s="32" t="s">
        <v>111</v>
      </c>
      <c r="M18" s="33">
        <v>0</v>
      </c>
    </row>
    <row r="19" spans="12:13">
      <c r="L19" s="32" t="s">
        <v>112</v>
      </c>
      <c r="M19" s="33">
        <v>0</v>
      </c>
    </row>
    <row r="20" spans="12:13">
      <c r="L20" s="32" t="s">
        <v>113</v>
      </c>
      <c r="M20" s="33">
        <v>0</v>
      </c>
    </row>
    <row r="21" spans="12:13">
      <c r="L21" s="30" t="s">
        <v>114</v>
      </c>
      <c r="M21" s="31"/>
    </row>
    <row r="22" spans="12:13">
      <c r="L22" s="32" t="s">
        <v>115</v>
      </c>
      <c r="M22" s="33">
        <v>0</v>
      </c>
    </row>
    <row r="23" spans="12:13">
      <c r="L23" s="32" t="s">
        <v>116</v>
      </c>
      <c r="M23" s="33">
        <v>0</v>
      </c>
    </row>
    <row r="24" spans="12:13">
      <c r="L24" s="32" t="s">
        <v>117</v>
      </c>
      <c r="M24" s="33">
        <v>0</v>
      </c>
    </row>
    <row r="25" spans="12:13">
      <c r="L25" s="30" t="s">
        <v>118</v>
      </c>
      <c r="M25" s="31"/>
    </row>
    <row r="26" spans="12:13" ht="30">
      <c r="L26" s="138" t="s">
        <v>119</v>
      </c>
      <c r="M26" s="33">
        <v>0</v>
      </c>
    </row>
    <row r="27" spans="12:13">
      <c r="L27" s="30" t="s">
        <v>120</v>
      </c>
      <c r="M27" s="31"/>
    </row>
    <row r="28" spans="12:13">
      <c r="L28" s="32" t="s">
        <v>121</v>
      </c>
      <c r="M28" s="33">
        <v>17532.490000000002</v>
      </c>
    </row>
    <row r="29" spans="12:13">
      <c r="L29" s="30" t="s">
        <v>122</v>
      </c>
      <c r="M29" s="31"/>
    </row>
    <row r="30" spans="12:13">
      <c r="L30" s="32" t="s">
        <v>123</v>
      </c>
      <c r="M30" s="33">
        <v>0</v>
      </c>
    </row>
    <row r="31" spans="12:13" ht="30">
      <c r="L31" s="138" t="s">
        <v>124</v>
      </c>
      <c r="M31" s="33">
        <v>0</v>
      </c>
    </row>
    <row r="32" spans="12:13" ht="30">
      <c r="L32" s="138" t="s">
        <v>125</v>
      </c>
      <c r="M32" s="33">
        <v>0</v>
      </c>
    </row>
    <row r="33" spans="12:13" ht="30">
      <c r="L33" s="138" t="s">
        <v>126</v>
      </c>
      <c r="M33" s="33">
        <v>0</v>
      </c>
    </row>
    <row r="34" spans="12:13" ht="30">
      <c r="L34" s="138" t="s">
        <v>127</v>
      </c>
      <c r="M34" s="33">
        <v>0</v>
      </c>
    </row>
    <row r="35" spans="12:13" ht="30">
      <c r="L35" s="138" t="s">
        <v>128</v>
      </c>
      <c r="M35" s="33">
        <v>0</v>
      </c>
    </row>
    <row r="36" spans="12:13">
      <c r="L36" s="138" t="s">
        <v>129</v>
      </c>
      <c r="M36" s="31"/>
    </row>
    <row r="37" spans="12:13">
      <c r="L37" s="32" t="s">
        <v>130</v>
      </c>
      <c r="M37" s="33">
        <v>70556.789999999994</v>
      </c>
    </row>
    <row r="38" spans="12:13">
      <c r="L38" s="30" t="s">
        <v>131</v>
      </c>
      <c r="M38" s="31"/>
    </row>
    <row r="39" spans="12:13">
      <c r="L39" s="32" t="s">
        <v>132</v>
      </c>
      <c r="M39" s="35" t="s">
        <v>133</v>
      </c>
    </row>
    <row r="40" spans="12:13">
      <c r="L40" s="32" t="s">
        <v>134</v>
      </c>
      <c r="M40" s="33">
        <v>0</v>
      </c>
    </row>
    <row r="41" spans="12:13">
      <c r="L41" s="30" t="s">
        <v>135</v>
      </c>
      <c r="M41" s="31"/>
    </row>
    <row r="42" spans="12:13">
      <c r="L42" s="32" t="s">
        <v>136</v>
      </c>
      <c r="M42" s="33">
        <v>0</v>
      </c>
    </row>
    <row r="43" spans="12:13">
      <c r="L43" s="32" t="s">
        <v>137</v>
      </c>
      <c r="M43" s="35" t="s">
        <v>133</v>
      </c>
    </row>
    <row r="44" spans="12:13">
      <c r="L44" s="32" t="s">
        <v>138</v>
      </c>
      <c r="M44" s="33">
        <v>0</v>
      </c>
    </row>
  </sheetData>
  <mergeCells count="1">
    <mergeCell ref="L5:M5"/>
  </mergeCells>
  <pageMargins left="0.7" right="0.7" top="0.75" bottom="0.75" header="0.3" footer="0.3"/>
  <pageSetup orientation="portrait" r:id="rId1"/>
  <headerFooter>
    <oddHeader>&amp;CLife Cycle Cost</oddHeader>
    <oddFooter>&amp;CLife Cycle Cost</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7030A0"/>
  </sheetPr>
  <dimension ref="B2:D69"/>
  <sheetViews>
    <sheetView topLeftCell="A22" zoomScale="70" zoomScaleNormal="70" workbookViewId="0">
      <selection activeCell="J36" sqref="J36"/>
    </sheetView>
  </sheetViews>
  <sheetFormatPr defaultRowHeight="14.25"/>
  <cols>
    <col min="1" max="16384" width="9.140625" style="27"/>
  </cols>
  <sheetData>
    <row r="2" spans="2:4" ht="15">
      <c r="B2" s="36"/>
    </row>
    <row r="3" spans="2:4">
      <c r="B3" s="37"/>
    </row>
    <row r="4" spans="2:4">
      <c r="B4" s="50" t="s">
        <v>205</v>
      </c>
    </row>
    <row r="5" spans="2:4" ht="51">
      <c r="B5" s="51"/>
      <c r="C5" s="51" t="s">
        <v>139</v>
      </c>
      <c r="D5" s="51"/>
    </row>
    <row r="6" spans="2:4" ht="71.25">
      <c r="B6" s="52"/>
      <c r="C6" s="53" t="s">
        <v>140</v>
      </c>
      <c r="D6" s="54"/>
    </row>
    <row r="7" spans="2:4">
      <c r="B7" s="55"/>
      <c r="C7" s="56"/>
      <c r="D7" s="55"/>
    </row>
    <row r="8" spans="2:4" ht="23.25">
      <c r="B8" s="57" t="s">
        <v>206</v>
      </c>
    </row>
    <row r="10" spans="2:4" ht="15">
      <c r="B10" s="36" t="s">
        <v>207</v>
      </c>
    </row>
    <row r="11" spans="2:4" ht="15.75">
      <c r="B11" s="36" t="s">
        <v>208</v>
      </c>
    </row>
    <row r="12" spans="2:4" ht="15">
      <c r="B12" s="58"/>
    </row>
    <row r="13" spans="2:4" ht="15">
      <c r="B13" s="36" t="s">
        <v>141</v>
      </c>
    </row>
    <row r="14" spans="2:4" ht="15">
      <c r="B14" s="59" t="s">
        <v>142</v>
      </c>
    </row>
    <row r="15" spans="2:4" ht="15">
      <c r="B15" s="59" t="s">
        <v>143</v>
      </c>
    </row>
    <row r="16" spans="2:4" ht="15">
      <c r="B16" s="59" t="s">
        <v>144</v>
      </c>
    </row>
    <row r="17" spans="2:2" ht="15">
      <c r="B17" s="59" t="s">
        <v>145</v>
      </c>
    </row>
    <row r="18" spans="2:2">
      <c r="B18" s="60"/>
    </row>
    <row r="19" spans="2:2" ht="15">
      <c r="B19" s="61" t="s">
        <v>209</v>
      </c>
    </row>
    <row r="20" spans="2:2" ht="15">
      <c r="B20" s="61" t="s">
        <v>210</v>
      </c>
    </row>
    <row r="21" spans="2:2" ht="15">
      <c r="B21" s="36" t="s">
        <v>146</v>
      </c>
    </row>
    <row r="23" spans="2:2" ht="18">
      <c r="B23" s="62" t="s">
        <v>147</v>
      </c>
    </row>
    <row r="24" spans="2:2" ht="15">
      <c r="B24" s="36" t="s">
        <v>148</v>
      </c>
    </row>
    <row r="25" spans="2:2">
      <c r="B25" s="63" t="s">
        <v>149</v>
      </c>
    </row>
    <row r="26" spans="2:2" ht="15.75">
      <c r="B26" s="64" t="s">
        <v>211</v>
      </c>
    </row>
    <row r="27" spans="2:2" ht="15.75">
      <c r="B27" s="59" t="s">
        <v>212</v>
      </c>
    </row>
    <row r="28" spans="2:2">
      <c r="B28" s="65" t="s">
        <v>150</v>
      </c>
    </row>
    <row r="29" spans="2:2">
      <c r="B29" s="65" t="s">
        <v>151</v>
      </c>
    </row>
    <row r="30" spans="2:2">
      <c r="B30" s="60"/>
    </row>
    <row r="31" spans="2:2" ht="15.75">
      <c r="B31" s="61" t="s">
        <v>213</v>
      </c>
    </row>
    <row r="32" spans="2:2" ht="15.75">
      <c r="B32" s="61" t="s">
        <v>214</v>
      </c>
    </row>
    <row r="33" spans="2:2" ht="15.75">
      <c r="B33" s="64" t="s">
        <v>215</v>
      </c>
    </row>
    <row r="34" spans="2:2" ht="15.75">
      <c r="B34" s="59" t="s">
        <v>216</v>
      </c>
    </row>
    <row r="35" spans="2:2" ht="15">
      <c r="B35" s="58"/>
    </row>
    <row r="36" spans="2:2">
      <c r="B36" s="65" t="s">
        <v>152</v>
      </c>
    </row>
    <row r="37" spans="2:2" ht="15.75">
      <c r="B37" s="59" t="s">
        <v>217</v>
      </c>
    </row>
    <row r="38" spans="2:2" ht="15">
      <c r="B38" s="59" t="s">
        <v>153</v>
      </c>
    </row>
    <row r="39" spans="2:2" ht="15">
      <c r="B39" s="58"/>
    </row>
    <row r="41" spans="2:2" ht="18">
      <c r="B41" s="66" t="s">
        <v>218</v>
      </c>
    </row>
    <row r="42" spans="2:2" ht="15">
      <c r="B42" s="36" t="s">
        <v>219</v>
      </c>
    </row>
    <row r="43" spans="2:2" ht="15.75">
      <c r="B43" s="36" t="s">
        <v>220</v>
      </c>
    </row>
    <row r="44" spans="2:2" ht="15.75">
      <c r="B44" s="67" t="s">
        <v>221</v>
      </c>
    </row>
    <row r="45" spans="2:2" ht="15.75">
      <c r="B45" s="67" t="s">
        <v>222</v>
      </c>
    </row>
    <row r="46" spans="2:2" ht="15.75">
      <c r="B46" s="67" t="s">
        <v>223</v>
      </c>
    </row>
    <row r="48" spans="2:2" ht="18">
      <c r="B48" s="62" t="s">
        <v>154</v>
      </c>
    </row>
    <row r="49" spans="2:2" ht="15.75">
      <c r="B49" s="67" t="s">
        <v>224</v>
      </c>
    </row>
    <row r="50" spans="2:2" ht="15" thickBot="1">
      <c r="B50" s="65" t="s">
        <v>155</v>
      </c>
    </row>
    <row r="51" spans="2:2" ht="15.75" thickBot="1">
      <c r="B51" s="68" t="s">
        <v>225</v>
      </c>
    </row>
    <row r="52" spans="2:2">
      <c r="B52" s="65" t="s">
        <v>156</v>
      </c>
    </row>
    <row r="53" spans="2:2" ht="15.75">
      <c r="B53" s="67" t="s">
        <v>226</v>
      </c>
    </row>
    <row r="54" spans="2:2" ht="15">
      <c r="B54" s="59" t="s">
        <v>157</v>
      </c>
    </row>
    <row r="55" spans="2:2" ht="15.75" thickBot="1">
      <c r="B55" s="58"/>
    </row>
    <row r="56" spans="2:2" ht="15" thickBot="1">
      <c r="B56" s="69" t="s">
        <v>158</v>
      </c>
    </row>
    <row r="58" spans="2:2" ht="18">
      <c r="B58" s="62" t="s">
        <v>159</v>
      </c>
    </row>
    <row r="59" spans="2:2" ht="15">
      <c r="B59" s="36" t="s">
        <v>160</v>
      </c>
    </row>
    <row r="60" spans="2:2" ht="15.75">
      <c r="B60" s="67" t="s">
        <v>227</v>
      </c>
    </row>
    <row r="61" spans="2:2" ht="15.75">
      <c r="B61" s="67" t="s">
        <v>228</v>
      </c>
    </row>
    <row r="62" spans="2:2" ht="15.75">
      <c r="B62" s="67" t="s">
        <v>229</v>
      </c>
    </row>
    <row r="63" spans="2:2">
      <c r="B63" s="60"/>
    </row>
    <row r="64" spans="2:2" ht="15.75">
      <c r="B64" s="61" t="s">
        <v>230</v>
      </c>
    </row>
    <row r="65" spans="2:2" ht="15">
      <c r="B65" s="61" t="s">
        <v>231</v>
      </c>
    </row>
    <row r="66" spans="2:2" ht="15">
      <c r="B66" s="70"/>
    </row>
    <row r="67" spans="2:2" ht="15.75">
      <c r="B67" s="67" t="s">
        <v>232</v>
      </c>
    </row>
    <row r="68" spans="2:2" ht="15">
      <c r="B68" s="58"/>
    </row>
    <row r="69" spans="2:2" ht="15">
      <c r="B69" s="36"/>
    </row>
  </sheetData>
  <hyperlinks>
    <hyperlink ref="C6" r:id="rId1" display="http://help.synthesisplatform.net/weibull_alta11/monte_carlo_simulation_and_the_simumatic_utility.htm" xr:uid="{00000000-0004-0000-0700-000000000000}"/>
    <hyperlink ref="B25" r:id="rId2" display="http://help.synthesisplatform.net/weibull_alta11/quick_parameter_experimenter.htm" xr:uid="{00000000-0004-0000-0700-000001000000}"/>
    <hyperlink ref="B28" r:id="rId3" display="http://help.synthesisplatform.net/weibull_alta11/mixed_weibull_analysis.htm" xr:uid="{00000000-0004-0000-0700-000002000000}"/>
    <hyperlink ref="B29" r:id="rId4" display="http://help.synthesisplatform.net/weibull_alta11/user-defined_equations.htm" xr:uid="{00000000-0004-0000-0700-000003000000}"/>
    <hyperlink ref="B36" r:id="rId5" display="http://help.synthesisplatform.net/weibull_alta11/time_dependent_stress_profiles.htm" xr:uid="{00000000-0004-0000-0700-000004000000}"/>
    <hyperlink ref="B50" r:id="rId6" display="http://help.synthesisplatform.net/weibull_alta11/weibull_simumatic_setup_window.htm" xr:uid="{00000000-0004-0000-0700-000005000000}"/>
    <hyperlink ref="B52" r:id="rId7" display="http://help.synthesisplatform.net/weibull_alta11/weibull_simumatic_setup_window.htm" xr:uid="{00000000-0004-0000-0700-000006000000}"/>
    <hyperlink ref="B56" r:id="rId8" display="http://help.synthesisplatform.net/weibull_alta11/weibull_simumatic_setup_window.htm" xr:uid="{00000000-0004-0000-0700-000007000000}"/>
  </hyperlinks>
  <pageMargins left="0.7" right="0.7" top="0.75" bottom="0.75" header="0.3" footer="0.3"/>
  <pageSetup orientation="portrait" r:id="rId9"/>
  <drawing r:id="rId10"/>
  <legacyDrawing r:id="rId1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8" tint="-0.499984740745262"/>
  </sheetPr>
  <dimension ref="C4:K45"/>
  <sheetViews>
    <sheetView topLeftCell="A4" zoomScale="70" zoomScaleNormal="70" workbookViewId="0">
      <selection activeCell="M15" sqref="M15"/>
    </sheetView>
  </sheetViews>
  <sheetFormatPr defaultRowHeight="15"/>
  <cols>
    <col min="1" max="2" width="9.140625" style="29"/>
    <col min="3" max="3" width="11.140625" style="29" customWidth="1"/>
    <col min="4" max="4" width="11.7109375" style="29" customWidth="1"/>
    <col min="5" max="5" width="26.140625" style="29" customWidth="1"/>
    <col min="6" max="6" width="12.42578125" style="29" customWidth="1"/>
    <col min="7" max="7" width="9.140625" style="29"/>
    <col min="8" max="8" width="27.85546875" style="29" customWidth="1"/>
    <col min="9" max="9" width="24.7109375" style="29" customWidth="1"/>
    <col min="10" max="10" width="23.140625" style="29" customWidth="1"/>
    <col min="11" max="11" width="14.5703125" style="29" bestFit="1" customWidth="1"/>
    <col min="12" max="16384" width="9.140625" style="29"/>
  </cols>
  <sheetData>
    <row r="4" spans="3:11">
      <c r="K4" s="139"/>
    </row>
    <row r="5" spans="3:11">
      <c r="K5" s="139"/>
    </row>
    <row r="8" spans="3:11" ht="15.75" thickBot="1"/>
    <row r="9" spans="3:11" ht="15.75">
      <c r="C9" s="621" t="s">
        <v>161</v>
      </c>
      <c r="D9" s="622"/>
      <c r="E9" s="622"/>
      <c r="F9" s="623"/>
      <c r="H9" s="624" t="s">
        <v>166</v>
      </c>
      <c r="I9" s="625"/>
    </row>
    <row r="10" spans="3:11" ht="15.75">
      <c r="C10" s="71" t="s">
        <v>162</v>
      </c>
      <c r="D10" s="71" t="s">
        <v>163</v>
      </c>
      <c r="E10" s="71" t="s">
        <v>164</v>
      </c>
      <c r="F10" s="71" t="s">
        <v>165</v>
      </c>
      <c r="H10" s="72" t="s">
        <v>167</v>
      </c>
      <c r="I10" s="73" t="s">
        <v>168</v>
      </c>
    </row>
    <row r="11" spans="3:11">
      <c r="C11" s="74">
        <v>1</v>
      </c>
      <c r="D11" s="74">
        <v>45.112217000000001</v>
      </c>
      <c r="E11" s="74">
        <v>128.47638499999999</v>
      </c>
      <c r="F11" s="74">
        <v>250.312963</v>
      </c>
      <c r="H11" s="72" t="s">
        <v>169</v>
      </c>
      <c r="I11" s="73" t="s">
        <v>173</v>
      </c>
    </row>
    <row r="12" spans="3:11">
      <c r="C12" s="74">
        <v>2</v>
      </c>
      <c r="D12" s="74">
        <v>115.106945</v>
      </c>
      <c r="E12" s="74">
        <v>218.070797</v>
      </c>
      <c r="F12" s="74">
        <v>348.169871</v>
      </c>
      <c r="H12" s="72" t="s">
        <v>170</v>
      </c>
      <c r="I12" s="73">
        <v>8</v>
      </c>
    </row>
    <row r="13" spans="3:11">
      <c r="C13" s="75">
        <v>3</v>
      </c>
      <c r="D13" s="75">
        <v>179.902332</v>
      </c>
      <c r="E13" s="75">
        <v>294.823599</v>
      </c>
      <c r="F13" s="75">
        <v>433.25138500000003</v>
      </c>
      <c r="H13" s="72" t="s">
        <v>171</v>
      </c>
      <c r="I13" s="73">
        <v>80</v>
      </c>
    </row>
    <row r="14" spans="3:11">
      <c r="C14" s="74">
        <v>4</v>
      </c>
      <c r="D14" s="74">
        <v>243.55770000000001</v>
      </c>
      <c r="E14" s="74">
        <v>369.47158400000001</v>
      </c>
      <c r="F14" s="74">
        <v>517.88396699999998</v>
      </c>
      <c r="H14" s="72" t="s">
        <v>172</v>
      </c>
      <c r="I14" s="73">
        <v>1</v>
      </c>
    </row>
    <row r="15" spans="3:11">
      <c r="C15" s="74">
        <v>5</v>
      </c>
      <c r="D15" s="74">
        <v>309.82858700000003</v>
      </c>
      <c r="E15" s="74">
        <v>447.99537800000002</v>
      </c>
      <c r="F15" s="74">
        <v>609.56385399999999</v>
      </c>
    </row>
    <row r="16" spans="3:11">
      <c r="C16" s="74">
        <v>6</v>
      </c>
      <c r="D16" s="74">
        <v>383.20923199999999</v>
      </c>
      <c r="E16" s="74">
        <v>537.18077900000003</v>
      </c>
      <c r="F16" s="74">
        <v>718.03665799999999</v>
      </c>
    </row>
    <row r="17" spans="3:6">
      <c r="C17" s="74">
        <v>7</v>
      </c>
      <c r="D17" s="74">
        <v>471.80600399999997</v>
      </c>
      <c r="E17" s="74">
        <v>650.04288799999995</v>
      </c>
      <c r="F17" s="74">
        <v>864.45063900000002</v>
      </c>
    </row>
    <row r="18" spans="3:6">
      <c r="C18" s="74">
        <v>8</v>
      </c>
      <c r="D18" s="74">
        <v>599.38298899999995</v>
      </c>
      <c r="E18" s="74">
        <v>829.81352300000003</v>
      </c>
      <c r="F18" s="74">
        <v>1129.6128349999999</v>
      </c>
    </row>
    <row r="39" spans="4:10">
      <c r="D39" s="76" t="s">
        <v>174</v>
      </c>
      <c r="E39" s="77">
        <f>1.8</f>
        <v>1.8</v>
      </c>
      <c r="I39" s="77" t="s">
        <v>174</v>
      </c>
      <c r="J39" s="77">
        <f>1.8</f>
        <v>1.8</v>
      </c>
    </row>
    <row r="40" spans="4:10">
      <c r="D40" s="76" t="s">
        <v>175</v>
      </c>
      <c r="E40" s="77">
        <f>500</f>
        <v>500</v>
      </c>
      <c r="I40" s="77" t="s">
        <v>175</v>
      </c>
      <c r="J40" s="77">
        <f>500</f>
        <v>500</v>
      </c>
    </row>
    <row r="41" spans="4:10">
      <c r="D41" s="78"/>
      <c r="E41" s="58"/>
    </row>
    <row r="42" spans="4:10">
      <c r="D42" s="78"/>
      <c r="E42" s="58"/>
    </row>
    <row r="43" spans="4:10">
      <c r="D43" s="78"/>
      <c r="E43" s="58"/>
    </row>
    <row r="44" spans="4:10">
      <c r="D44" s="58">
        <f>-LN(1-0.14685477)</f>
        <v>0.15882548806944419</v>
      </c>
      <c r="E44" s="79" t="str">
        <f ca="1">_xlfn.FORMULATEXT(D44)</f>
        <v>=-LN(1-0.14685477)</v>
      </c>
      <c r="I44" s="58">
        <f>-LN(1-0.5382)</f>
        <v>0.77262338206174208</v>
      </c>
      <c r="J44" s="79" t="str">
        <f ca="1">_xlfn.FORMULATEXT(I44)</f>
        <v>=-LN(1-0.5382)</v>
      </c>
    </row>
    <row r="45" spans="4:10">
      <c r="D45" s="58">
        <f>(D44)^(1/E39)*E40</f>
        <v>179.90232718200147</v>
      </c>
      <c r="E45" s="79" t="str">
        <f ca="1">_xlfn.FORMULATEXT(D45)</f>
        <v>=(D44)^(1/E39)*E40</v>
      </c>
      <c r="I45" s="58">
        <f>(I44)^(1/E39)*E40</f>
        <v>433.24136892837242</v>
      </c>
      <c r="J45" s="79" t="str">
        <f ca="1">_xlfn.FORMULATEXT(I45)</f>
        <v>=(I44)^(1/E39)*E40</v>
      </c>
    </row>
  </sheetData>
  <mergeCells count="2">
    <mergeCell ref="C9:F9"/>
    <mergeCell ref="H9:I9"/>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8" tint="-0.249977111117893"/>
  </sheetPr>
  <dimension ref="C2:S61"/>
  <sheetViews>
    <sheetView topLeftCell="B1" workbookViewId="0">
      <selection activeCell="Q11" sqref="Q11"/>
    </sheetView>
  </sheetViews>
  <sheetFormatPr defaultRowHeight="12.75"/>
  <cols>
    <col min="1" max="16384" width="9.140625" style="80"/>
  </cols>
  <sheetData>
    <row r="2" spans="3:19" ht="18">
      <c r="D2" s="82" t="s">
        <v>30</v>
      </c>
      <c r="L2" s="83" t="s">
        <v>251</v>
      </c>
      <c r="M2"/>
      <c r="N2"/>
      <c r="O2"/>
      <c r="P2"/>
      <c r="Q2"/>
      <c r="R2"/>
      <c r="S2"/>
    </row>
    <row r="3" spans="3:19" ht="18">
      <c r="L3" s="83" t="s">
        <v>252</v>
      </c>
      <c r="M3"/>
      <c r="N3"/>
      <c r="O3"/>
      <c r="P3"/>
      <c r="Q3"/>
      <c r="R3"/>
      <c r="S3"/>
    </row>
    <row r="4" spans="3:19" ht="18.75" thickBot="1">
      <c r="L4" s="84" t="s">
        <v>253</v>
      </c>
      <c r="M4"/>
      <c r="N4"/>
      <c r="O4"/>
      <c r="P4"/>
      <c r="Q4"/>
      <c r="R4"/>
      <c r="S4"/>
    </row>
    <row r="5" spans="3:19" ht="18.75" thickBot="1">
      <c r="E5" s="80" t="s">
        <v>203</v>
      </c>
      <c r="L5" s="631" t="s">
        <v>204</v>
      </c>
      <c r="M5" s="632"/>
      <c r="N5" s="632"/>
      <c r="O5" s="632"/>
      <c r="P5" s="632"/>
      <c r="Q5" s="632"/>
      <c r="R5" s="632"/>
      <c r="S5" s="633"/>
    </row>
    <row r="6" spans="3:19" ht="22.5" customHeight="1" thickBot="1">
      <c r="C6" s="630" t="s">
        <v>204</v>
      </c>
      <c r="D6" s="630"/>
      <c r="E6" s="630"/>
      <c r="F6" s="630"/>
      <c r="G6" s="630"/>
      <c r="H6" s="630"/>
      <c r="I6" s="630"/>
      <c r="J6" s="630"/>
      <c r="L6" s="85">
        <v>795</v>
      </c>
      <c r="M6" s="86">
        <v>2363</v>
      </c>
      <c r="N6" s="86">
        <v>3204</v>
      </c>
      <c r="O6" s="86">
        <v>3825</v>
      </c>
      <c r="P6" s="86">
        <v>4382</v>
      </c>
      <c r="Q6" s="86">
        <v>4709</v>
      </c>
      <c r="R6" s="86">
        <v>5236</v>
      </c>
      <c r="S6" s="86">
        <v>5981</v>
      </c>
    </row>
    <row r="7" spans="3:19" ht="18.75" thickBot="1">
      <c r="C7" s="81">
        <v>795</v>
      </c>
      <c r="D7" s="81">
        <v>2363</v>
      </c>
      <c r="E7" s="81">
        <v>3204</v>
      </c>
      <c r="F7" s="81">
        <v>3825</v>
      </c>
      <c r="G7" s="81">
        <v>4382</v>
      </c>
      <c r="H7" s="81">
        <v>4709</v>
      </c>
      <c r="I7" s="81">
        <v>5236</v>
      </c>
      <c r="J7" s="81">
        <v>5981</v>
      </c>
      <c r="L7" s="87">
        <v>1132</v>
      </c>
      <c r="M7" s="86">
        <v>2363</v>
      </c>
      <c r="N7" s="86">
        <v>3352</v>
      </c>
      <c r="O7" s="86">
        <v>3867</v>
      </c>
      <c r="P7" s="86">
        <v>4441</v>
      </c>
      <c r="Q7" s="86">
        <v>4763</v>
      </c>
      <c r="R7" s="86">
        <v>5517</v>
      </c>
      <c r="S7" s="86">
        <v>5988</v>
      </c>
    </row>
    <row r="8" spans="3:19" ht="18.75" thickBot="1">
      <c r="C8" s="81">
        <v>1132</v>
      </c>
      <c r="D8" s="81">
        <v>2363</v>
      </c>
      <c r="E8" s="81">
        <v>3352</v>
      </c>
      <c r="F8" s="81">
        <v>3867</v>
      </c>
      <c r="G8" s="81">
        <v>4441</v>
      </c>
      <c r="H8" s="81">
        <v>4763</v>
      </c>
      <c r="I8" s="81">
        <v>5517</v>
      </c>
      <c r="J8" s="81">
        <v>5988</v>
      </c>
      <c r="L8" s="87">
        <v>1388</v>
      </c>
      <c r="M8" s="86">
        <v>2457</v>
      </c>
      <c r="N8" s="86">
        <v>3363</v>
      </c>
      <c r="O8" s="86">
        <v>3931</v>
      </c>
      <c r="P8" s="86">
        <v>4468</v>
      </c>
      <c r="Q8" s="86">
        <v>4802</v>
      </c>
      <c r="R8" s="86">
        <v>5685</v>
      </c>
      <c r="S8" s="86">
        <v>6026</v>
      </c>
    </row>
    <row r="9" spans="3:19" ht="18.75" thickBot="1">
      <c r="C9" s="81">
        <v>1388</v>
      </c>
      <c r="D9" s="81">
        <v>2457</v>
      </c>
      <c r="E9" s="81">
        <v>3363</v>
      </c>
      <c r="F9" s="81">
        <v>3931</v>
      </c>
      <c r="G9" s="81">
        <v>4468</v>
      </c>
      <c r="H9" s="81">
        <v>4802</v>
      </c>
      <c r="I9" s="81">
        <v>5685</v>
      </c>
      <c r="J9" s="81">
        <v>6026</v>
      </c>
      <c r="L9" s="87">
        <v>1543</v>
      </c>
      <c r="M9" s="86">
        <v>2650</v>
      </c>
      <c r="N9" s="86">
        <v>3432</v>
      </c>
      <c r="O9" s="86">
        <v>4083</v>
      </c>
      <c r="P9" s="86">
        <v>4514</v>
      </c>
      <c r="Q9" s="86">
        <v>4863</v>
      </c>
      <c r="R9" s="86">
        <v>5696</v>
      </c>
      <c r="S9" s="86">
        <v>6062</v>
      </c>
    </row>
    <row r="10" spans="3:19" ht="18.75" thickBot="1">
      <c r="C10" s="81">
        <v>1543</v>
      </c>
      <c r="D10" s="81">
        <v>2650</v>
      </c>
      <c r="E10" s="81">
        <v>3432</v>
      </c>
      <c r="F10" s="81">
        <v>4083</v>
      </c>
      <c r="G10" s="81">
        <v>4514</v>
      </c>
      <c r="H10" s="81">
        <v>4863</v>
      </c>
      <c r="I10" s="81">
        <v>5696</v>
      </c>
      <c r="J10" s="81">
        <v>6062</v>
      </c>
      <c r="L10" s="87">
        <v>1896</v>
      </c>
      <c r="M10" s="86">
        <v>2688</v>
      </c>
      <c r="N10" s="86">
        <v>3570</v>
      </c>
      <c r="O10" s="86">
        <v>4124</v>
      </c>
      <c r="P10" s="86">
        <v>4541</v>
      </c>
      <c r="Q10" s="86">
        <v>4942</v>
      </c>
      <c r="R10" s="86">
        <v>5750</v>
      </c>
      <c r="S10" s="86">
        <v>6071</v>
      </c>
    </row>
    <row r="11" spans="3:19" ht="18.75" thickBot="1">
      <c r="C11" s="81">
        <v>1896</v>
      </c>
      <c r="D11" s="81">
        <v>2688</v>
      </c>
      <c r="E11" s="81">
        <v>3570</v>
      </c>
      <c r="F11" s="81">
        <v>4124</v>
      </c>
      <c r="G11" s="81">
        <v>4541</v>
      </c>
      <c r="H11" s="81">
        <v>4942</v>
      </c>
      <c r="I11" s="81">
        <v>5750</v>
      </c>
      <c r="J11" s="81">
        <v>6071</v>
      </c>
      <c r="L11" s="87">
        <v>1972</v>
      </c>
      <c r="M11" s="86">
        <v>3005</v>
      </c>
      <c r="N11" s="86">
        <v>3604</v>
      </c>
      <c r="O11" s="86">
        <v>4168</v>
      </c>
      <c r="P11" s="86">
        <v>4542</v>
      </c>
      <c r="Q11" s="86">
        <v>4943</v>
      </c>
      <c r="R11" s="86">
        <v>5838</v>
      </c>
      <c r="S11" s="86">
        <v>6175</v>
      </c>
    </row>
    <row r="12" spans="3:19" ht="18.75" thickBot="1">
      <c r="C12" s="81">
        <v>1972</v>
      </c>
      <c r="D12" s="81">
        <v>3005</v>
      </c>
      <c r="E12" s="81">
        <v>3604</v>
      </c>
      <c r="F12" s="81">
        <v>4168</v>
      </c>
      <c r="G12" s="81">
        <v>4542</v>
      </c>
      <c r="H12" s="81">
        <v>4943</v>
      </c>
      <c r="I12" s="81">
        <v>5838</v>
      </c>
      <c r="J12" s="81">
        <v>6175</v>
      </c>
      <c r="L12" s="87">
        <v>1980</v>
      </c>
      <c r="M12" s="86">
        <v>3166</v>
      </c>
      <c r="N12" s="86">
        <v>3639</v>
      </c>
      <c r="O12" s="86">
        <v>4198</v>
      </c>
      <c r="P12" s="86">
        <v>4563</v>
      </c>
      <c r="Q12" s="86">
        <v>4991</v>
      </c>
      <c r="R12" s="86">
        <v>5863</v>
      </c>
      <c r="S12" s="86">
        <v>6189</v>
      </c>
    </row>
    <row r="13" spans="3:19" ht="18.75" thickBot="1">
      <c r="C13" s="81">
        <v>1980</v>
      </c>
      <c r="D13" s="81">
        <v>3166</v>
      </c>
      <c r="E13" s="81">
        <v>3639</v>
      </c>
      <c r="F13" s="81">
        <v>4198</v>
      </c>
      <c r="G13" s="81">
        <v>4563</v>
      </c>
      <c r="H13" s="81">
        <v>4991</v>
      </c>
      <c r="I13" s="81">
        <v>5863</v>
      </c>
      <c r="J13" s="81">
        <v>6189</v>
      </c>
      <c r="L13" s="87">
        <v>2077</v>
      </c>
      <c r="M13" s="86">
        <v>3191</v>
      </c>
      <c r="N13" s="86">
        <v>3715</v>
      </c>
      <c r="O13" s="86">
        <v>4242</v>
      </c>
      <c r="P13" s="86">
        <v>4567</v>
      </c>
      <c r="Q13" s="86">
        <v>5042</v>
      </c>
      <c r="R13" s="86">
        <v>5891</v>
      </c>
      <c r="S13" s="86">
        <v>6422</v>
      </c>
    </row>
    <row r="14" spans="3:19" ht="18.75" thickBot="1">
      <c r="C14" s="81">
        <v>2077</v>
      </c>
      <c r="D14" s="81">
        <v>3191</v>
      </c>
      <c r="E14" s="81">
        <v>3715</v>
      </c>
      <c r="F14" s="81">
        <v>4242</v>
      </c>
      <c r="G14" s="81">
        <v>4567</v>
      </c>
      <c r="H14" s="81">
        <v>5042</v>
      </c>
      <c r="I14" s="81">
        <v>5891</v>
      </c>
      <c r="J14" s="81">
        <v>6422</v>
      </c>
      <c r="L14" s="88">
        <v>2220</v>
      </c>
      <c r="M14" s="86">
        <v>3201</v>
      </c>
      <c r="N14" s="86">
        <v>3785</v>
      </c>
      <c r="O14" s="86">
        <v>4367</v>
      </c>
      <c r="P14" s="86">
        <v>4690</v>
      </c>
      <c r="Q14" s="86">
        <v>5232</v>
      </c>
      <c r="R14" s="86">
        <v>5937</v>
      </c>
      <c r="S14" s="89"/>
    </row>
    <row r="15" spans="3:19" ht="18">
      <c r="C15" s="81">
        <v>2220</v>
      </c>
      <c r="D15" s="81">
        <v>3201</v>
      </c>
      <c r="E15" s="81">
        <v>3785</v>
      </c>
      <c r="F15" s="81">
        <v>3785</v>
      </c>
      <c r="G15" s="81">
        <v>4690</v>
      </c>
      <c r="H15" s="81">
        <v>5232</v>
      </c>
      <c r="I15" s="81">
        <v>5937</v>
      </c>
      <c r="J15" s="81"/>
      <c r="L15" s="83" t="s">
        <v>254</v>
      </c>
      <c r="M15"/>
      <c r="N15"/>
      <c r="O15"/>
      <c r="P15"/>
      <c r="Q15"/>
      <c r="R15"/>
      <c r="S15"/>
    </row>
    <row r="16" spans="3:19" ht="15">
      <c r="L16" s="90" t="s">
        <v>255</v>
      </c>
      <c r="M16"/>
      <c r="N16"/>
      <c r="O16"/>
      <c r="P16"/>
      <c r="Q16"/>
      <c r="R16"/>
      <c r="S16"/>
    </row>
    <row r="17" spans="12:19" ht="18">
      <c r="L17" s="83" t="s">
        <v>256</v>
      </c>
      <c r="M17"/>
      <c r="N17"/>
      <c r="O17"/>
      <c r="P17"/>
      <c r="Q17"/>
      <c r="R17"/>
      <c r="S17"/>
    </row>
    <row r="18" spans="12:19" ht="18">
      <c r="L18" s="83" t="s">
        <v>257</v>
      </c>
      <c r="M18"/>
      <c r="N18"/>
      <c r="O18"/>
      <c r="P18"/>
      <c r="Q18"/>
      <c r="R18"/>
      <c r="S18"/>
    </row>
    <row r="19" spans="12:19" ht="15">
      <c r="L19"/>
      <c r="M19"/>
      <c r="N19"/>
      <c r="O19"/>
      <c r="P19"/>
      <c r="Q19"/>
      <c r="R19"/>
      <c r="S19"/>
    </row>
    <row r="20" spans="12:19" ht="18">
      <c r="L20" s="83" t="s">
        <v>258</v>
      </c>
      <c r="M20"/>
      <c r="N20"/>
      <c r="O20"/>
      <c r="P20"/>
      <c r="Q20"/>
      <c r="R20"/>
      <c r="S20"/>
    </row>
    <row r="21" spans="12:19" ht="15">
      <c r="L21"/>
      <c r="M21"/>
      <c r="N21"/>
      <c r="O21"/>
      <c r="P21"/>
      <c r="Q21"/>
      <c r="R21"/>
      <c r="S21"/>
    </row>
    <row r="22" spans="12:19" ht="18">
      <c r="L22" s="83" t="s">
        <v>259</v>
      </c>
      <c r="M22"/>
      <c r="N22"/>
      <c r="O22"/>
      <c r="P22"/>
      <c r="Q22"/>
      <c r="R22"/>
      <c r="S22"/>
    </row>
    <row r="23" spans="12:19" ht="15">
      <c r="L23"/>
      <c r="M23"/>
      <c r="N23"/>
      <c r="O23"/>
      <c r="P23"/>
      <c r="Q23"/>
      <c r="R23"/>
      <c r="S23"/>
    </row>
    <row r="24" spans="12:19" ht="18">
      <c r="L24" s="83" t="s">
        <v>260</v>
      </c>
      <c r="M24"/>
      <c r="N24"/>
      <c r="O24"/>
      <c r="P24"/>
      <c r="Q24"/>
      <c r="R24"/>
      <c r="S24"/>
    </row>
    <row r="25" spans="12:19" ht="18">
      <c r="L25" s="83" t="s">
        <v>261</v>
      </c>
      <c r="M25"/>
      <c r="N25"/>
      <c r="O25"/>
      <c r="P25"/>
      <c r="Q25"/>
      <c r="R25"/>
      <c r="S25"/>
    </row>
    <row r="26" spans="12:19" ht="18">
      <c r="L26" s="91" t="s">
        <v>262</v>
      </c>
      <c r="M26"/>
      <c r="N26"/>
      <c r="O26"/>
      <c r="P26"/>
      <c r="Q26"/>
      <c r="R26"/>
      <c r="S26"/>
    </row>
    <row r="27" spans="12:19" ht="18">
      <c r="L27" s="83" t="s">
        <v>263</v>
      </c>
      <c r="M27"/>
      <c r="N27"/>
      <c r="O27"/>
      <c r="P27"/>
      <c r="Q27"/>
      <c r="R27"/>
      <c r="S27"/>
    </row>
    <row r="28" spans="12:19" ht="18">
      <c r="L28" s="91" t="s">
        <v>264</v>
      </c>
      <c r="M28"/>
      <c r="N28"/>
      <c r="O28"/>
      <c r="P28"/>
      <c r="Q28"/>
      <c r="R28"/>
      <c r="S28"/>
    </row>
    <row r="29" spans="12:19" ht="18">
      <c r="L29" s="83" t="s">
        <v>265</v>
      </c>
      <c r="M29"/>
      <c r="N29"/>
      <c r="O29"/>
      <c r="P29"/>
      <c r="Q29"/>
      <c r="R29"/>
      <c r="S29"/>
    </row>
    <row r="30" spans="12:19" ht="18">
      <c r="L30" s="91" t="s">
        <v>266</v>
      </c>
      <c r="M30"/>
      <c r="N30"/>
      <c r="O30"/>
      <c r="P30"/>
      <c r="Q30"/>
      <c r="R30"/>
      <c r="S30"/>
    </row>
    <row r="31" spans="12:19" ht="18">
      <c r="L31" s="83" t="s">
        <v>267</v>
      </c>
      <c r="M31"/>
      <c r="N31"/>
      <c r="O31"/>
      <c r="P31"/>
      <c r="Q31"/>
      <c r="R31"/>
      <c r="S31"/>
    </row>
    <row r="32" spans="12:19" ht="18">
      <c r="L32" s="91" t="s">
        <v>268</v>
      </c>
      <c r="M32"/>
      <c r="N32"/>
      <c r="O32"/>
      <c r="P32"/>
      <c r="Q32"/>
      <c r="R32"/>
      <c r="S32"/>
    </row>
    <row r="33" spans="12:19" ht="18">
      <c r="L33" s="83" t="s">
        <v>269</v>
      </c>
      <c r="M33"/>
      <c r="N33"/>
      <c r="O33"/>
      <c r="P33"/>
      <c r="Q33"/>
      <c r="R33"/>
      <c r="S33"/>
    </row>
    <row r="34" spans="12:19" ht="18">
      <c r="L34" s="91" t="s">
        <v>270</v>
      </c>
      <c r="M34"/>
      <c r="N34"/>
      <c r="O34"/>
      <c r="P34"/>
      <c r="Q34"/>
      <c r="R34"/>
      <c r="S34"/>
    </row>
    <row r="35" spans="12:19" ht="18">
      <c r="L35" s="83" t="s">
        <v>271</v>
      </c>
      <c r="M35"/>
      <c r="N35"/>
      <c r="O35"/>
      <c r="P35"/>
      <c r="Q35"/>
      <c r="R35"/>
      <c r="S35"/>
    </row>
    <row r="36" spans="12:19" ht="18">
      <c r="L36" s="83" t="s">
        <v>272</v>
      </c>
      <c r="M36"/>
      <c r="N36"/>
      <c r="O36"/>
      <c r="P36"/>
      <c r="Q36"/>
      <c r="R36"/>
      <c r="S36"/>
    </row>
    <row r="37" spans="12:19" ht="15">
      <c r="L37"/>
      <c r="M37"/>
      <c r="N37"/>
      <c r="O37"/>
      <c r="P37"/>
      <c r="Q37"/>
      <c r="R37"/>
      <c r="S37"/>
    </row>
    <row r="38" spans="12:19" ht="18">
      <c r="L38" s="83" t="s">
        <v>273</v>
      </c>
      <c r="M38"/>
      <c r="N38"/>
      <c r="O38"/>
      <c r="P38"/>
      <c r="Q38"/>
      <c r="R38"/>
      <c r="S38"/>
    </row>
    <row r="39" spans="12:19" ht="18.75" thickBot="1">
      <c r="L39" s="84" t="s">
        <v>274</v>
      </c>
      <c r="M39"/>
      <c r="N39"/>
      <c r="O39"/>
      <c r="P39"/>
      <c r="Q39"/>
      <c r="R39"/>
      <c r="S39"/>
    </row>
    <row r="40" spans="12:19" ht="36">
      <c r="L40" s="634" t="s">
        <v>275</v>
      </c>
      <c r="M40" s="92" t="s">
        <v>276</v>
      </c>
      <c r="N40" s="92" t="s">
        <v>278</v>
      </c>
      <c r="O40" s="92" t="s">
        <v>280</v>
      </c>
      <c r="P40"/>
      <c r="Q40"/>
      <c r="R40"/>
      <c r="S40"/>
    </row>
    <row r="41" spans="12:19" ht="54.75" thickBot="1">
      <c r="L41" s="635"/>
      <c r="M41" s="93" t="s">
        <v>277</v>
      </c>
      <c r="N41" s="93" t="s">
        <v>279</v>
      </c>
      <c r="O41" s="93" t="s">
        <v>275</v>
      </c>
      <c r="P41"/>
      <c r="Q41"/>
      <c r="R41"/>
      <c r="S41"/>
    </row>
    <row r="42" spans="12:19" ht="18.75" thickBot="1">
      <c r="L42" s="85">
        <v>10</v>
      </c>
      <c r="M42" s="89">
        <v>25</v>
      </c>
      <c r="N42" s="89">
        <v>225</v>
      </c>
      <c r="O42" s="89">
        <v>10</v>
      </c>
      <c r="P42"/>
      <c r="Q42"/>
      <c r="R42"/>
      <c r="S42"/>
    </row>
    <row r="43" spans="12:19" ht="18.75" thickBot="1">
      <c r="L43" s="94">
        <v>15</v>
      </c>
      <c r="M43" s="89">
        <v>50</v>
      </c>
      <c r="N43" s="89">
        <v>450</v>
      </c>
      <c r="O43" s="89">
        <v>25</v>
      </c>
      <c r="P43"/>
      <c r="Q43"/>
      <c r="R43"/>
      <c r="S43"/>
    </row>
    <row r="44" spans="12:19" ht="18.75" thickBot="1">
      <c r="L44" s="94">
        <v>40</v>
      </c>
      <c r="M44" s="89">
        <v>100</v>
      </c>
      <c r="N44" s="89">
        <v>900</v>
      </c>
      <c r="O44" s="89">
        <v>65</v>
      </c>
      <c r="P44"/>
      <c r="Q44"/>
      <c r="R44"/>
      <c r="S44"/>
    </row>
    <row r="45" spans="12:19" ht="18.75" thickBot="1">
      <c r="L45" s="94">
        <v>20</v>
      </c>
      <c r="M45" s="89">
        <v>250</v>
      </c>
      <c r="N45" s="86">
        <v>2250</v>
      </c>
      <c r="O45" s="89">
        <v>85</v>
      </c>
      <c r="P45"/>
      <c r="Q45"/>
      <c r="R45"/>
      <c r="S45"/>
    </row>
    <row r="46" spans="12:19" ht="18.75" thickBot="1">
      <c r="L46" s="94">
        <v>15</v>
      </c>
      <c r="M46" s="89">
        <v>700</v>
      </c>
      <c r="N46" s="86">
        <v>6300</v>
      </c>
      <c r="O46" s="89">
        <v>99</v>
      </c>
      <c r="P46"/>
      <c r="Q46"/>
      <c r="R46"/>
      <c r="S46"/>
    </row>
    <row r="47" spans="12:19" ht="18">
      <c r="L47" s="83" t="s">
        <v>281</v>
      </c>
      <c r="M47"/>
      <c r="N47"/>
      <c r="O47"/>
      <c r="P47"/>
      <c r="Q47"/>
      <c r="R47"/>
      <c r="S47"/>
    </row>
    <row r="48" spans="12:19" ht="18">
      <c r="L48" s="83" t="s">
        <v>282</v>
      </c>
      <c r="M48"/>
      <c r="N48"/>
      <c r="O48"/>
      <c r="P48"/>
      <c r="Q48"/>
      <c r="R48"/>
      <c r="S48"/>
    </row>
    <row r="49" spans="12:19" ht="18">
      <c r="L49" s="83" t="s">
        <v>283</v>
      </c>
      <c r="M49"/>
      <c r="N49"/>
      <c r="O49"/>
      <c r="P49"/>
      <c r="Q49"/>
      <c r="R49"/>
      <c r="S49"/>
    </row>
    <row r="50" spans="12:19" ht="18">
      <c r="L50" s="95" t="s">
        <v>284</v>
      </c>
      <c r="M50"/>
      <c r="N50"/>
      <c r="O50"/>
      <c r="P50"/>
      <c r="Q50"/>
      <c r="R50"/>
      <c r="S50"/>
    </row>
    <row r="51" spans="12:19" ht="18">
      <c r="L51" s="95" t="s">
        <v>285</v>
      </c>
      <c r="M51"/>
      <c r="N51"/>
      <c r="O51"/>
      <c r="P51"/>
      <c r="Q51"/>
      <c r="R51"/>
      <c r="S51"/>
    </row>
    <row r="52" spans="12:19" ht="18">
      <c r="L52" s="83" t="s">
        <v>286</v>
      </c>
      <c r="M52"/>
      <c r="N52"/>
      <c r="O52"/>
      <c r="P52"/>
      <c r="Q52"/>
      <c r="R52"/>
      <c r="S52"/>
    </row>
    <row r="53" spans="12:19" ht="18.75" thickBot="1">
      <c r="L53" s="84" t="s">
        <v>287</v>
      </c>
      <c r="M53"/>
      <c r="N53"/>
      <c r="O53"/>
      <c r="P53"/>
      <c r="Q53"/>
      <c r="R53"/>
      <c r="S53"/>
    </row>
    <row r="54" spans="12:19" ht="54">
      <c r="L54" s="634"/>
      <c r="M54" s="634" t="s">
        <v>288</v>
      </c>
      <c r="N54" s="92" t="s">
        <v>289</v>
      </c>
      <c r="O54" s="92" t="s">
        <v>291</v>
      </c>
      <c r="P54" s="92" t="s">
        <v>293</v>
      </c>
      <c r="Q54" s="92" t="s">
        <v>295</v>
      </c>
      <c r="R54"/>
      <c r="S54"/>
    </row>
    <row r="55" spans="12:19" ht="54.75" thickBot="1">
      <c r="L55" s="635"/>
      <c r="M55" s="635"/>
      <c r="N55" s="93" t="s">
        <v>290</v>
      </c>
      <c r="O55" s="93" t="s">
        <v>292</v>
      </c>
      <c r="P55" s="93" t="s">
        <v>294</v>
      </c>
      <c r="Q55" s="93" t="s">
        <v>292</v>
      </c>
      <c r="R55"/>
      <c r="S55"/>
    </row>
    <row r="56" spans="12:19" ht="18.75" thickBot="1">
      <c r="L56" s="96" t="s">
        <v>296</v>
      </c>
      <c r="M56" s="89"/>
      <c r="N56" s="89"/>
      <c r="O56" s="89"/>
      <c r="P56" s="86">
        <v>5000</v>
      </c>
      <c r="Q56" s="89"/>
      <c r="R56"/>
      <c r="S56"/>
    </row>
    <row r="57" spans="12:19" ht="18.75" thickBot="1">
      <c r="L57" s="97" t="s">
        <v>297</v>
      </c>
      <c r="M57" s="98">
        <v>2.89</v>
      </c>
      <c r="N57" s="86">
        <v>4662</v>
      </c>
      <c r="O57" s="86">
        <v>3801</v>
      </c>
      <c r="P57" s="86">
        <v>4106</v>
      </c>
      <c r="Q57" s="86">
        <v>4436</v>
      </c>
      <c r="R57"/>
      <c r="S57"/>
    </row>
    <row r="58" spans="12:19" ht="18">
      <c r="L58" s="99" t="s">
        <v>298</v>
      </c>
      <c r="M58" s="626">
        <v>3.35</v>
      </c>
      <c r="N58" s="628">
        <v>5904</v>
      </c>
      <c r="O58" s="628">
        <v>4983</v>
      </c>
      <c r="P58" s="628">
        <v>5291</v>
      </c>
      <c r="Q58" s="628">
        <v>5619</v>
      </c>
      <c r="R58"/>
      <c r="S58"/>
    </row>
    <row r="59" spans="12:19" ht="18.75" thickBot="1">
      <c r="L59" s="97" t="s">
        <v>299</v>
      </c>
      <c r="M59" s="627"/>
      <c r="N59" s="629"/>
      <c r="O59" s="629"/>
      <c r="P59" s="629"/>
      <c r="Q59" s="629"/>
      <c r="R59"/>
      <c r="S59"/>
    </row>
    <row r="60" spans="12:19" ht="18.75">
      <c r="L60" s="100" t="s">
        <v>300</v>
      </c>
      <c r="M60"/>
      <c r="N60"/>
      <c r="O60"/>
      <c r="P60"/>
      <c r="Q60"/>
      <c r="R60"/>
      <c r="S60"/>
    </row>
    <row r="61" spans="12:19" ht="18">
      <c r="L61" s="83" t="s">
        <v>301</v>
      </c>
      <c r="M61"/>
      <c r="N61"/>
      <c r="O61"/>
      <c r="P61"/>
      <c r="Q61"/>
      <c r="R61"/>
      <c r="S61"/>
    </row>
  </sheetData>
  <mergeCells count="10">
    <mergeCell ref="C6:J6"/>
    <mergeCell ref="L5:S5"/>
    <mergeCell ref="L40:L41"/>
    <mergeCell ref="L54:L55"/>
    <mergeCell ref="M54:M55"/>
    <mergeCell ref="M58:M59"/>
    <mergeCell ref="N58:N59"/>
    <mergeCell ref="O58:O59"/>
    <mergeCell ref="P58:P59"/>
    <mergeCell ref="Q58:Q59"/>
  </mergeCells>
  <hyperlinks>
    <hyperlink ref="L16" r:id="rId1" display="http://weibull.reliasoft.com/" xr:uid="{00000000-0004-0000-0900-000000000000}"/>
  </hyperlinks>
  <pageMargins left="0.7" right="0.7" top="0.75" bottom="0.75" header="0.3" footer="0.3"/>
  <pageSetup orientation="portrait" r:id="rId2"/>
  <headerFooter>
    <oddHeader>&amp;CA Simple Method for Analyzing a Data Set with Unknown Suspension Times</oddHeader>
  </headerFooter>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00FF00"/>
  </sheetPr>
  <dimension ref="B2:J110"/>
  <sheetViews>
    <sheetView topLeftCell="A60" zoomScale="70" zoomScaleNormal="70" workbookViewId="0">
      <selection activeCell="F72" sqref="F72"/>
    </sheetView>
  </sheetViews>
  <sheetFormatPr defaultRowHeight="18.75"/>
  <cols>
    <col min="1" max="1" width="14.28515625" style="109" customWidth="1"/>
    <col min="2" max="2" width="34" style="109" customWidth="1"/>
    <col min="3" max="3" width="35.7109375" style="109" customWidth="1"/>
    <col min="4" max="4" width="35.28515625" style="109" customWidth="1"/>
    <col min="5" max="9" width="9.140625" style="109"/>
    <col min="10" max="10" width="12.85546875" style="109" bestFit="1" customWidth="1"/>
    <col min="11" max="16384" width="9.140625" style="109"/>
  </cols>
  <sheetData>
    <row r="2" spans="2:2">
      <c r="B2" s="108" t="s">
        <v>84</v>
      </c>
    </row>
    <row r="3" spans="2:2">
      <c r="B3" s="110" t="s">
        <v>386</v>
      </c>
    </row>
    <row r="4" spans="2:2">
      <c r="B4" s="110" t="s">
        <v>387</v>
      </c>
    </row>
    <row r="5" spans="2:2">
      <c r="B5" s="110" t="s">
        <v>388</v>
      </c>
    </row>
    <row r="6" spans="2:2">
      <c r="B6" s="108" t="s">
        <v>389</v>
      </c>
    </row>
    <row r="27" spans="2:2">
      <c r="B27" s="108" t="s">
        <v>390</v>
      </c>
    </row>
    <row r="28" spans="2:2">
      <c r="B28" s="109" t="s">
        <v>85</v>
      </c>
    </row>
    <row r="30" spans="2:2">
      <c r="B30" s="108" t="s">
        <v>86</v>
      </c>
    </row>
    <row r="31" spans="2:2">
      <c r="B31" s="109" t="s">
        <v>87</v>
      </c>
    </row>
    <row r="51" spans="2:6" ht="19.5" thickBot="1"/>
    <row r="52" spans="2:6" ht="19.5" thickBot="1">
      <c r="B52" s="638" t="s">
        <v>233</v>
      </c>
      <c r="C52" s="639"/>
      <c r="D52" s="639"/>
      <c r="E52" s="639"/>
      <c r="F52" s="640"/>
    </row>
    <row r="53" spans="2:6" ht="23.25">
      <c r="B53" s="111" t="s">
        <v>391</v>
      </c>
      <c r="C53" s="112"/>
      <c r="D53" s="112"/>
      <c r="E53" s="112"/>
      <c r="F53" s="113"/>
    </row>
    <row r="54" spans="2:6" ht="20.25">
      <c r="B54" s="114" t="s">
        <v>392</v>
      </c>
      <c r="C54" s="115"/>
      <c r="D54" s="115"/>
      <c r="E54" s="115"/>
      <c r="F54" s="116"/>
    </row>
    <row r="55" spans="2:6">
      <c r="B55" s="114" t="s">
        <v>234</v>
      </c>
      <c r="C55" s="115"/>
      <c r="D55" s="115"/>
      <c r="E55" s="115"/>
      <c r="F55" s="116"/>
    </row>
    <row r="56" spans="2:6">
      <c r="B56" s="114" t="s">
        <v>235</v>
      </c>
      <c r="C56" s="115"/>
      <c r="D56" s="115"/>
      <c r="E56" s="115"/>
      <c r="F56" s="116"/>
    </row>
    <row r="57" spans="2:6" ht="19.5" thickBot="1">
      <c r="B57" s="117" t="s">
        <v>237</v>
      </c>
      <c r="C57" s="118"/>
      <c r="D57" s="118"/>
      <c r="E57" s="118"/>
      <c r="F57" s="119"/>
    </row>
    <row r="59" spans="2:6">
      <c r="B59" s="641" t="s">
        <v>238</v>
      </c>
      <c r="C59" s="642"/>
    </row>
    <row r="60" spans="2:6">
      <c r="B60" s="120" t="s">
        <v>239</v>
      </c>
      <c r="C60" s="121" t="s">
        <v>240</v>
      </c>
    </row>
    <row r="61" spans="2:6">
      <c r="B61" s="120" t="s">
        <v>241</v>
      </c>
      <c r="C61" s="121" t="s">
        <v>242</v>
      </c>
    </row>
    <row r="62" spans="2:6">
      <c r="B62" s="120" t="s">
        <v>243</v>
      </c>
      <c r="C62" s="121">
        <v>0.53837699999999999</v>
      </c>
    </row>
    <row r="63" spans="2:6">
      <c r="B63" s="120" t="s">
        <v>244</v>
      </c>
      <c r="C63" s="121">
        <v>0.96735800000000005</v>
      </c>
    </row>
    <row r="64" spans="2:6">
      <c r="B64" s="120" t="s">
        <v>245</v>
      </c>
      <c r="C64" s="121">
        <v>174.29927499999999</v>
      </c>
    </row>
    <row r="65" spans="2:10">
      <c r="B65" s="120" t="s">
        <v>246</v>
      </c>
      <c r="C65" s="121">
        <v>5.7369999999999999E-3</v>
      </c>
    </row>
    <row r="66" spans="2:10">
      <c r="B66" s="641" t="s">
        <v>247</v>
      </c>
      <c r="C66" s="642"/>
    </row>
    <row r="67" spans="2:10" ht="27.75" customHeight="1" thickBot="1">
      <c r="B67" s="120" t="s">
        <v>248</v>
      </c>
      <c r="C67" s="122">
        <v>3256.3</v>
      </c>
    </row>
    <row r="69" spans="2:10">
      <c r="B69" s="123" t="s">
        <v>249</v>
      </c>
      <c r="C69" s="123">
        <f>1.0337</f>
        <v>1.0337000000000001</v>
      </c>
    </row>
    <row r="70" spans="2:10">
      <c r="B70" s="124" t="s">
        <v>236</v>
      </c>
      <c r="C70" s="123">
        <f>C62</f>
        <v>0.53837699999999999</v>
      </c>
    </row>
    <row r="71" spans="2:10">
      <c r="B71" s="124" t="s">
        <v>250</v>
      </c>
      <c r="C71" s="123">
        <f>C67</f>
        <v>3256.3</v>
      </c>
    </row>
    <row r="72" spans="2:10" ht="20.25">
      <c r="B72" s="124" t="s">
        <v>393</v>
      </c>
      <c r="C72" s="123">
        <f>C69*(C71)^C70</f>
        <v>80.457131633623732</v>
      </c>
      <c r="D72" s="125" t="str">
        <f ca="1">_xlfn.FORMULATEXT(C72)</f>
        <v>=C69*(C71)^C70</v>
      </c>
    </row>
    <row r="73" spans="2:10" ht="39">
      <c r="B73" s="126" t="s">
        <v>394</v>
      </c>
      <c r="C73" s="123">
        <f>C72/(1-C70)</f>
        <v>174.2918607470246</v>
      </c>
      <c r="D73" s="125" t="str">
        <f ca="1">_xlfn.FORMULATEXT(C73)</f>
        <v>=C72/(1-C70)</v>
      </c>
    </row>
    <row r="75" spans="2:10">
      <c r="C75" s="636" t="s">
        <v>366</v>
      </c>
      <c r="D75" s="637"/>
    </row>
    <row r="76" spans="2:10">
      <c r="C76" s="134" t="s">
        <v>367</v>
      </c>
      <c r="D76" s="135">
        <v>1000</v>
      </c>
    </row>
    <row r="77" spans="2:10">
      <c r="C77" s="134" t="s">
        <v>368</v>
      </c>
      <c r="D77" s="135">
        <v>1.4</v>
      </c>
    </row>
    <row r="78" spans="2:10">
      <c r="C78" s="134" t="s">
        <v>369</v>
      </c>
      <c r="D78" s="135">
        <v>0.7</v>
      </c>
      <c r="J78" s="109">
        <f>847*0.533</f>
        <v>451.45100000000002</v>
      </c>
    </row>
    <row r="79" spans="2:10">
      <c r="C79" s="134" t="s">
        <v>370</v>
      </c>
      <c r="D79" s="135">
        <v>0.95</v>
      </c>
      <c r="J79" s="109">
        <f>(J78/135)^2.127</f>
        <v>13.03577517808743</v>
      </c>
    </row>
    <row r="80" spans="2:10">
      <c r="C80" s="134" t="s">
        <v>371</v>
      </c>
      <c r="D80" s="135">
        <v>0.65</v>
      </c>
      <c r="J80" s="109">
        <f>J79*6400</f>
        <v>83428.961139759558</v>
      </c>
    </row>
    <row r="81" spans="2:4">
      <c r="C81" s="636" t="s">
        <v>372</v>
      </c>
      <c r="D81" s="637"/>
    </row>
    <row r="82" spans="2:4">
      <c r="C82" s="134" t="s">
        <v>373</v>
      </c>
      <c r="D82" s="135">
        <v>257.412195</v>
      </c>
    </row>
    <row r="83" spans="2:4">
      <c r="C83" s="134" t="s">
        <v>374</v>
      </c>
      <c r="D83" s="135">
        <v>469</v>
      </c>
    </row>
    <row r="84" spans="2:4">
      <c r="C84" s="134" t="s">
        <v>375</v>
      </c>
      <c r="D84" s="135">
        <v>1007.548708</v>
      </c>
    </row>
    <row r="85" spans="2:4">
      <c r="C85" s="134" t="s">
        <v>376</v>
      </c>
      <c r="D85" s="135">
        <v>1001.873651</v>
      </c>
    </row>
    <row r="86" spans="2:4">
      <c r="C86" s="134" t="s">
        <v>377</v>
      </c>
      <c r="D86" s="135">
        <v>25026.005622000001</v>
      </c>
    </row>
    <row r="87" spans="2:4">
      <c r="C87" s="134" t="s">
        <v>378</v>
      </c>
      <c r="D87" s="135">
        <v>26526.005622000001</v>
      </c>
    </row>
    <row r="88" spans="2:4">
      <c r="C88" s="636" t="s">
        <v>379</v>
      </c>
      <c r="D88" s="637"/>
    </row>
    <row r="89" spans="2:4">
      <c r="C89" s="134" t="s">
        <v>380</v>
      </c>
      <c r="D89" s="135">
        <v>469</v>
      </c>
    </row>
    <row r="90" spans="2:4" ht="19.5" thickBot="1">
      <c r="C90" s="136" t="s">
        <v>381</v>
      </c>
      <c r="D90" s="137">
        <v>913.03553499999998</v>
      </c>
    </row>
    <row r="92" spans="2:4">
      <c r="C92" s="125" t="s">
        <v>361</v>
      </c>
      <c r="D92" s="127">
        <f>D99</f>
        <v>469.00000000000011</v>
      </c>
    </row>
    <row r="93" spans="2:4">
      <c r="C93" s="125" t="s">
        <v>395</v>
      </c>
      <c r="D93" s="127">
        <f>1/D92</f>
        <v>2.1321961620469078E-3</v>
      </c>
    </row>
    <row r="94" spans="2:4">
      <c r="C94" s="125" t="s">
        <v>363</v>
      </c>
      <c r="D94" s="128">
        <f>(1-D79)*D93</f>
        <v>1.0660980810234549E-4</v>
      </c>
    </row>
    <row r="95" spans="2:4">
      <c r="C95" s="125" t="s">
        <v>364</v>
      </c>
      <c r="D95" s="128">
        <f>D79*D93</f>
        <v>2.0255863539445623E-3</v>
      </c>
    </row>
    <row r="96" spans="2:4" ht="19.5" thickBot="1">
      <c r="B96" s="129"/>
      <c r="C96" s="130" t="s">
        <v>365</v>
      </c>
      <c r="D96" s="131">
        <f>SUM(D94:D95)</f>
        <v>2.1321961620469078E-3</v>
      </c>
    </row>
    <row r="97" spans="2:4" ht="19.5" thickTop="1">
      <c r="B97" s="129"/>
      <c r="C97" s="132"/>
    </row>
    <row r="98" spans="2:4" ht="20.25">
      <c r="B98" s="129"/>
      <c r="C98" s="130" t="s">
        <v>396</v>
      </c>
      <c r="D98" s="127" t="s">
        <v>397</v>
      </c>
    </row>
    <row r="99" spans="2:4">
      <c r="B99" s="133"/>
      <c r="C99" s="130" t="s">
        <v>382</v>
      </c>
      <c r="D99" s="127">
        <f>(D77*D76)*(1-D79*D78)</f>
        <v>469.00000000000011</v>
      </c>
    </row>
    <row r="100" spans="2:4">
      <c r="B100" s="133"/>
      <c r="C100" s="133"/>
    </row>
    <row r="101" spans="2:4">
      <c r="B101" s="133"/>
      <c r="C101" s="130"/>
      <c r="D101" s="109">
        <f>D80-1</f>
        <v>-0.35</v>
      </c>
    </row>
    <row r="102" spans="2:4">
      <c r="B102" s="133"/>
      <c r="C102" s="133"/>
      <c r="D102" s="109">
        <f>-1/D101</f>
        <v>2.8571428571428572</v>
      </c>
    </row>
    <row r="103" spans="2:4">
      <c r="D103" s="109">
        <f>1/(D95/D93*D80)^D102</f>
        <v>3.964424110844595</v>
      </c>
    </row>
    <row r="105" spans="2:4" ht="20.25">
      <c r="C105" s="128" t="s">
        <v>398</v>
      </c>
      <c r="D105" s="109" t="s">
        <v>399</v>
      </c>
    </row>
    <row r="106" spans="2:4">
      <c r="C106" s="127" t="s">
        <v>362</v>
      </c>
      <c r="D106" s="127">
        <f>(D95*_xlfn.GAMMA(1+1/D80))^D80</f>
        <v>2.1744914761314908E-2</v>
      </c>
    </row>
    <row r="107" spans="2:4" ht="20.25">
      <c r="C107" s="128" t="s">
        <v>398</v>
      </c>
      <c r="D107" s="109">
        <f>D95/D106*D80</f>
        <v>6.054892118530196E-2</v>
      </c>
    </row>
    <row r="108" spans="2:4">
      <c r="D108" s="109">
        <f>-1/(D80-1)</f>
        <v>2.8571428571428572</v>
      </c>
    </row>
    <row r="109" spans="2:4">
      <c r="D109" s="109">
        <f>D107^D108</f>
        <v>3.3136301069953169E-4</v>
      </c>
    </row>
    <row r="110" spans="2:4">
      <c r="D110" s="109">
        <f>1/D109</f>
        <v>3017.8383455924259</v>
      </c>
    </row>
  </sheetData>
  <mergeCells count="6">
    <mergeCell ref="C75:D75"/>
    <mergeCell ref="C81:D81"/>
    <mergeCell ref="C88:D88"/>
    <mergeCell ref="B52:F52"/>
    <mergeCell ref="B59:C59"/>
    <mergeCell ref="B66:C66"/>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00E1"/>
    <pageSetUpPr fitToPage="1"/>
  </sheetPr>
  <dimension ref="B2:K145"/>
  <sheetViews>
    <sheetView topLeftCell="A117" zoomScaleNormal="100" workbookViewId="0">
      <selection activeCell="D116" sqref="D116"/>
    </sheetView>
  </sheetViews>
  <sheetFormatPr defaultRowHeight="14.25"/>
  <cols>
    <col min="1" max="2" width="9.140625" style="355"/>
    <col min="3" max="3" width="23.140625" style="355" customWidth="1"/>
    <col min="4" max="4" width="24.28515625" style="355" customWidth="1"/>
    <col min="5" max="5" width="44" style="355" customWidth="1"/>
    <col min="6" max="6" width="16.85546875" style="355" customWidth="1"/>
    <col min="7" max="7" width="18.140625" style="355" customWidth="1"/>
    <col min="8" max="8" width="9.140625" style="355"/>
    <col min="9" max="9" width="9.42578125" style="355" customWidth="1"/>
    <col min="10" max="16384" width="9.140625" style="355"/>
  </cols>
  <sheetData>
    <row r="2" spans="2:4" ht="15">
      <c r="B2" s="399" t="s">
        <v>302</v>
      </c>
    </row>
    <row r="3" spans="2:4">
      <c r="B3" s="355" t="s">
        <v>303</v>
      </c>
    </row>
    <row r="4" spans="2:4" ht="15">
      <c r="B4" s="355" t="s">
        <v>1082</v>
      </c>
    </row>
    <row r="5" spans="2:4" ht="15">
      <c r="B5" s="355" t="s">
        <v>1083</v>
      </c>
    </row>
    <row r="7" spans="2:4" ht="18">
      <c r="D7" s="402" t="s">
        <v>304</v>
      </c>
    </row>
    <row r="27" spans="3:4" ht="15">
      <c r="C27" s="643" t="s">
        <v>304</v>
      </c>
      <c r="D27" s="643"/>
    </row>
    <row r="28" spans="3:4" ht="28.5">
      <c r="C28" s="403" t="s">
        <v>305</v>
      </c>
      <c r="D28" s="404" t="s">
        <v>1084</v>
      </c>
    </row>
    <row r="29" spans="3:4" ht="28.5">
      <c r="C29" s="403" t="s">
        <v>306</v>
      </c>
      <c r="D29" s="404" t="s">
        <v>1085</v>
      </c>
    </row>
    <row r="30" spans="3:4" ht="28.5">
      <c r="C30" s="403" t="s">
        <v>307</v>
      </c>
      <c r="D30" s="404" t="s">
        <v>1086</v>
      </c>
    </row>
    <row r="31" spans="3:4" ht="28.5">
      <c r="C31" s="403" t="s">
        <v>1087</v>
      </c>
      <c r="D31" s="404" t="s">
        <v>1088</v>
      </c>
    </row>
    <row r="32" spans="3:4">
      <c r="C32" s="403" t="s">
        <v>308</v>
      </c>
      <c r="D32" s="404" t="s">
        <v>1089</v>
      </c>
    </row>
    <row r="33" spans="3:9" ht="15" thickBot="1"/>
    <row r="34" spans="3:9" ht="15">
      <c r="C34" s="437" t="s">
        <v>312</v>
      </c>
      <c r="D34" s="438"/>
      <c r="E34" s="438"/>
      <c r="F34" s="438"/>
      <c r="G34" s="438"/>
      <c r="H34" s="438"/>
      <c r="I34" s="439"/>
    </row>
    <row r="35" spans="3:9">
      <c r="C35" s="440" t="s">
        <v>309</v>
      </c>
      <c r="D35" s="441"/>
      <c r="E35" s="441"/>
      <c r="F35" s="441"/>
      <c r="G35" s="441"/>
      <c r="H35" s="441"/>
      <c r="I35" s="442"/>
    </row>
    <row r="36" spans="3:9">
      <c r="C36" s="440" t="s">
        <v>310</v>
      </c>
      <c r="D36" s="441"/>
      <c r="E36" s="441"/>
      <c r="F36" s="441"/>
      <c r="G36" s="441"/>
      <c r="H36" s="441"/>
      <c r="I36" s="442"/>
    </row>
    <row r="37" spans="3:9">
      <c r="C37" s="440"/>
      <c r="D37" s="441"/>
      <c r="E37" s="441"/>
      <c r="F37" s="441"/>
      <c r="G37" s="441"/>
      <c r="H37" s="441"/>
      <c r="I37" s="442"/>
    </row>
    <row r="38" spans="3:9" ht="18.75">
      <c r="C38" s="440" t="s">
        <v>1090</v>
      </c>
      <c r="D38" s="441"/>
      <c r="E38" s="441"/>
      <c r="F38" s="441"/>
      <c r="G38" s="441"/>
      <c r="H38" s="441"/>
      <c r="I38" s="442"/>
    </row>
    <row r="39" spans="3:9" ht="15" thickBot="1">
      <c r="C39" s="443"/>
      <c r="D39" s="444" t="s">
        <v>311</v>
      </c>
      <c r="E39" s="444"/>
      <c r="F39" s="444"/>
      <c r="G39" s="444"/>
      <c r="H39" s="444"/>
      <c r="I39" s="445"/>
    </row>
    <row r="40" spans="3:9" ht="15" thickBot="1"/>
    <row r="41" spans="3:9" ht="15">
      <c r="C41" s="437" t="s">
        <v>318</v>
      </c>
      <c r="D41" s="438"/>
      <c r="E41" s="438"/>
      <c r="F41" s="438"/>
      <c r="G41" s="438"/>
      <c r="H41" s="438"/>
      <c r="I41" s="439"/>
    </row>
    <row r="42" spans="3:9">
      <c r="C42" s="446" t="s">
        <v>313</v>
      </c>
      <c r="D42" s="441"/>
      <c r="E42" s="441"/>
      <c r="F42" s="441"/>
      <c r="G42" s="441"/>
      <c r="H42" s="441"/>
      <c r="I42" s="442"/>
    </row>
    <row r="43" spans="3:9">
      <c r="C43" s="440" t="s">
        <v>314</v>
      </c>
      <c r="D43" s="441"/>
      <c r="E43" s="441"/>
      <c r="F43" s="441"/>
      <c r="G43" s="441"/>
      <c r="H43" s="441"/>
      <c r="I43" s="442"/>
    </row>
    <row r="44" spans="3:9">
      <c r="C44" s="440" t="s">
        <v>315</v>
      </c>
      <c r="D44" s="441"/>
      <c r="E44" s="441"/>
      <c r="F44" s="441"/>
      <c r="G44" s="441"/>
      <c r="H44" s="441"/>
      <c r="I44" s="442"/>
    </row>
    <row r="45" spans="3:9">
      <c r="C45" s="440" t="s">
        <v>316</v>
      </c>
      <c r="D45" s="441"/>
      <c r="E45" s="441"/>
      <c r="F45" s="441"/>
      <c r="G45" s="441"/>
      <c r="H45" s="441"/>
      <c r="I45" s="442"/>
    </row>
    <row r="46" spans="3:9" ht="15" thickBot="1">
      <c r="C46" s="443" t="s">
        <v>317</v>
      </c>
      <c r="D46" s="444"/>
      <c r="E46" s="444"/>
      <c r="F46" s="444"/>
      <c r="G46" s="444"/>
      <c r="H46" s="444"/>
      <c r="I46" s="445"/>
    </row>
    <row r="47" spans="3:9" ht="15" thickBot="1"/>
    <row r="48" spans="3:9" ht="15">
      <c r="C48" s="416" t="s">
        <v>318</v>
      </c>
      <c r="D48" s="417"/>
      <c r="E48" s="406"/>
    </row>
    <row r="49" spans="3:11">
      <c r="C49" s="415" t="s">
        <v>319</v>
      </c>
      <c r="D49" s="408"/>
      <c r="E49" s="409"/>
    </row>
    <row r="50" spans="3:11">
      <c r="C50" s="407" t="s">
        <v>320</v>
      </c>
      <c r="D50" s="408"/>
      <c r="E50" s="409"/>
    </row>
    <row r="51" spans="3:11">
      <c r="C51" s="407" t="s">
        <v>321</v>
      </c>
      <c r="D51" s="408"/>
      <c r="E51" s="409"/>
    </row>
    <row r="52" spans="3:11" ht="15" thickBot="1">
      <c r="C52" s="410" t="s">
        <v>322</v>
      </c>
      <c r="D52" s="411"/>
      <c r="E52" s="412"/>
    </row>
    <row r="53" spans="3:11" ht="15" thickBot="1"/>
    <row r="54" spans="3:11" ht="15">
      <c r="C54" s="413" t="s">
        <v>318</v>
      </c>
      <c r="D54" s="414"/>
      <c r="E54" s="405"/>
      <c r="F54" s="405"/>
      <c r="G54" s="405"/>
      <c r="H54" s="405"/>
      <c r="I54" s="405"/>
      <c r="J54" s="405"/>
      <c r="K54" s="406"/>
    </row>
    <row r="55" spans="3:11">
      <c r="C55" s="407" t="s">
        <v>323</v>
      </c>
      <c r="D55" s="408"/>
      <c r="E55" s="408"/>
      <c r="F55" s="408"/>
      <c r="G55" s="408"/>
      <c r="H55" s="408"/>
      <c r="I55" s="408"/>
      <c r="J55" s="408"/>
      <c r="K55" s="409"/>
    </row>
    <row r="56" spans="3:11">
      <c r="C56" s="407" t="s">
        <v>324</v>
      </c>
      <c r="D56" s="408"/>
      <c r="E56" s="408"/>
      <c r="F56" s="408"/>
      <c r="G56" s="408"/>
      <c r="H56" s="408"/>
      <c r="I56" s="408"/>
      <c r="J56" s="408"/>
      <c r="K56" s="409"/>
    </row>
    <row r="57" spans="3:11" ht="15" thickBot="1">
      <c r="C57" s="410" t="s">
        <v>325</v>
      </c>
      <c r="D57" s="411"/>
      <c r="E57" s="411"/>
      <c r="F57" s="411"/>
      <c r="G57" s="411"/>
      <c r="H57" s="411"/>
      <c r="I57" s="411"/>
      <c r="J57" s="411"/>
      <c r="K57" s="412"/>
    </row>
    <row r="58" spans="3:11" ht="15" thickBot="1"/>
    <row r="59" spans="3:11" ht="15">
      <c r="C59" s="416" t="s">
        <v>318</v>
      </c>
      <c r="D59" s="417"/>
      <c r="E59" s="405"/>
      <c r="F59" s="405"/>
      <c r="G59" s="406"/>
    </row>
    <row r="60" spans="3:11">
      <c r="C60" s="415" t="s">
        <v>326</v>
      </c>
      <c r="D60" s="408"/>
      <c r="E60" s="408"/>
      <c r="F60" s="408"/>
      <c r="G60" s="409"/>
    </row>
    <row r="61" spans="3:11">
      <c r="C61" s="407" t="s">
        <v>327</v>
      </c>
      <c r="D61" s="408"/>
      <c r="E61" s="408"/>
      <c r="F61" s="408"/>
      <c r="G61" s="409"/>
    </row>
    <row r="62" spans="3:11">
      <c r="C62" s="407" t="s">
        <v>328</v>
      </c>
      <c r="D62" s="408"/>
      <c r="E62" s="408"/>
      <c r="F62" s="408"/>
      <c r="G62" s="409"/>
    </row>
    <row r="63" spans="3:11">
      <c r="C63" s="407" t="s">
        <v>329</v>
      </c>
      <c r="D63" s="408"/>
      <c r="E63" s="408"/>
      <c r="F63" s="408"/>
      <c r="G63" s="409"/>
    </row>
    <row r="64" spans="3:11">
      <c r="C64" s="415" t="s">
        <v>330</v>
      </c>
      <c r="D64" s="408"/>
      <c r="E64" s="408"/>
      <c r="F64" s="408"/>
      <c r="G64" s="409"/>
    </row>
    <row r="65" spans="3:7">
      <c r="C65" s="407" t="s">
        <v>331</v>
      </c>
      <c r="D65" s="408"/>
      <c r="E65" s="408"/>
      <c r="F65" s="408"/>
      <c r="G65" s="409"/>
    </row>
    <row r="66" spans="3:7" ht="15" thickBot="1">
      <c r="C66" s="410" t="s">
        <v>332</v>
      </c>
      <c r="D66" s="411"/>
      <c r="E66" s="411"/>
      <c r="F66" s="411"/>
      <c r="G66" s="412"/>
    </row>
    <row r="67" spans="3:7" ht="15" thickBot="1"/>
    <row r="68" spans="3:7" ht="15">
      <c r="C68" s="418" t="s">
        <v>318</v>
      </c>
      <c r="D68" s="419"/>
    </row>
    <row r="69" spans="3:7">
      <c r="C69" s="407" t="s">
        <v>333</v>
      </c>
      <c r="D69" s="409"/>
    </row>
    <row r="70" spans="3:7">
      <c r="C70" s="407" t="s">
        <v>334</v>
      </c>
      <c r="D70" s="409"/>
    </row>
    <row r="71" spans="3:7" ht="15" thickBot="1">
      <c r="C71" s="410" t="s">
        <v>335</v>
      </c>
      <c r="D71" s="412"/>
    </row>
    <row r="91" spans="3:6">
      <c r="C91" s="355" t="s">
        <v>336</v>
      </c>
    </row>
    <row r="92" spans="3:6" ht="18.75">
      <c r="C92" s="355" t="s">
        <v>1091</v>
      </c>
    </row>
    <row r="94" spans="3:6" ht="15">
      <c r="C94" s="399" t="s">
        <v>337</v>
      </c>
    </row>
    <row r="95" spans="3:6">
      <c r="C95" s="420" t="s">
        <v>338</v>
      </c>
    </row>
    <row r="96" spans="3:6" ht="16.5" customHeight="1">
      <c r="C96" s="645" t="s">
        <v>304</v>
      </c>
      <c r="D96" s="645"/>
      <c r="E96" s="645"/>
      <c r="F96" s="645"/>
    </row>
    <row r="97" spans="3:7" ht="28.5">
      <c r="C97" s="421" t="s">
        <v>305</v>
      </c>
      <c r="D97" s="422" t="s">
        <v>1084</v>
      </c>
      <c r="E97" s="422" t="s">
        <v>350</v>
      </c>
      <c r="F97" s="423">
        <f>10000</f>
        <v>10000</v>
      </c>
    </row>
    <row r="98" spans="3:7" ht="28.5">
      <c r="C98" s="403" t="s">
        <v>306</v>
      </c>
      <c r="D98" s="404" t="s">
        <v>1085</v>
      </c>
      <c r="E98" s="644" t="s">
        <v>339</v>
      </c>
      <c r="F98" s="424"/>
    </row>
    <row r="99" spans="3:7" ht="28.5">
      <c r="C99" s="403" t="s">
        <v>307</v>
      </c>
      <c r="D99" s="404" t="s">
        <v>1086</v>
      </c>
      <c r="E99" s="644"/>
      <c r="F99" s="424"/>
    </row>
    <row r="100" spans="3:7" ht="57">
      <c r="C100" s="403" t="s">
        <v>1087</v>
      </c>
      <c r="D100" s="404" t="s">
        <v>1088</v>
      </c>
      <c r="E100" s="404" t="s">
        <v>349</v>
      </c>
      <c r="F100" s="425">
        <f>0.025*0.2*0.35</f>
        <v>1.7500000000000003E-3</v>
      </c>
      <c r="G100" s="426" t="str">
        <f ca="1">_xlfn.FORMULATEXT(F100)</f>
        <v>=0.025*0.2*0.35</v>
      </c>
    </row>
    <row r="101" spans="3:7">
      <c r="C101" s="403" t="s">
        <v>308</v>
      </c>
      <c r="D101" s="404" t="s">
        <v>1089</v>
      </c>
      <c r="E101" s="427" t="s">
        <v>351</v>
      </c>
      <c r="F101" s="428">
        <f>5000</f>
        <v>5000</v>
      </c>
    </row>
    <row r="103" spans="3:7">
      <c r="C103" s="355" t="s">
        <v>340</v>
      </c>
    </row>
    <row r="104" spans="3:7">
      <c r="C104" s="355" t="s">
        <v>341</v>
      </c>
    </row>
    <row r="105" spans="3:7">
      <c r="C105" s="355" t="s">
        <v>342</v>
      </c>
      <c r="D105" s="429">
        <f>1</f>
        <v>1</v>
      </c>
    </row>
    <row r="106" spans="3:7" ht="28.5">
      <c r="C106" s="430" t="s">
        <v>343</v>
      </c>
      <c r="D106" s="369">
        <f>D105/2</f>
        <v>0.5</v>
      </c>
    </row>
    <row r="108" spans="3:7">
      <c r="C108" s="355" t="s">
        <v>344</v>
      </c>
    </row>
    <row r="109" spans="3:7">
      <c r="C109" s="355" t="s">
        <v>345</v>
      </c>
    </row>
    <row r="110" spans="3:7">
      <c r="C110" s="355" t="s">
        <v>346</v>
      </c>
    </row>
    <row r="111" spans="3:7">
      <c r="C111" s="355" t="s">
        <v>347</v>
      </c>
    </row>
    <row r="112" spans="3:7">
      <c r="C112" s="355" t="s">
        <v>348</v>
      </c>
    </row>
    <row r="114" spans="3:5" ht="18.75">
      <c r="C114" s="408" t="s">
        <v>1090</v>
      </c>
    </row>
    <row r="115" spans="3:5">
      <c r="C115" s="408" t="s">
        <v>311</v>
      </c>
    </row>
    <row r="116" spans="3:5">
      <c r="C116" s="431" t="s">
        <v>352</v>
      </c>
      <c r="D116" s="431">
        <f>PRODUCT(F97,F100,F101)</f>
        <v>87500.000000000015</v>
      </c>
      <c r="E116" s="432" t="str">
        <f ca="1">_xlfn.FORMULATEXT(D116)</f>
        <v>=PRODUCT(F97,F100,F101)</v>
      </c>
    </row>
    <row r="118" spans="3:5">
      <c r="C118" s="420" t="s">
        <v>353</v>
      </c>
    </row>
    <row r="124" spans="3:5">
      <c r="C124" s="355" t="s">
        <v>354</v>
      </c>
    </row>
    <row r="125" spans="3:5">
      <c r="C125" s="355" t="s">
        <v>355</v>
      </c>
    </row>
    <row r="126" spans="3:5">
      <c r="C126" s="355" t="s">
        <v>356</v>
      </c>
    </row>
    <row r="131" spans="3:4">
      <c r="C131" s="355" t="s">
        <v>357</v>
      </c>
    </row>
    <row r="140" spans="3:4">
      <c r="C140" s="355" t="s">
        <v>358</v>
      </c>
    </row>
    <row r="141" spans="3:4" ht="18.75">
      <c r="C141" s="355" t="s">
        <v>1091</v>
      </c>
    </row>
    <row r="142" spans="3:4">
      <c r="C142" s="433">
        <f>3577+4000+10000+3000</f>
        <v>20577</v>
      </c>
      <c r="D142" s="432" t="str">
        <f ca="1">_xlfn.FORMULATEXT(C142)</f>
        <v>=3577+4000+10000+3000</v>
      </c>
    </row>
    <row r="144" spans="3:4">
      <c r="C144" s="432" t="s">
        <v>303</v>
      </c>
      <c r="D144" s="434"/>
    </row>
    <row r="145" spans="3:5">
      <c r="C145" s="435" t="s">
        <v>359</v>
      </c>
      <c r="D145" s="436">
        <f>(D116-C142)/C142</f>
        <v>3.2523205520727032</v>
      </c>
      <c r="E145" s="355" t="s">
        <v>360</v>
      </c>
    </row>
  </sheetData>
  <mergeCells count="3">
    <mergeCell ref="C27:D27"/>
    <mergeCell ref="E98:E99"/>
    <mergeCell ref="C96:F96"/>
  </mergeCells>
  <pageMargins left="0.7" right="0.7" top="0.75" bottom="0.75" header="0.3" footer="0.3"/>
  <pageSetup scale="28" fitToWidth="0" orientation="portrait" r:id="rId1"/>
  <headerFooter>
    <oddHeader>&amp;A</oddHeader>
    <oddFooter>&amp;F</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C000"/>
  </sheetPr>
  <dimension ref="AB13"/>
  <sheetViews>
    <sheetView topLeftCell="F1" zoomScale="70" zoomScaleNormal="70" workbookViewId="0">
      <selection activeCell="AB13" sqref="AB13"/>
    </sheetView>
  </sheetViews>
  <sheetFormatPr defaultRowHeight="15"/>
  <sheetData>
    <row r="13" spans="28:28">
      <c r="AB13" s="107" t="s">
        <v>400</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C00000"/>
    <pageSetUpPr fitToPage="1"/>
  </sheetPr>
  <dimension ref="A1:B77"/>
  <sheetViews>
    <sheetView view="pageLayout" zoomScale="90" zoomScaleNormal="80" zoomScalePageLayoutView="90" workbookViewId="0">
      <selection activeCell="L14" sqref="L14"/>
    </sheetView>
  </sheetViews>
  <sheetFormatPr defaultRowHeight="14.25"/>
  <cols>
    <col min="1" max="1" width="21.28515625" style="355" customWidth="1"/>
    <col min="2" max="2" width="25" style="355" customWidth="1"/>
    <col min="3" max="16384" width="9.140625" style="355"/>
  </cols>
  <sheetData>
    <row r="1" spans="1:2" ht="15">
      <c r="A1" s="447"/>
    </row>
    <row r="2" spans="1:2">
      <c r="A2" s="397"/>
    </row>
    <row r="3" spans="1:2">
      <c r="A3" s="448" t="s">
        <v>1092</v>
      </c>
    </row>
    <row r="4" spans="1:2" ht="23.25">
      <c r="A4" s="449" t="s">
        <v>1093</v>
      </c>
    </row>
    <row r="5" spans="1:2" ht="15">
      <c r="A5" s="447"/>
    </row>
    <row r="6" spans="1:2" ht="15">
      <c r="A6" s="447"/>
    </row>
    <row r="7" spans="1:2" ht="15">
      <c r="A7" s="447" t="s">
        <v>1094</v>
      </c>
    </row>
    <row r="8" spans="1:2" ht="15.75">
      <c r="A8" s="447" t="s">
        <v>1095</v>
      </c>
    </row>
    <row r="9" spans="1:2" ht="15">
      <c r="A9" s="450"/>
    </row>
    <row r="11" spans="1:2" ht="18">
      <c r="A11" s="451" t="s">
        <v>401</v>
      </c>
    </row>
    <row r="12" spans="1:2" ht="15">
      <c r="A12" s="447" t="s">
        <v>402</v>
      </c>
    </row>
    <row r="13" spans="1:2" ht="15" thickBot="1">
      <c r="A13" s="646" t="s">
        <v>403</v>
      </c>
      <c r="B13" s="647"/>
    </row>
    <row r="14" spans="1:2" ht="32.25" thickBot="1">
      <c r="A14" s="452" t="s">
        <v>404</v>
      </c>
      <c r="B14" s="453" t="s">
        <v>405</v>
      </c>
    </row>
    <row r="15" spans="1:2" ht="15.75" thickBot="1">
      <c r="A15" s="454">
        <v>393</v>
      </c>
      <c r="B15" s="455">
        <v>6685.1119040000003</v>
      </c>
    </row>
    <row r="16" spans="1:2" ht="15.75" thickBot="1">
      <c r="A16" s="454">
        <v>408</v>
      </c>
      <c r="B16" s="455">
        <v>5730.096004</v>
      </c>
    </row>
    <row r="17" spans="1:2" ht="15.75" thickBot="1">
      <c r="A17" s="454">
        <v>423</v>
      </c>
      <c r="B17" s="455">
        <v>4775.0800200000003</v>
      </c>
    </row>
    <row r="18" spans="1:2" ht="15">
      <c r="A18" s="447"/>
    </row>
    <row r="19" spans="1:2" ht="15">
      <c r="A19" s="447" t="s">
        <v>406</v>
      </c>
    </row>
    <row r="20" spans="1:2" ht="15">
      <c r="A20" s="450"/>
    </row>
    <row r="21" spans="1:2">
      <c r="A21" s="368"/>
    </row>
    <row r="22" spans="1:2">
      <c r="A22" s="368"/>
    </row>
    <row r="24" spans="1:2" ht="15">
      <c r="A24" s="447" t="s">
        <v>52</v>
      </c>
    </row>
    <row r="25" spans="1:2" ht="15">
      <c r="A25" s="456" t="s">
        <v>1096</v>
      </c>
    </row>
    <row r="26" spans="1:2" ht="15">
      <c r="A26" s="456" t="s">
        <v>1097</v>
      </c>
    </row>
    <row r="27" spans="1:2" ht="15">
      <c r="A27" s="456" t="s">
        <v>1098</v>
      </c>
    </row>
    <row r="28" spans="1:2" ht="15">
      <c r="A28" s="447" t="s">
        <v>1099</v>
      </c>
    </row>
    <row r="29" spans="1:2" ht="15">
      <c r="A29" s="457" t="s">
        <v>1100</v>
      </c>
    </row>
    <row r="30" spans="1:2" ht="15">
      <c r="A30" s="450"/>
    </row>
    <row r="31" spans="1:2">
      <c r="A31" s="368"/>
    </row>
    <row r="32" spans="1:2">
      <c r="A32" s="368"/>
    </row>
    <row r="33" spans="1:1">
      <c r="A33" s="458"/>
    </row>
    <row r="34" spans="1:1" ht="15.75">
      <c r="A34" s="457" t="s">
        <v>1101</v>
      </c>
    </row>
    <row r="35" spans="1:1" ht="15">
      <c r="A35" s="450"/>
    </row>
    <row r="36" spans="1:1">
      <c r="A36" s="368"/>
    </row>
    <row r="37" spans="1:1">
      <c r="A37" s="368"/>
    </row>
    <row r="38" spans="1:1">
      <c r="A38" s="368"/>
    </row>
    <row r="39" spans="1:1">
      <c r="A39" s="368"/>
    </row>
    <row r="40" spans="1:1">
      <c r="A40" s="368"/>
    </row>
    <row r="41" spans="1:1">
      <c r="A41" s="368"/>
    </row>
    <row r="42" spans="1:1">
      <c r="A42" s="368"/>
    </row>
    <row r="43" spans="1:1">
      <c r="A43" s="368"/>
    </row>
    <row r="44" spans="1:1">
      <c r="A44" s="368"/>
    </row>
    <row r="45" spans="1:1">
      <c r="A45" s="368"/>
    </row>
    <row r="46" spans="1:1">
      <c r="A46" s="368"/>
    </row>
    <row r="47" spans="1:1">
      <c r="A47" s="368"/>
    </row>
    <row r="48" spans="1:1">
      <c r="A48" s="368"/>
    </row>
    <row r="49" spans="1:1">
      <c r="A49" s="368"/>
    </row>
    <row r="50" spans="1:1">
      <c r="A50" s="368"/>
    </row>
    <row r="51" spans="1:1">
      <c r="A51" s="368"/>
    </row>
    <row r="52" spans="1:1">
      <c r="A52" s="368"/>
    </row>
    <row r="53" spans="1:1">
      <c r="A53" s="368"/>
    </row>
    <row r="54" spans="1:1">
      <c r="A54" s="368"/>
    </row>
    <row r="55" spans="1:1">
      <c r="A55" s="368"/>
    </row>
    <row r="56" spans="1:1">
      <c r="A56" s="458"/>
    </row>
    <row r="57" spans="1:1" ht="15.75">
      <c r="A57" s="457" t="s">
        <v>1102</v>
      </c>
    </row>
    <row r="58" spans="1:1">
      <c r="A58" s="459"/>
    </row>
    <row r="59" spans="1:1" ht="15.75">
      <c r="A59" s="460" t="s">
        <v>1103</v>
      </c>
    </row>
    <row r="60" spans="1:1">
      <c r="A60" s="461"/>
    </row>
    <row r="61" spans="1:1" ht="15.75">
      <c r="A61" s="462" t="s">
        <v>1104</v>
      </c>
    </row>
    <row r="62" spans="1:1" ht="15.75">
      <c r="A62" s="462" t="s">
        <v>1105</v>
      </c>
    </row>
    <row r="63" spans="1:1" ht="15.75">
      <c r="A63" s="460" t="s">
        <v>1106</v>
      </c>
    </row>
    <row r="64" spans="1:1" ht="15.75">
      <c r="A64" s="457" t="s">
        <v>1107</v>
      </c>
    </row>
    <row r="65" spans="1:2" ht="15.75">
      <c r="A65" s="457" t="s">
        <v>1108</v>
      </c>
    </row>
    <row r="66" spans="1:2" ht="15.75">
      <c r="A66" s="457" t="s">
        <v>1109</v>
      </c>
    </row>
    <row r="67" spans="1:2" ht="15">
      <c r="A67" s="450"/>
    </row>
    <row r="68" spans="1:2" ht="15">
      <c r="A68" s="457" t="s">
        <v>407</v>
      </c>
    </row>
    <row r="69" spans="1:2">
      <c r="A69" s="459"/>
    </row>
    <row r="70" spans="1:2" ht="15.75">
      <c r="A70" s="463" t="s">
        <v>1110</v>
      </c>
    </row>
    <row r="71" spans="1:2" ht="15.75">
      <c r="A71" s="463" t="s">
        <v>1111</v>
      </c>
    </row>
    <row r="72" spans="1:2" ht="15.75">
      <c r="A72" s="463" t="s">
        <v>1112</v>
      </c>
    </row>
    <row r="73" spans="1:2" ht="15.75">
      <c r="A73" s="457" t="s">
        <v>1113</v>
      </c>
    </row>
    <row r="74" spans="1:2" ht="15">
      <c r="A74" s="450"/>
    </row>
    <row r="75" spans="1:2" ht="15">
      <c r="A75" s="447"/>
    </row>
    <row r="76" spans="1:2" ht="15" thickBot="1">
      <c r="A76" s="464" t="s">
        <v>408</v>
      </c>
    </row>
    <row r="77" spans="1:2" ht="15" thickBot="1">
      <c r="A77" s="465"/>
      <c r="B77" s="466" t="s">
        <v>409</v>
      </c>
    </row>
  </sheetData>
  <mergeCells count="1">
    <mergeCell ref="A13:B13"/>
  </mergeCells>
  <hyperlinks>
    <hyperlink ref="A76" r:id="rId1" display="javascript:void(0);" xr:uid="{00000000-0004-0000-0D00-000000000000}"/>
  </hyperlinks>
  <pageMargins left="0.7" right="0.7" top="0.75" bottom="0.75" header="0.3" footer="0.3"/>
  <pageSetup scale="38" fitToHeight="0" orientation="landscape" r:id="rId2"/>
  <headerFooter>
    <oddHeader>&amp;C&amp;"Arial,Regular"Equation Fit Solver</oddHeader>
  </headerFooter>
  <drawing r:id="rId3"/>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9" tint="0.39997558519241921"/>
  </sheetPr>
  <dimension ref="B1:H6"/>
  <sheetViews>
    <sheetView workbookViewId="0">
      <selection activeCell="J27" sqref="J27"/>
    </sheetView>
  </sheetViews>
  <sheetFormatPr defaultRowHeight="14.25"/>
  <cols>
    <col min="1" max="1" width="9.140625" style="1"/>
    <col min="2" max="2" width="12.7109375" style="1" customWidth="1"/>
    <col min="3" max="3" width="11.7109375" style="1" customWidth="1"/>
    <col min="4" max="5" width="9.140625" style="1"/>
    <col min="6" max="6" width="11.5703125" style="1" customWidth="1"/>
    <col min="7" max="7" width="23.42578125" style="1" customWidth="1"/>
    <col min="8" max="8" width="13.5703125" style="1" customWidth="1"/>
    <col min="9" max="16384" width="9.140625" style="1"/>
  </cols>
  <sheetData>
    <row r="1" spans="2:8" ht="15" thickBot="1"/>
    <row r="2" spans="2:8" ht="18" thickBot="1">
      <c r="B2" s="352" t="s">
        <v>1017</v>
      </c>
      <c r="C2" s="352" t="s">
        <v>1019</v>
      </c>
      <c r="D2" s="352" t="s">
        <v>1020</v>
      </c>
      <c r="E2" s="352" t="s">
        <v>781</v>
      </c>
      <c r="F2" s="352" t="s">
        <v>777</v>
      </c>
      <c r="G2" s="352" t="s">
        <v>1021</v>
      </c>
      <c r="H2" s="352" t="s">
        <v>1022</v>
      </c>
    </row>
    <row r="3" spans="2:8">
      <c r="B3" s="353" t="s">
        <v>244</v>
      </c>
      <c r="C3" s="3" t="s">
        <v>1023</v>
      </c>
      <c r="D3" s="3">
        <f>5+7+6+7+6</f>
        <v>31</v>
      </c>
      <c r="E3" s="3">
        <f>5</f>
        <v>5</v>
      </c>
      <c r="F3" s="3">
        <f>D3/E3</f>
        <v>6.2</v>
      </c>
      <c r="G3" s="3">
        <f>(D3)^2/E3</f>
        <v>192.2</v>
      </c>
      <c r="H3" s="3">
        <f>5^2+7^2+6^2+7^2+6^2</f>
        <v>195</v>
      </c>
    </row>
    <row r="4" spans="2:8">
      <c r="B4" s="3" t="s">
        <v>843</v>
      </c>
      <c r="C4" s="3" t="s">
        <v>1024</v>
      </c>
      <c r="D4" s="3">
        <f>SUM(2+0+1-2+2)</f>
        <v>3</v>
      </c>
      <c r="E4" s="3">
        <f>5</f>
        <v>5</v>
      </c>
      <c r="F4" s="3">
        <f t="shared" ref="F4:F5" si="0">D4/E4</f>
        <v>0.6</v>
      </c>
      <c r="G4" s="3">
        <f t="shared" ref="G4:G5" si="1">(D4)^2/E4</f>
        <v>1.8</v>
      </c>
      <c r="H4" s="3"/>
    </row>
    <row r="5" spans="2:8">
      <c r="B5" s="3" t="s">
        <v>1018</v>
      </c>
      <c r="C5" s="3" t="s">
        <v>1025</v>
      </c>
      <c r="D5" s="3">
        <f>SUM(1+0-2-3+0)</f>
        <v>-4</v>
      </c>
      <c r="E5" s="3">
        <f>5</f>
        <v>5</v>
      </c>
      <c r="F5" s="3">
        <f t="shared" si="0"/>
        <v>-0.8</v>
      </c>
      <c r="G5" s="3">
        <f t="shared" si="1"/>
        <v>3.2</v>
      </c>
      <c r="H5" s="3"/>
    </row>
    <row r="6" spans="2:8" ht="15" thickBot="1">
      <c r="B6" s="350" t="s">
        <v>385</v>
      </c>
      <c r="C6" s="354"/>
      <c r="D6" s="350">
        <f>SUM(D3:D5)</f>
        <v>30</v>
      </c>
      <c r="E6" s="350">
        <f>SUM(E3:E5)</f>
        <v>15</v>
      </c>
      <c r="F6" s="354"/>
      <c r="G6" s="350">
        <f>SUM(G3:G5)</f>
        <v>197.2</v>
      </c>
      <c r="H6" s="354"/>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00FF00"/>
  </sheetPr>
  <dimension ref="A1:H41"/>
  <sheetViews>
    <sheetView zoomScaleNormal="100" zoomScaleSheetLayoutView="80" workbookViewId="0">
      <selection activeCell="E20" sqref="E20"/>
    </sheetView>
  </sheetViews>
  <sheetFormatPr defaultRowHeight="12.75"/>
  <cols>
    <col min="1" max="1" width="9.140625" style="370"/>
    <col min="2" max="2" width="19.42578125" style="370" customWidth="1"/>
    <col min="3" max="3" width="27.7109375" style="370" customWidth="1"/>
    <col min="4" max="4" width="34.85546875" style="370" customWidth="1"/>
    <col min="5" max="5" width="51.28515625" style="370" customWidth="1"/>
    <col min="6" max="6" width="9.140625" style="370"/>
    <col min="7" max="7" width="25" style="370" customWidth="1"/>
    <col min="8" max="8" width="37.7109375" style="370" customWidth="1"/>
    <col min="9" max="16384" width="9.140625" style="370"/>
  </cols>
  <sheetData>
    <row r="1" spans="1:8" ht="13.5" thickBot="1"/>
    <row r="2" spans="1:8" s="371" customFormat="1" ht="13.5" thickBot="1">
      <c r="A2" s="370"/>
      <c r="B2" s="648" t="s">
        <v>413</v>
      </c>
      <c r="C2" s="649"/>
      <c r="D2" s="649"/>
      <c r="E2" s="650"/>
    </row>
    <row r="3" spans="1:8" ht="39" thickBot="1">
      <c r="B3" s="372" t="s">
        <v>1067</v>
      </c>
      <c r="C3" s="372" t="s">
        <v>410</v>
      </c>
      <c r="D3" s="373" t="s">
        <v>411</v>
      </c>
      <c r="E3" s="373" t="s">
        <v>412</v>
      </c>
      <c r="G3" s="666" t="s">
        <v>889</v>
      </c>
      <c r="H3" s="377" t="s">
        <v>890</v>
      </c>
    </row>
    <row r="4" spans="1:8" ht="26.25" thickBot="1">
      <c r="B4" s="651" t="s">
        <v>1068</v>
      </c>
      <c r="C4" s="667" t="s">
        <v>414</v>
      </c>
      <c r="D4" s="374" t="s">
        <v>415</v>
      </c>
      <c r="E4" s="375"/>
      <c r="G4" s="666"/>
      <c r="H4" s="377" t="s">
        <v>891</v>
      </c>
    </row>
    <row r="5" spans="1:8" ht="39" thickBot="1">
      <c r="B5" s="652"/>
      <c r="C5" s="668"/>
      <c r="D5" s="374" t="s">
        <v>416</v>
      </c>
      <c r="E5" s="375"/>
      <c r="G5" s="666" t="s">
        <v>892</v>
      </c>
      <c r="H5" s="377" t="s">
        <v>893</v>
      </c>
    </row>
    <row r="6" spans="1:8" ht="29.25" customHeight="1" thickBot="1">
      <c r="B6" s="652"/>
      <c r="C6" s="661"/>
      <c r="D6" s="660" t="s">
        <v>417</v>
      </c>
      <c r="E6" s="375" t="s">
        <v>418</v>
      </c>
      <c r="G6" s="666"/>
      <c r="H6" s="377" t="s">
        <v>894</v>
      </c>
    </row>
    <row r="7" spans="1:8" ht="13.5" thickBot="1">
      <c r="B7" s="652"/>
      <c r="C7" s="661"/>
      <c r="D7" s="661"/>
      <c r="E7" s="375" t="s">
        <v>419</v>
      </c>
    </row>
    <row r="8" spans="1:8" ht="13.5" thickBot="1">
      <c r="B8" s="652"/>
      <c r="C8" s="661"/>
      <c r="D8" s="661"/>
      <c r="E8" s="375" t="s">
        <v>420</v>
      </c>
    </row>
    <row r="9" spans="1:8" ht="13.5" thickBot="1">
      <c r="B9" s="652"/>
      <c r="C9" s="661"/>
      <c r="D9" s="661"/>
      <c r="E9" s="375" t="s">
        <v>421</v>
      </c>
    </row>
    <row r="10" spans="1:8" ht="13.5" thickBot="1">
      <c r="B10" s="652"/>
      <c r="C10" s="661"/>
      <c r="D10" s="662"/>
      <c r="E10" s="375" t="s">
        <v>422</v>
      </c>
    </row>
    <row r="11" spans="1:8" ht="13.5" thickBot="1">
      <c r="B11" s="652"/>
      <c r="C11" s="661"/>
      <c r="D11" s="660" t="s">
        <v>423</v>
      </c>
      <c r="E11" s="375" t="s">
        <v>424</v>
      </c>
    </row>
    <row r="12" spans="1:8" ht="13.5" thickBot="1">
      <c r="B12" s="652"/>
      <c r="C12" s="661"/>
      <c r="D12" s="661"/>
      <c r="E12" s="375" t="s">
        <v>425</v>
      </c>
    </row>
    <row r="13" spans="1:8" ht="13.5" thickBot="1">
      <c r="B13" s="653"/>
      <c r="C13" s="662"/>
      <c r="D13" s="662"/>
      <c r="E13" s="375" t="s">
        <v>426</v>
      </c>
    </row>
    <row r="14" spans="1:8" ht="13.5" thickBot="1">
      <c r="B14" s="654" t="s">
        <v>1069</v>
      </c>
      <c r="C14" s="660" t="s">
        <v>427</v>
      </c>
      <c r="D14" s="660" t="s">
        <v>428</v>
      </c>
      <c r="E14" s="375" t="s">
        <v>429</v>
      </c>
    </row>
    <row r="15" spans="1:8" ht="13.5" thickBot="1">
      <c r="B15" s="655"/>
      <c r="C15" s="661"/>
      <c r="D15" s="661"/>
      <c r="E15" s="375" t="s">
        <v>430</v>
      </c>
    </row>
    <row r="16" spans="1:8" ht="13.5" thickBot="1">
      <c r="B16" s="655"/>
      <c r="C16" s="661"/>
      <c r="D16" s="661"/>
      <c r="E16" s="375" t="s">
        <v>431</v>
      </c>
    </row>
    <row r="17" spans="2:5" ht="13.5" thickBot="1">
      <c r="B17" s="655"/>
      <c r="C17" s="661"/>
      <c r="D17" s="661"/>
      <c r="E17" s="375" t="s">
        <v>432</v>
      </c>
    </row>
    <row r="18" spans="2:5" ht="13.5" thickBot="1">
      <c r="B18" s="655"/>
      <c r="C18" s="661"/>
      <c r="D18" s="661"/>
      <c r="E18" s="375" t="s">
        <v>433</v>
      </c>
    </row>
    <row r="19" spans="2:5" ht="13.5" thickBot="1">
      <c r="B19" s="655"/>
      <c r="C19" s="661"/>
      <c r="D19" s="661"/>
      <c r="E19" s="375" t="s">
        <v>434</v>
      </c>
    </row>
    <row r="20" spans="2:5" ht="13.5" thickBot="1">
      <c r="B20" s="655"/>
      <c r="C20" s="661"/>
      <c r="D20" s="662"/>
      <c r="E20" s="375" t="s">
        <v>435</v>
      </c>
    </row>
    <row r="21" spans="2:5" ht="13.5" thickBot="1">
      <c r="B21" s="655"/>
      <c r="C21" s="661"/>
      <c r="D21" s="660" t="s">
        <v>436</v>
      </c>
      <c r="E21" s="375" t="s">
        <v>437</v>
      </c>
    </row>
    <row r="22" spans="2:5" ht="13.5" thickBot="1">
      <c r="B22" s="655"/>
      <c r="C22" s="661"/>
      <c r="D22" s="661"/>
      <c r="E22" s="375" t="s">
        <v>320</v>
      </c>
    </row>
    <row r="23" spans="2:5" ht="13.5" thickBot="1">
      <c r="B23" s="655"/>
      <c r="C23" s="662"/>
      <c r="D23" s="662"/>
      <c r="E23" s="375" t="s">
        <v>438</v>
      </c>
    </row>
    <row r="24" spans="2:5" ht="13.5" thickBot="1">
      <c r="B24" s="655"/>
      <c r="C24" s="663" t="s">
        <v>439</v>
      </c>
      <c r="D24" s="660" t="s">
        <v>440</v>
      </c>
      <c r="E24" s="375" t="s">
        <v>442</v>
      </c>
    </row>
    <row r="25" spans="2:5" ht="13.5" thickBot="1">
      <c r="B25" s="655"/>
      <c r="C25" s="664"/>
      <c r="D25" s="661"/>
      <c r="E25" s="375" t="s">
        <v>443</v>
      </c>
    </row>
    <row r="26" spans="2:5" ht="13.5" thickBot="1">
      <c r="B26" s="655"/>
      <c r="C26" s="664"/>
      <c r="D26" s="662"/>
      <c r="E26" s="375" t="s">
        <v>441</v>
      </c>
    </row>
    <row r="27" spans="2:5" ht="13.5" thickBot="1">
      <c r="B27" s="655"/>
      <c r="C27" s="664"/>
      <c r="D27" s="660" t="s">
        <v>444</v>
      </c>
      <c r="E27" s="375" t="s">
        <v>445</v>
      </c>
    </row>
    <row r="28" spans="2:5" ht="13.5" thickBot="1">
      <c r="B28" s="655"/>
      <c r="C28" s="664"/>
      <c r="D28" s="662"/>
      <c r="E28" s="375" t="s">
        <v>446</v>
      </c>
    </row>
    <row r="29" spans="2:5" ht="13.5" thickBot="1">
      <c r="B29" s="655"/>
      <c r="C29" s="664"/>
      <c r="D29" s="660" t="s">
        <v>447</v>
      </c>
      <c r="E29" s="375" t="s">
        <v>320</v>
      </c>
    </row>
    <row r="30" spans="2:5" ht="13.5" thickBot="1">
      <c r="B30" s="655"/>
      <c r="C30" s="664"/>
      <c r="D30" s="661"/>
      <c r="E30" s="375" t="s">
        <v>446</v>
      </c>
    </row>
    <row r="31" spans="2:5" ht="13.5" thickBot="1">
      <c r="B31" s="656"/>
      <c r="C31" s="665"/>
      <c r="D31" s="662"/>
      <c r="E31" s="375" t="s">
        <v>448</v>
      </c>
    </row>
    <row r="32" spans="2:5" ht="13.5" thickBot="1">
      <c r="B32" s="657" t="s">
        <v>1070</v>
      </c>
      <c r="C32" s="663" t="s">
        <v>449</v>
      </c>
      <c r="D32" s="660" t="s">
        <v>450</v>
      </c>
      <c r="E32" s="375" t="s">
        <v>320</v>
      </c>
    </row>
    <row r="33" spans="2:5" ht="13.5" thickBot="1">
      <c r="B33" s="658"/>
      <c r="C33" s="664"/>
      <c r="D33" s="661"/>
      <c r="E33" s="375" t="s">
        <v>451</v>
      </c>
    </row>
    <row r="34" spans="2:5" ht="13.5" thickBot="1">
      <c r="B34" s="658"/>
      <c r="C34" s="664"/>
      <c r="D34" s="662"/>
      <c r="E34" s="375" t="s">
        <v>452</v>
      </c>
    </row>
    <row r="35" spans="2:5" ht="13.5" thickBot="1">
      <c r="B35" s="658"/>
      <c r="C35" s="664"/>
      <c r="D35" s="660" t="s">
        <v>453</v>
      </c>
      <c r="E35" s="375" t="s">
        <v>454</v>
      </c>
    </row>
    <row r="36" spans="2:5" ht="13.5" thickBot="1">
      <c r="B36" s="658"/>
      <c r="C36" s="665"/>
      <c r="D36" s="662"/>
      <c r="E36" s="375" t="s">
        <v>320</v>
      </c>
    </row>
    <row r="37" spans="2:5" ht="13.5" thickBot="1">
      <c r="B37" s="658"/>
      <c r="C37" s="663" t="s">
        <v>455</v>
      </c>
      <c r="D37" s="660" t="s">
        <v>455</v>
      </c>
      <c r="E37" s="375" t="s">
        <v>456</v>
      </c>
    </row>
    <row r="38" spans="2:5" ht="13.5" thickBot="1">
      <c r="B38" s="658"/>
      <c r="C38" s="664"/>
      <c r="D38" s="662"/>
      <c r="E38" s="375" t="s">
        <v>457</v>
      </c>
    </row>
    <row r="39" spans="2:5" ht="13.5" thickBot="1">
      <c r="B39" s="658"/>
      <c r="C39" s="664"/>
      <c r="D39" s="660" t="s">
        <v>458</v>
      </c>
      <c r="E39" s="375" t="s">
        <v>459</v>
      </c>
    </row>
    <row r="40" spans="2:5" ht="13.5" thickBot="1">
      <c r="B40" s="659"/>
      <c r="C40" s="665"/>
      <c r="D40" s="662"/>
      <c r="E40" s="375" t="s">
        <v>460</v>
      </c>
    </row>
    <row r="41" spans="2:5" ht="13.5" thickBot="1">
      <c r="C41" s="376" t="s">
        <v>461</v>
      </c>
      <c r="D41" s="376" t="s">
        <v>462</v>
      </c>
      <c r="E41" s="375" t="s">
        <v>463</v>
      </c>
    </row>
  </sheetData>
  <mergeCells count="22">
    <mergeCell ref="G3:G4"/>
    <mergeCell ref="G5:G6"/>
    <mergeCell ref="D39:D40"/>
    <mergeCell ref="C37:C40"/>
    <mergeCell ref="D32:D34"/>
    <mergeCell ref="C4:C13"/>
    <mergeCell ref="D6:D10"/>
    <mergeCell ref="D11:D13"/>
    <mergeCell ref="D14:D20"/>
    <mergeCell ref="B2:E2"/>
    <mergeCell ref="B4:B13"/>
    <mergeCell ref="B14:B31"/>
    <mergeCell ref="B32:B40"/>
    <mergeCell ref="D21:D23"/>
    <mergeCell ref="C14:C23"/>
    <mergeCell ref="D24:D26"/>
    <mergeCell ref="D27:D28"/>
    <mergeCell ref="D29:D31"/>
    <mergeCell ref="C24:C31"/>
    <mergeCell ref="D35:D36"/>
    <mergeCell ref="C32:C36"/>
    <mergeCell ref="D37:D38"/>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EBA0B-F60F-4347-A77E-DEEB64EBF9C3}">
  <sheetPr codeName="Sheet17">
    <tabColor rgb="FF92D050"/>
  </sheetPr>
  <dimension ref="A1:E36"/>
  <sheetViews>
    <sheetView view="pageLayout" zoomScaleNormal="100" workbookViewId="0">
      <selection activeCell="D32" sqref="D32"/>
    </sheetView>
  </sheetViews>
  <sheetFormatPr defaultRowHeight="14.25"/>
  <cols>
    <col min="1" max="1" width="9.140625" style="1"/>
    <col min="2" max="2" width="34.42578125" style="1" customWidth="1"/>
    <col min="3" max="3" width="48.5703125" style="1" customWidth="1"/>
    <col min="4" max="4" width="16.85546875" style="1" customWidth="1"/>
    <col min="5" max="5" width="21.85546875" style="1" bestFit="1" customWidth="1"/>
    <col min="6" max="16384" width="9.140625" style="1"/>
  </cols>
  <sheetData>
    <row r="1" spans="1:3" ht="15">
      <c r="B1" s="23" t="s">
        <v>500</v>
      </c>
    </row>
    <row r="2" spans="1:3">
      <c r="B2" s="1" t="s">
        <v>501</v>
      </c>
    </row>
    <row r="3" spans="1:3">
      <c r="B3" s="1" t="s">
        <v>502</v>
      </c>
    </row>
    <row r="4" spans="1:3">
      <c r="B4" s="1" t="s">
        <v>503</v>
      </c>
    </row>
    <row r="5" spans="1:3">
      <c r="B5" s="1" t="s">
        <v>504</v>
      </c>
    </row>
    <row r="6" spans="1:3">
      <c r="B6" s="1" t="s">
        <v>505</v>
      </c>
    </row>
    <row r="7" spans="1:3">
      <c r="B7" s="1" t="s">
        <v>506</v>
      </c>
    </row>
    <row r="9" spans="1:3">
      <c r="B9" s="197" t="s">
        <v>507</v>
      </c>
    </row>
    <row r="11" spans="1:3">
      <c r="A11" s="198"/>
      <c r="B11" s="198" t="s">
        <v>508</v>
      </c>
      <c r="C11" s="198" t="s">
        <v>509</v>
      </c>
    </row>
    <row r="12" spans="1:3" ht="42.75">
      <c r="A12" s="199">
        <v>1</v>
      </c>
      <c r="B12" s="200" t="s">
        <v>511</v>
      </c>
      <c r="C12" s="200" t="s">
        <v>510</v>
      </c>
    </row>
    <row r="13" spans="1:3" ht="57">
      <c r="A13" s="199">
        <v>2</v>
      </c>
      <c r="B13" s="200" t="s">
        <v>512</v>
      </c>
      <c r="C13" s="200" t="s">
        <v>513</v>
      </c>
    </row>
    <row r="14" spans="1:3" ht="57">
      <c r="A14" s="199">
        <v>3</v>
      </c>
      <c r="B14" s="200" t="s">
        <v>514</v>
      </c>
      <c r="C14" s="200" t="s">
        <v>515</v>
      </c>
    </row>
    <row r="15" spans="1:3" ht="85.5">
      <c r="A15" s="199">
        <v>4</v>
      </c>
      <c r="B15" s="200" t="s">
        <v>516</v>
      </c>
      <c r="C15" s="200" t="s">
        <v>517</v>
      </c>
    </row>
    <row r="16" spans="1:3" ht="71.25">
      <c r="A16" s="199">
        <v>5</v>
      </c>
      <c r="B16" s="200" t="s">
        <v>518</v>
      </c>
      <c r="C16" s="200" t="s">
        <v>519</v>
      </c>
    </row>
    <row r="17" spans="1:5" ht="42.75">
      <c r="A17" s="199">
        <v>6</v>
      </c>
      <c r="B17" s="200" t="s">
        <v>520</v>
      </c>
      <c r="C17" s="200" t="s">
        <v>1016</v>
      </c>
    </row>
    <row r="19" spans="1:5" ht="15">
      <c r="B19" s="673" t="s">
        <v>521</v>
      </c>
      <c r="C19" s="673"/>
      <c r="D19" s="673"/>
    </row>
    <row r="20" spans="1:5" ht="15">
      <c r="B20" s="201" t="s">
        <v>508</v>
      </c>
      <c r="C20" s="669" t="s">
        <v>522</v>
      </c>
      <c r="D20" s="669"/>
    </row>
    <row r="21" spans="1:5">
      <c r="B21" s="670" t="s">
        <v>523</v>
      </c>
      <c r="C21" s="202" t="s">
        <v>524</v>
      </c>
      <c r="D21" s="203">
        <f>450*10^6</f>
        <v>450000000</v>
      </c>
    </row>
    <row r="22" spans="1:5">
      <c r="B22" s="671"/>
      <c r="C22" s="202" t="s">
        <v>525</v>
      </c>
      <c r="D22" s="202">
        <f>3</f>
        <v>3</v>
      </c>
    </row>
    <row r="23" spans="1:5">
      <c r="B23" s="672"/>
      <c r="C23" s="204" t="s">
        <v>526</v>
      </c>
      <c r="D23" s="205">
        <f>90000</f>
        <v>90000</v>
      </c>
    </row>
    <row r="24" spans="1:5" ht="28.5">
      <c r="B24" s="206" t="s">
        <v>527</v>
      </c>
      <c r="C24" s="207" t="s">
        <v>528</v>
      </c>
      <c r="D24" s="208">
        <f>D21/D23</f>
        <v>5000</v>
      </c>
    </row>
    <row r="25" spans="1:5" ht="28.5" customHeight="1">
      <c r="B25" s="674" t="s">
        <v>529</v>
      </c>
      <c r="C25" s="24" t="s">
        <v>581</v>
      </c>
    </row>
    <row r="26" spans="1:5" ht="16.5">
      <c r="B26" s="675"/>
      <c r="C26" s="24" t="s">
        <v>582</v>
      </c>
      <c r="D26" s="209">
        <f>(D24)/-(LN(0.9))^(1/D22)</f>
        <v>10586.296215623484</v>
      </c>
    </row>
    <row r="27" spans="1:5">
      <c r="B27" s="675"/>
      <c r="C27" s="210" t="s">
        <v>530</v>
      </c>
    </row>
    <row r="28" spans="1:5">
      <c r="B28" s="675"/>
      <c r="C28" s="24" t="s">
        <v>531</v>
      </c>
    </row>
    <row r="29" spans="1:5">
      <c r="B29" s="675"/>
      <c r="C29" s="24" t="s">
        <v>578</v>
      </c>
    </row>
    <row r="30" spans="1:5">
      <c r="B30" s="675"/>
      <c r="C30" s="24" t="s">
        <v>579</v>
      </c>
    </row>
    <row r="31" spans="1:5">
      <c r="B31" s="676"/>
      <c r="C31" s="198" t="s">
        <v>532</v>
      </c>
      <c r="D31" s="211"/>
    </row>
    <row r="32" spans="1:5" ht="29.25" thickBot="1">
      <c r="B32" s="349" t="s">
        <v>580</v>
      </c>
      <c r="C32" s="350" t="s">
        <v>583</v>
      </c>
      <c r="D32" s="351">
        <f>(((1500)^(2))/(D26^D22))</f>
        <v>1.8964892818408733E-6</v>
      </c>
      <c r="E32" s="209" t="s">
        <v>533</v>
      </c>
    </row>
    <row r="33" spans="2:5" ht="16.5">
      <c r="B33" s="24"/>
      <c r="C33" s="24"/>
      <c r="D33" s="212">
        <f>D32*10^6</f>
        <v>1.8964892818408732</v>
      </c>
      <c r="E33" s="213" t="s">
        <v>584</v>
      </c>
    </row>
    <row r="34" spans="2:5">
      <c r="B34" s="24"/>
      <c r="C34" s="24"/>
    </row>
    <row r="35" spans="2:5">
      <c r="B35" s="24"/>
      <c r="C35" s="24"/>
    </row>
    <row r="36" spans="2:5">
      <c r="B36" s="24"/>
      <c r="C36" s="24"/>
    </row>
  </sheetData>
  <mergeCells count="4">
    <mergeCell ref="C20:D20"/>
    <mergeCell ref="B21:B23"/>
    <mergeCell ref="B19:D19"/>
    <mergeCell ref="B25:B31"/>
  </mergeCells>
  <pageMargins left="0.7" right="0.7" top="0.75" bottom="0.75" header="0.3" footer="0.3"/>
  <pageSetup orientation="portrait" r:id="rId1"/>
  <headerFooter>
    <oddHeader>&amp;C&amp;"Arial,Regular"Physics of Failure Model</oddHead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FBFC2-01BC-4811-8EF6-85BEEC0BF6E1}">
  <sheetPr codeName="Sheet18">
    <tabColor rgb="FF00FF00"/>
  </sheetPr>
  <dimension ref="A2:Q41"/>
  <sheetViews>
    <sheetView topLeftCell="A5" zoomScale="80" zoomScaleNormal="80" workbookViewId="0">
      <selection activeCell="H34" sqref="H34"/>
    </sheetView>
  </sheetViews>
  <sheetFormatPr defaultRowHeight="15"/>
  <cols>
    <col min="1" max="1" width="16" style="517" customWidth="1"/>
    <col min="2" max="2" width="39.28515625" style="517" customWidth="1"/>
    <col min="3" max="3" width="14.7109375" style="517" customWidth="1"/>
    <col min="4" max="4" width="22.140625" style="517" customWidth="1"/>
    <col min="5" max="5" width="23.28515625" style="517" customWidth="1"/>
    <col min="6" max="6" width="16.42578125" style="517" customWidth="1"/>
    <col min="7" max="7" width="19.140625" style="517" customWidth="1"/>
    <col min="8" max="8" width="20.5703125" style="517" customWidth="1"/>
    <col min="9" max="9" width="15.140625" style="517" customWidth="1"/>
    <col min="10" max="10" width="25.5703125" style="517" customWidth="1"/>
    <col min="11" max="11" width="23.28515625" style="517" customWidth="1"/>
    <col min="12" max="12" width="21.42578125" style="517" customWidth="1"/>
    <col min="13" max="13" width="17.140625" style="517" customWidth="1"/>
    <col min="14" max="14" width="21" style="517" customWidth="1"/>
    <col min="15" max="15" width="20.5703125" style="517" customWidth="1"/>
    <col min="16" max="16" width="20.85546875" style="517" customWidth="1"/>
    <col min="17" max="17" width="17.140625" style="517" customWidth="1"/>
    <col min="18" max="16384" width="9.140625" style="517"/>
  </cols>
  <sheetData>
    <row r="2" spans="1:11" ht="25.5">
      <c r="B2" s="554" t="s">
        <v>534</v>
      </c>
      <c r="C2" s="555">
        <f>0.9</f>
        <v>0.9</v>
      </c>
      <c r="E2" s="554" t="s">
        <v>535</v>
      </c>
      <c r="F2" s="555">
        <f>0.95</f>
        <v>0.95</v>
      </c>
    </row>
    <row r="3" spans="1:11">
      <c r="B3" s="554" t="s">
        <v>536</v>
      </c>
      <c r="C3" s="555">
        <f>120</f>
        <v>120</v>
      </c>
      <c r="E3" s="554" t="s">
        <v>536</v>
      </c>
      <c r="F3" s="555">
        <f>120</f>
        <v>120</v>
      </c>
    </row>
    <row r="4" spans="1:11" ht="28.5">
      <c r="B4" s="554" t="s">
        <v>1223</v>
      </c>
      <c r="C4" s="556">
        <f>-LN(C2)/C3</f>
        <v>8.7800429714855234E-4</v>
      </c>
      <c r="E4" s="554" t="s">
        <v>1224</v>
      </c>
      <c r="F4" s="556">
        <f>-LN(F2)/F3</f>
        <v>4.2744411989625484E-4</v>
      </c>
    </row>
    <row r="5" spans="1:11">
      <c r="F5" s="557"/>
    </row>
    <row r="6" spans="1:11">
      <c r="F6" s="557"/>
    </row>
    <row r="7" spans="1:11">
      <c r="A7" s="677" t="s">
        <v>537</v>
      </c>
      <c r="B7" s="677"/>
      <c r="C7" s="677"/>
      <c r="D7" s="677"/>
      <c r="E7" s="677"/>
      <c r="F7" s="677"/>
      <c r="G7" s="677"/>
      <c r="H7" s="677"/>
      <c r="I7" s="677"/>
      <c r="J7" s="677"/>
      <c r="K7" s="677"/>
    </row>
    <row r="8" spans="1:11" ht="15.75">
      <c r="A8" s="558" t="s">
        <v>73</v>
      </c>
      <c r="B8" s="558" t="s">
        <v>538</v>
      </c>
      <c r="C8" s="558" t="s">
        <v>1225</v>
      </c>
      <c r="D8" s="558" t="s">
        <v>1226</v>
      </c>
      <c r="E8" s="558" t="s">
        <v>1227</v>
      </c>
      <c r="F8" s="558" t="s">
        <v>1228</v>
      </c>
      <c r="G8" s="558" t="s">
        <v>539</v>
      </c>
      <c r="H8" s="558" t="s">
        <v>1229</v>
      </c>
      <c r="I8" s="558" t="s">
        <v>1230</v>
      </c>
      <c r="J8" s="558" t="s">
        <v>540</v>
      </c>
      <c r="K8" s="558" t="s">
        <v>541</v>
      </c>
    </row>
    <row r="9" spans="1:11">
      <c r="A9" s="555">
        <f>1</f>
        <v>1</v>
      </c>
      <c r="B9" s="555" t="s">
        <v>542</v>
      </c>
      <c r="C9" s="559">
        <v>5</v>
      </c>
      <c r="D9" s="559">
        <v>6</v>
      </c>
      <c r="E9" s="559">
        <v>5</v>
      </c>
      <c r="F9" s="559">
        <v>5</v>
      </c>
      <c r="G9" s="559">
        <f t="shared" ref="G9:G14" si="0">AVERAGE(C9:F9)</f>
        <v>5.25</v>
      </c>
      <c r="H9" s="559">
        <f t="shared" ref="H9:H14" si="1">PRODUCT(C9:F9)</f>
        <v>750</v>
      </c>
      <c r="I9" s="560">
        <f t="shared" ref="I9:I14" si="2">$H9/$H$15</f>
        <v>9.7150259067357511E-2</v>
      </c>
      <c r="J9" s="561">
        <f t="shared" ref="J9:J14" si="3">$I9*$C$4</f>
        <v>8.5298344930235005E-5</v>
      </c>
      <c r="K9" s="562">
        <f t="shared" ref="K9:K14" si="4">1/$J9</f>
        <v>11723.556896888138</v>
      </c>
    </row>
    <row r="10" spans="1:11">
      <c r="A10" s="555">
        <f>A9+1</f>
        <v>2</v>
      </c>
      <c r="B10" s="555" t="s">
        <v>543</v>
      </c>
      <c r="C10" s="559">
        <v>7</v>
      </c>
      <c r="D10" s="559">
        <v>6</v>
      </c>
      <c r="E10" s="559">
        <v>10</v>
      </c>
      <c r="F10" s="559">
        <v>2</v>
      </c>
      <c r="G10" s="559">
        <f t="shared" si="0"/>
        <v>6.25</v>
      </c>
      <c r="H10" s="559">
        <f t="shared" si="1"/>
        <v>840</v>
      </c>
      <c r="I10" s="560">
        <f t="shared" si="2"/>
        <v>0.10880829015544041</v>
      </c>
      <c r="J10" s="561">
        <f t="shared" si="3"/>
        <v>9.5534146321863206E-5</v>
      </c>
      <c r="K10" s="562">
        <f t="shared" si="4"/>
        <v>10467.461515078696</v>
      </c>
    </row>
    <row r="11" spans="1:11">
      <c r="A11" s="555">
        <f>A10+1</f>
        <v>3</v>
      </c>
      <c r="B11" s="555" t="s">
        <v>544</v>
      </c>
      <c r="C11" s="559">
        <v>10</v>
      </c>
      <c r="D11" s="559">
        <v>10</v>
      </c>
      <c r="E11" s="559">
        <v>5</v>
      </c>
      <c r="F11" s="559">
        <v>5</v>
      </c>
      <c r="G11" s="559">
        <f t="shared" si="0"/>
        <v>7.5</v>
      </c>
      <c r="H11" s="559">
        <f t="shared" si="1"/>
        <v>2500</v>
      </c>
      <c r="I11" s="560">
        <f t="shared" si="2"/>
        <v>0.32383419689119169</v>
      </c>
      <c r="J11" s="561">
        <f t="shared" si="3"/>
        <v>2.8432781643411667E-4</v>
      </c>
      <c r="K11" s="562">
        <f t="shared" si="4"/>
        <v>3517.0670690664419</v>
      </c>
    </row>
    <row r="12" spans="1:11">
      <c r="A12" s="555">
        <f>A11+1</f>
        <v>4</v>
      </c>
      <c r="B12" s="555" t="s">
        <v>545</v>
      </c>
      <c r="C12" s="559">
        <v>8</v>
      </c>
      <c r="D12" s="559">
        <v>8</v>
      </c>
      <c r="E12" s="559">
        <v>5</v>
      </c>
      <c r="F12" s="559">
        <v>7</v>
      </c>
      <c r="G12" s="559">
        <f t="shared" si="0"/>
        <v>7</v>
      </c>
      <c r="H12" s="559">
        <f t="shared" si="1"/>
        <v>2240</v>
      </c>
      <c r="I12" s="560">
        <f t="shared" si="2"/>
        <v>0.29015544041450775</v>
      </c>
      <c r="J12" s="561">
        <f t="shared" si="3"/>
        <v>2.5475772352496855E-4</v>
      </c>
      <c r="K12" s="562">
        <f t="shared" si="4"/>
        <v>3925.2980681545109</v>
      </c>
    </row>
    <row r="13" spans="1:11">
      <c r="A13" s="555">
        <f>A12+1</f>
        <v>5</v>
      </c>
      <c r="B13" s="555" t="s">
        <v>546</v>
      </c>
      <c r="C13" s="559">
        <v>4</v>
      </c>
      <c r="D13" s="559">
        <v>2</v>
      </c>
      <c r="E13" s="559">
        <v>10</v>
      </c>
      <c r="F13" s="559">
        <v>8</v>
      </c>
      <c r="G13" s="559">
        <f t="shared" si="0"/>
        <v>6</v>
      </c>
      <c r="H13" s="559">
        <f t="shared" si="1"/>
        <v>640</v>
      </c>
      <c r="I13" s="560">
        <f t="shared" si="2"/>
        <v>8.2901554404145081E-2</v>
      </c>
      <c r="J13" s="561">
        <f t="shared" si="3"/>
        <v>7.2787921007133873E-5</v>
      </c>
      <c r="K13" s="562">
        <f t="shared" si="4"/>
        <v>13738.543238540788</v>
      </c>
    </row>
    <row r="14" spans="1:11">
      <c r="A14" s="555">
        <f>A13+1</f>
        <v>6</v>
      </c>
      <c r="B14" s="555" t="s">
        <v>547</v>
      </c>
      <c r="C14" s="559">
        <v>6</v>
      </c>
      <c r="D14" s="559">
        <v>5</v>
      </c>
      <c r="E14" s="559">
        <v>5</v>
      </c>
      <c r="F14" s="559">
        <v>5</v>
      </c>
      <c r="G14" s="559">
        <f t="shared" si="0"/>
        <v>5.25</v>
      </c>
      <c r="H14" s="559">
        <f t="shared" si="1"/>
        <v>750</v>
      </c>
      <c r="I14" s="560">
        <f t="shared" si="2"/>
        <v>9.7150259067357511E-2</v>
      </c>
      <c r="J14" s="561">
        <f t="shared" si="3"/>
        <v>8.5298344930235005E-5</v>
      </c>
      <c r="K14" s="562">
        <f t="shared" si="4"/>
        <v>11723.556896888138</v>
      </c>
    </row>
    <row r="15" spans="1:11" ht="15.75" thickBot="1">
      <c r="B15" s="563" t="s">
        <v>385</v>
      </c>
      <c r="H15" s="564">
        <f>SUM(H9:H14)</f>
        <v>7720</v>
      </c>
      <c r="I15" s="564">
        <f>SUM(I9:I14)</f>
        <v>1</v>
      </c>
      <c r="J15" s="565">
        <f>SUM(J9:J14)</f>
        <v>8.7800429714855234E-4</v>
      </c>
    </row>
    <row r="16" spans="1:11" ht="15.75" thickTop="1"/>
    <row r="18" spans="1:17">
      <c r="A18" s="566" t="s">
        <v>548</v>
      </c>
      <c r="B18" s="567"/>
      <c r="C18" s="567"/>
      <c r="D18" s="567"/>
      <c r="E18" s="567"/>
      <c r="F18" s="567"/>
      <c r="G18" s="567"/>
      <c r="H18" s="567"/>
      <c r="I18" s="567"/>
      <c r="J18" s="567"/>
      <c r="K18" s="567"/>
      <c r="L18" s="567"/>
      <c r="M18" s="567"/>
      <c r="N18" s="567"/>
      <c r="O18" s="567"/>
      <c r="P18" s="567"/>
      <c r="Q18" s="567"/>
    </row>
    <row r="19" spans="1:17" ht="28.5">
      <c r="A19" s="558" t="s">
        <v>73</v>
      </c>
      <c r="B19" s="558" t="s">
        <v>538</v>
      </c>
      <c r="C19" s="558" t="s">
        <v>1225</v>
      </c>
      <c r="D19" s="558" t="s">
        <v>1226</v>
      </c>
      <c r="E19" s="558" t="s">
        <v>1227</v>
      </c>
      <c r="F19" s="558" t="s">
        <v>1228</v>
      </c>
      <c r="G19" s="558" t="s">
        <v>539</v>
      </c>
      <c r="H19" s="558" t="s">
        <v>549</v>
      </c>
      <c r="I19" s="558" t="s">
        <v>1229</v>
      </c>
      <c r="J19" s="558" t="s">
        <v>1230</v>
      </c>
      <c r="K19" s="558" t="s">
        <v>550</v>
      </c>
      <c r="L19" s="558" t="s">
        <v>551</v>
      </c>
      <c r="M19" s="558" t="s">
        <v>552</v>
      </c>
      <c r="N19" s="558" t="s">
        <v>553</v>
      </c>
      <c r="O19" s="558" t="s">
        <v>554</v>
      </c>
      <c r="P19" s="558" t="s">
        <v>555</v>
      </c>
      <c r="Q19" s="558" t="s">
        <v>556</v>
      </c>
    </row>
    <row r="20" spans="1:17">
      <c r="A20" s="555">
        <f>1</f>
        <v>1</v>
      </c>
      <c r="B20" s="555" t="s">
        <v>542</v>
      </c>
      <c r="C20" s="559">
        <f>2</f>
        <v>2</v>
      </c>
      <c r="D20" s="559">
        <f>2</f>
        <v>2</v>
      </c>
      <c r="E20" s="559">
        <f>3</f>
        <v>3</v>
      </c>
      <c r="F20" s="559">
        <f>2</f>
        <v>2</v>
      </c>
      <c r="G20" s="559">
        <f t="shared" ref="G20:G25" si="5">AVERAGE(C20:F20)</f>
        <v>2.25</v>
      </c>
      <c r="H20" s="568">
        <f t="shared" ref="H20:H25" si="6">G20</f>
        <v>2.25</v>
      </c>
      <c r="I20" s="559">
        <f t="shared" ref="I20:I25" si="7">PRODUCT(C20:F20)</f>
        <v>24</v>
      </c>
      <c r="J20" s="560">
        <f t="shared" ref="J20:J25" si="8">$I20/$I$26</f>
        <v>2.052334530528476E-3</v>
      </c>
      <c r="K20" s="561">
        <f t="shared" ref="K20:K25" si="9">J20*$F$4</f>
        <v>8.7725832713443776E-7</v>
      </c>
      <c r="L20" s="569">
        <f t="shared" ref="L20:L25" si="10">1/EXP($K20*$C$3)</f>
        <v>0.99989473454154121</v>
      </c>
      <c r="M20" s="562">
        <f t="shared" ref="M20:M25" si="11">1/K20</f>
        <v>1139915.0843816982</v>
      </c>
      <c r="N20" s="562">
        <v>33385</v>
      </c>
      <c r="O20" s="561">
        <f t="shared" ref="O20:O25" si="12">1/N20</f>
        <v>2.9953571963456641E-5</v>
      </c>
      <c r="P20" s="562">
        <f t="shared" ref="P20:P25" si="13">M20-N20</f>
        <v>1106530.0843816982</v>
      </c>
      <c r="Q20" s="570">
        <f t="shared" ref="Q20:Q25" si="14">1/EXP($O20*$F$3)</f>
        <v>0.99641202358999015</v>
      </c>
    </row>
    <row r="21" spans="1:17">
      <c r="A21" s="555">
        <f>A20+1</f>
        <v>2</v>
      </c>
      <c r="B21" s="555" t="s">
        <v>543</v>
      </c>
      <c r="C21" s="559">
        <v>7</v>
      </c>
      <c r="D21" s="559">
        <v>6</v>
      </c>
      <c r="E21" s="559">
        <v>10</v>
      </c>
      <c r="F21" s="559">
        <v>2</v>
      </c>
      <c r="G21" s="559">
        <f t="shared" si="5"/>
        <v>6.25</v>
      </c>
      <c r="H21" s="568">
        <f t="shared" si="6"/>
        <v>6.25</v>
      </c>
      <c r="I21" s="559">
        <f t="shared" si="7"/>
        <v>840</v>
      </c>
      <c r="J21" s="560">
        <f t="shared" si="8"/>
        <v>7.1831708568496661E-2</v>
      </c>
      <c r="K21" s="561">
        <f t="shared" si="9"/>
        <v>3.0704041449705325E-5</v>
      </c>
      <c r="L21" s="569">
        <f t="shared" si="10"/>
        <v>0.99632229441205933</v>
      </c>
      <c r="M21" s="562">
        <f t="shared" si="11"/>
        <v>32569.002410905658</v>
      </c>
      <c r="N21" s="562">
        <v>18513</v>
      </c>
      <c r="O21" s="561">
        <f t="shared" si="12"/>
        <v>5.4016096796845461E-5</v>
      </c>
      <c r="P21" s="562">
        <f t="shared" si="13"/>
        <v>14056.002410905658</v>
      </c>
      <c r="Q21" s="570">
        <f t="shared" si="14"/>
        <v>0.99353903078637329</v>
      </c>
    </row>
    <row r="22" spans="1:17">
      <c r="A22" s="555">
        <f>A21+1</f>
        <v>3</v>
      </c>
      <c r="B22" s="555" t="s">
        <v>544</v>
      </c>
      <c r="C22" s="559">
        <v>10</v>
      </c>
      <c r="D22" s="559">
        <v>10</v>
      </c>
      <c r="E22" s="559">
        <f>8</f>
        <v>8</v>
      </c>
      <c r="F22" s="559">
        <f>9</f>
        <v>9</v>
      </c>
      <c r="G22" s="559">
        <f t="shared" si="5"/>
        <v>9.25</v>
      </c>
      <c r="H22" s="568">
        <f t="shared" si="6"/>
        <v>9.25</v>
      </c>
      <c r="I22" s="559">
        <f t="shared" si="7"/>
        <v>7200</v>
      </c>
      <c r="J22" s="560">
        <f t="shared" si="8"/>
        <v>0.61570035915854282</v>
      </c>
      <c r="K22" s="561">
        <f t="shared" si="9"/>
        <v>2.6317749814033136E-4</v>
      </c>
      <c r="L22" s="569">
        <f t="shared" si="10"/>
        <v>0.96891218090748088</v>
      </c>
      <c r="M22" s="562">
        <f t="shared" si="11"/>
        <v>3799.7169479389936</v>
      </c>
      <c r="N22" s="562">
        <v>7096</v>
      </c>
      <c r="O22" s="561">
        <f t="shared" si="12"/>
        <v>1.4092446448703494E-4</v>
      </c>
      <c r="P22" s="562">
        <f t="shared" si="13"/>
        <v>-3296.2830520610064</v>
      </c>
      <c r="Q22" s="570">
        <f t="shared" si="14"/>
        <v>0.98323125150066604</v>
      </c>
    </row>
    <row r="23" spans="1:17">
      <c r="A23" s="555">
        <f>A22+1</f>
        <v>4</v>
      </c>
      <c r="B23" s="555" t="s">
        <v>545</v>
      </c>
      <c r="C23" s="559">
        <v>8</v>
      </c>
      <c r="D23" s="559">
        <v>8</v>
      </c>
      <c r="E23" s="559">
        <v>5</v>
      </c>
      <c r="F23" s="559">
        <v>7</v>
      </c>
      <c r="G23" s="559">
        <f t="shared" si="5"/>
        <v>7</v>
      </c>
      <c r="H23" s="568">
        <f t="shared" si="6"/>
        <v>7</v>
      </c>
      <c r="I23" s="559">
        <f t="shared" si="7"/>
        <v>2240</v>
      </c>
      <c r="J23" s="560">
        <f t="shared" si="8"/>
        <v>0.19155122284932444</v>
      </c>
      <c r="K23" s="561">
        <f t="shared" si="9"/>
        <v>8.1877443865880861E-5</v>
      </c>
      <c r="L23" s="569">
        <f t="shared" si="10"/>
        <v>0.99022281723444316</v>
      </c>
      <c r="M23" s="562">
        <f t="shared" si="11"/>
        <v>12213.375904089622</v>
      </c>
      <c r="N23" s="562">
        <v>8890</v>
      </c>
      <c r="O23" s="561">
        <f t="shared" si="12"/>
        <v>1.124859392575928E-4</v>
      </c>
      <c r="P23" s="562">
        <f t="shared" si="13"/>
        <v>3323.3759040896221</v>
      </c>
      <c r="Q23" s="570">
        <f t="shared" si="14"/>
        <v>0.98659238098288771</v>
      </c>
    </row>
    <row r="24" spans="1:17">
      <c r="A24" s="555">
        <f>A23+1</f>
        <v>5</v>
      </c>
      <c r="B24" s="555" t="s">
        <v>546</v>
      </c>
      <c r="C24" s="559">
        <v>4</v>
      </c>
      <c r="D24" s="559">
        <v>2</v>
      </c>
      <c r="E24" s="559">
        <v>10</v>
      </c>
      <c r="F24" s="559">
        <v>8</v>
      </c>
      <c r="G24" s="559">
        <f t="shared" si="5"/>
        <v>6</v>
      </c>
      <c r="H24" s="568">
        <f t="shared" si="6"/>
        <v>6</v>
      </c>
      <c r="I24" s="559">
        <f t="shared" si="7"/>
        <v>640</v>
      </c>
      <c r="J24" s="560">
        <f t="shared" si="8"/>
        <v>5.4728920814092696E-2</v>
      </c>
      <c r="K24" s="561">
        <f t="shared" si="9"/>
        <v>2.3393555390251676E-5</v>
      </c>
      <c r="L24" s="569">
        <f t="shared" si="10"/>
        <v>0.99719670992941101</v>
      </c>
      <c r="M24" s="562">
        <f t="shared" si="11"/>
        <v>42746.815664313675</v>
      </c>
      <c r="N24" s="562">
        <v>22728</v>
      </c>
      <c r="O24" s="561">
        <f t="shared" si="12"/>
        <v>4.3998592045054557E-5</v>
      </c>
      <c r="P24" s="562">
        <f t="shared" si="13"/>
        <v>20018.815664313675</v>
      </c>
      <c r="Q24" s="570">
        <f t="shared" si="14"/>
        <v>0.99473408276423558</v>
      </c>
    </row>
    <row r="25" spans="1:17">
      <c r="A25" s="555">
        <f>A24+1</f>
        <v>6</v>
      </c>
      <c r="B25" s="555" t="s">
        <v>547</v>
      </c>
      <c r="C25" s="559">
        <v>6</v>
      </c>
      <c r="D25" s="559">
        <v>5</v>
      </c>
      <c r="E25" s="559">
        <v>5</v>
      </c>
      <c r="F25" s="559">
        <v>5</v>
      </c>
      <c r="G25" s="559">
        <f t="shared" si="5"/>
        <v>5.25</v>
      </c>
      <c r="H25" s="568">
        <f t="shared" si="6"/>
        <v>5.25</v>
      </c>
      <c r="I25" s="559">
        <f t="shared" si="7"/>
        <v>750</v>
      </c>
      <c r="J25" s="560">
        <f t="shared" si="8"/>
        <v>6.4135454079014872E-2</v>
      </c>
      <c r="K25" s="561">
        <f t="shared" si="9"/>
        <v>2.7414322722951178E-5</v>
      </c>
      <c r="L25" s="569">
        <f t="shared" si="10"/>
        <v>0.9967156864690806</v>
      </c>
      <c r="M25" s="562">
        <f t="shared" si="11"/>
        <v>36477.282700214346</v>
      </c>
      <c r="N25" s="562">
        <v>21707</v>
      </c>
      <c r="O25" s="561">
        <f t="shared" si="12"/>
        <v>4.6068088635002536E-5</v>
      </c>
      <c r="P25" s="562">
        <f t="shared" si="13"/>
        <v>14770.282700214346</v>
      </c>
      <c r="Q25" s="570">
        <f t="shared" si="14"/>
        <v>0.99448708158052934</v>
      </c>
    </row>
    <row r="26" spans="1:17" ht="15.75" thickBot="1">
      <c r="B26" s="571" t="s">
        <v>385</v>
      </c>
      <c r="I26" s="564">
        <f>SUM(I20:I25)</f>
        <v>11694</v>
      </c>
      <c r="J26" s="564">
        <f>SUM(J20:J25)</f>
        <v>1</v>
      </c>
      <c r="K26" s="564">
        <f>$J26/$H$15</f>
        <v>1.2953367875647668E-4</v>
      </c>
      <c r="L26" s="572">
        <f>PRODUCT(L20:L25)</f>
        <v>0.95000000000000029</v>
      </c>
      <c r="M26" s="565">
        <f>SUM(K20:K25)</f>
        <v>4.2744411989625484E-4</v>
      </c>
      <c r="O26" s="565">
        <f>SUM(O20:O25)</f>
        <v>4.2744675318498693E-4</v>
      </c>
      <c r="Q26" s="572">
        <f>PRODUCT(Q20:Q25)</f>
        <v>0.94999969980513144</v>
      </c>
    </row>
    <row r="27" spans="1:17" ht="15.75" thickTop="1"/>
    <row r="28" spans="1:17">
      <c r="B28" s="511"/>
      <c r="C28" s="573" t="s">
        <v>1062</v>
      </c>
      <c r="D28" s="573" t="s">
        <v>1063</v>
      </c>
      <c r="E28" s="573" t="s">
        <v>165</v>
      </c>
      <c r="F28" s="574" t="s">
        <v>1064</v>
      </c>
    </row>
    <row r="29" spans="1:17">
      <c r="B29" s="575" t="s">
        <v>1058</v>
      </c>
      <c r="C29" s="555">
        <f>0</f>
        <v>0</v>
      </c>
      <c r="D29" s="555">
        <f>0</f>
        <v>0</v>
      </c>
      <c r="E29" s="555">
        <f>9.9</f>
        <v>9.9</v>
      </c>
      <c r="F29" s="576">
        <f>E29</f>
        <v>9.9</v>
      </c>
      <c r="G29" s="577"/>
      <c r="L29" s="554" t="s">
        <v>557</v>
      </c>
      <c r="M29" s="554" t="s">
        <v>557</v>
      </c>
      <c r="N29" s="554" t="s">
        <v>558</v>
      </c>
    </row>
    <row r="30" spans="1:17" ht="25.5">
      <c r="B30" s="575" t="s">
        <v>1059</v>
      </c>
      <c r="C30" s="555">
        <f>0</f>
        <v>0</v>
      </c>
      <c r="D30" s="555">
        <f>0</f>
        <v>0</v>
      </c>
      <c r="E30" s="555">
        <f t="shared" ref="E30:E32" si="15">9.9</f>
        <v>9.9</v>
      </c>
      <c r="F30" s="576">
        <f t="shared" ref="F30:F32" si="16">E30</f>
        <v>9.9</v>
      </c>
      <c r="G30" s="577"/>
      <c r="L30" s="578">
        <f t="shared" ref="L30:L35" si="17">LN(1-0.6)/LN($L20)</f>
        <v>8704.1135578647536</v>
      </c>
      <c r="M30" s="578">
        <f t="shared" ref="M30:M35" si="18">LN(1-0.6)/LN($Q20)</f>
        <v>254.91971736348194</v>
      </c>
      <c r="N30" s="579">
        <f t="shared" ref="N30:N35" si="19">($L30-$M30)/$L30</f>
        <v>0.97071273074865339</v>
      </c>
    </row>
    <row r="31" spans="1:17">
      <c r="B31" s="580" t="s">
        <v>1060</v>
      </c>
      <c r="C31" s="555">
        <f>0</f>
        <v>0</v>
      </c>
      <c r="D31" s="555">
        <f>0</f>
        <v>0</v>
      </c>
      <c r="E31" s="555">
        <f t="shared" si="15"/>
        <v>9.9</v>
      </c>
      <c r="F31" s="576">
        <f t="shared" si="16"/>
        <v>9.9</v>
      </c>
      <c r="G31" s="577"/>
      <c r="L31" s="578">
        <f t="shared" si="17"/>
        <v>248.68895879583945</v>
      </c>
      <c r="M31" s="578">
        <f t="shared" si="18"/>
        <v>141.36075265988316</v>
      </c>
      <c r="N31" s="579">
        <f t="shared" si="19"/>
        <v>0.43157608064163033</v>
      </c>
    </row>
    <row r="32" spans="1:17">
      <c r="B32" s="581" t="s">
        <v>1061</v>
      </c>
      <c r="C32" s="555">
        <f>0</f>
        <v>0</v>
      </c>
      <c r="D32" s="555">
        <f>0</f>
        <v>0</v>
      </c>
      <c r="E32" s="555">
        <f t="shared" si="15"/>
        <v>9.9</v>
      </c>
      <c r="F32" s="576">
        <f t="shared" si="16"/>
        <v>9.9</v>
      </c>
      <c r="G32" s="577"/>
      <c r="L32" s="578">
        <f t="shared" si="17"/>
        <v>29.01371185951383</v>
      </c>
      <c r="M32" s="578">
        <f t="shared" si="18"/>
        <v>54.183325278158058</v>
      </c>
      <c r="N32" s="579">
        <f t="shared" si="19"/>
        <v>-0.86750752680377607</v>
      </c>
    </row>
    <row r="33" spans="2:14">
      <c r="B33" s="511"/>
      <c r="C33" s="511"/>
      <c r="D33" s="511"/>
      <c r="E33" s="511"/>
      <c r="F33" s="582">
        <f>AVERAGE(F29:F32)</f>
        <v>9.9</v>
      </c>
      <c r="G33" s="583"/>
      <c r="L33" s="578">
        <f t="shared" si="17"/>
        <v>93.25835954843734</v>
      </c>
      <c r="M33" s="578">
        <f t="shared" si="18"/>
        <v>67.881871719676326</v>
      </c>
      <c r="N33" s="579">
        <f t="shared" si="19"/>
        <v>0.27210952403232819</v>
      </c>
    </row>
    <row r="34" spans="2:14">
      <c r="B34" s="511"/>
      <c r="C34" s="511"/>
      <c r="D34" s="511"/>
      <c r="E34" s="511"/>
      <c r="F34" s="511"/>
      <c r="L34" s="578">
        <f t="shared" si="17"/>
        <v>326.40425841953135</v>
      </c>
      <c r="M34" s="578">
        <f t="shared" si="18"/>
        <v>173.54546461696003</v>
      </c>
      <c r="N34" s="579">
        <f t="shared" si="19"/>
        <v>0.46831127309037757</v>
      </c>
    </row>
    <row r="35" spans="2:14">
      <c r="B35" s="511"/>
      <c r="C35" s="678" t="s">
        <v>1065</v>
      </c>
      <c r="D35" s="678"/>
      <c r="E35" s="678"/>
      <c r="F35" s="511"/>
      <c r="L35" s="578">
        <f t="shared" si="17"/>
        <v>278.53163385133405</v>
      </c>
      <c r="M35" s="578">
        <f t="shared" si="18"/>
        <v>165.74935763993591</v>
      </c>
      <c r="N35" s="579">
        <f t="shared" si="19"/>
        <v>0.4049172966529021</v>
      </c>
    </row>
    <row r="36" spans="2:14" ht="15.75" thickBot="1">
      <c r="B36" s="511"/>
      <c r="C36" s="573" t="s">
        <v>163</v>
      </c>
      <c r="D36" s="573" t="s">
        <v>1066</v>
      </c>
      <c r="E36" s="573" t="s">
        <v>165</v>
      </c>
      <c r="F36" s="511"/>
      <c r="L36" s="584">
        <f>SUM(L30:L35)</f>
        <v>9680.0104803394115</v>
      </c>
      <c r="M36" s="585">
        <f>SUM(M30:M35)</f>
        <v>857.6404892780954</v>
      </c>
    </row>
    <row r="37" spans="2:14">
      <c r="B37" s="511"/>
      <c r="C37" s="555">
        <v>0.1</v>
      </c>
      <c r="D37" s="555">
        <v>5</v>
      </c>
      <c r="E37" s="555">
        <v>9.9</v>
      </c>
      <c r="F37" s="511"/>
    </row>
    <row r="38" spans="2:14">
      <c r="B38" s="511"/>
      <c r="C38" s="511"/>
      <c r="D38" s="511"/>
      <c r="E38" s="511"/>
      <c r="F38" s="511"/>
    </row>
    <row r="39" spans="2:14">
      <c r="B39" s="511"/>
      <c r="C39" s="678" t="s">
        <v>1065</v>
      </c>
      <c r="D39" s="678"/>
      <c r="E39" s="678"/>
      <c r="F39" s="511"/>
    </row>
    <row r="40" spans="2:14">
      <c r="B40" s="511"/>
      <c r="C40" s="573" t="s">
        <v>163</v>
      </c>
      <c r="D40" s="573" t="s">
        <v>1066</v>
      </c>
      <c r="E40" s="573" t="s">
        <v>165</v>
      </c>
      <c r="F40" s="511"/>
    </row>
    <row r="41" spans="2:14">
      <c r="B41" s="511"/>
      <c r="C41" s="555">
        <f>1</f>
        <v>1</v>
      </c>
      <c r="D41" s="555">
        <f>50</f>
        <v>50</v>
      </c>
      <c r="E41" s="555">
        <f>99</f>
        <v>99</v>
      </c>
      <c r="F41" s="511"/>
    </row>
  </sheetData>
  <mergeCells count="3">
    <mergeCell ref="A7:K7"/>
    <mergeCell ref="C35:E35"/>
    <mergeCell ref="C39:E39"/>
  </mergeCells>
  <pageMargins left="0.7" right="0.7" top="0.75" bottom="0.75" header="0.3" footer="0.3"/>
  <ignoredErrors>
    <ignoredError sqref="D31 E20" formula="1"/>
  </ignoredErrors>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A56A8-09EA-4F7F-A1FC-9448446682CF}">
  <sheetPr codeName="Sheet32">
    <tabColor theme="9"/>
  </sheetPr>
  <dimension ref="B2:C11"/>
  <sheetViews>
    <sheetView workbookViewId="0">
      <selection activeCell="S16" sqref="S16"/>
    </sheetView>
  </sheetViews>
  <sheetFormatPr defaultRowHeight="14.25"/>
  <cols>
    <col min="1" max="16384" width="9.140625" style="249"/>
  </cols>
  <sheetData>
    <row r="2" spans="2:3">
      <c r="B2" s="249" t="s">
        <v>826</v>
      </c>
    </row>
    <row r="3" spans="2:3" ht="18.75">
      <c r="B3" s="249" t="s">
        <v>829</v>
      </c>
      <c r="C3" s="249" t="s">
        <v>830</v>
      </c>
    </row>
    <row r="5" spans="2:3">
      <c r="B5" s="249" t="s">
        <v>827</v>
      </c>
    </row>
    <row r="6" spans="2:3" ht="18.75">
      <c r="B6" s="249" t="s">
        <v>828</v>
      </c>
    </row>
    <row r="7" spans="2:3" ht="18.75">
      <c r="B7" s="249" t="s">
        <v>831</v>
      </c>
    </row>
    <row r="8" spans="2:3" ht="18.75">
      <c r="B8" s="249" t="s">
        <v>832</v>
      </c>
    </row>
    <row r="10" spans="2:3" ht="18.75">
      <c r="B10" s="249" t="s">
        <v>833</v>
      </c>
    </row>
    <row r="11" spans="2:3" ht="18.75">
      <c r="B11" s="249" t="s">
        <v>834</v>
      </c>
      <c r="C11" s="249" t="s">
        <v>835</v>
      </c>
    </row>
  </sheetData>
  <pageMargins left="0.7" right="0.7" top="0.75" bottom="0.75" header="0.3" footer="0.3"/>
  <pageSetup orientation="portrait" r:id="rId1"/>
  <headerFooter>
    <oddHeader>&amp;CReliability Modelling / Allocation Cost-Estimation Model</oddHeader>
    <oddFooter>&amp;C&amp;"GE Inspira Book,Regular"Reliability Modelling / Allocation Cost-Estimation Model</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5EEBB-6B3F-4A79-A135-93A865223EA9}">
  <sheetPr codeName="Sheet19">
    <tabColor theme="0"/>
  </sheetPr>
  <dimension ref="B2:K17"/>
  <sheetViews>
    <sheetView workbookViewId="0">
      <selection activeCell="C35" sqref="C35"/>
    </sheetView>
  </sheetViews>
  <sheetFormatPr defaultRowHeight="17.25"/>
  <cols>
    <col min="1" max="1" width="9.140625" style="183"/>
    <col min="2" max="2" width="34.5703125" style="183" customWidth="1"/>
    <col min="3" max="3" width="18.28515625" style="183" customWidth="1"/>
    <col min="4" max="4" width="15.7109375" style="183" customWidth="1"/>
    <col min="5" max="5" width="20.28515625" style="183" customWidth="1"/>
    <col min="6" max="7" width="15.85546875" style="183" customWidth="1"/>
    <col min="8" max="8" width="18.140625" style="183" customWidth="1"/>
    <col min="9" max="9" width="18.5703125" style="183" customWidth="1"/>
    <col min="10" max="10" width="20.140625" style="183" customWidth="1"/>
    <col min="11" max="11" width="16.5703125" style="183" customWidth="1"/>
    <col min="12" max="16384" width="9.140625" style="183"/>
  </cols>
  <sheetData>
    <row r="2" spans="2:11">
      <c r="B2" s="184" t="s">
        <v>559</v>
      </c>
      <c r="C2" s="187">
        <f>1300/10^6</f>
        <v>1.2999999999999999E-3</v>
      </c>
    </row>
    <row r="3" spans="2:11">
      <c r="B3" s="184" t="s">
        <v>541</v>
      </c>
      <c r="C3" s="187">
        <f>1/C2</f>
        <v>769.23076923076928</v>
      </c>
    </row>
    <row r="4" spans="2:11">
      <c r="B4" s="184" t="s">
        <v>560</v>
      </c>
      <c r="C4" s="187">
        <f>120</f>
        <v>120</v>
      </c>
    </row>
    <row r="5" spans="2:11">
      <c r="B5" s="184" t="s">
        <v>561</v>
      </c>
      <c r="C5" s="188">
        <f>1/EXP(C2*C4)</f>
        <v>0.85555919037101846</v>
      </c>
    </row>
    <row r="7" spans="2:11" ht="28.5">
      <c r="B7" s="184" t="s">
        <v>562</v>
      </c>
      <c r="C7" s="184" t="s">
        <v>563</v>
      </c>
      <c r="D7" s="184" t="s">
        <v>564</v>
      </c>
      <c r="E7" s="184" t="s">
        <v>565</v>
      </c>
      <c r="F7" s="184" t="s">
        <v>566</v>
      </c>
      <c r="G7" s="184" t="s">
        <v>567</v>
      </c>
      <c r="H7" s="184" t="s">
        <v>568</v>
      </c>
      <c r="I7" s="184" t="s">
        <v>569</v>
      </c>
      <c r="J7" s="184" t="s">
        <v>570</v>
      </c>
      <c r="K7" s="184" t="s">
        <v>571</v>
      </c>
    </row>
    <row r="8" spans="2:11">
      <c r="B8" s="189" t="s">
        <v>572</v>
      </c>
      <c r="C8" s="190">
        <v>5</v>
      </c>
      <c r="D8" s="190">
        <v>6</v>
      </c>
      <c r="E8" s="190">
        <v>5</v>
      </c>
      <c r="F8" s="190">
        <v>5</v>
      </c>
      <c r="G8" s="190">
        <f t="shared" ref="G8:G13" si="0">AVERAGE(C8:F8)</f>
        <v>5.25</v>
      </c>
      <c r="H8" s="190">
        <f t="shared" ref="H8:H13" si="1">PRODUCT(C8:F8)</f>
        <v>750</v>
      </c>
      <c r="I8" s="191">
        <f t="shared" ref="I8:I13" si="2">$H8/$H$14</f>
        <v>9.7150259067357511E-2</v>
      </c>
      <c r="J8" s="185">
        <f t="shared" ref="J8:J13" si="3">$I8*$C$2</f>
        <v>1.2629533678756475E-4</v>
      </c>
      <c r="K8" s="186">
        <f t="shared" ref="K8:K13" si="4">1/J8</f>
        <v>7917.9487179487187</v>
      </c>
    </row>
    <row r="9" spans="2:11">
      <c r="B9" s="189" t="s">
        <v>573</v>
      </c>
      <c r="C9" s="190">
        <v>7</v>
      </c>
      <c r="D9" s="190">
        <v>6</v>
      </c>
      <c r="E9" s="190">
        <v>10</v>
      </c>
      <c r="F9" s="190">
        <v>2</v>
      </c>
      <c r="G9" s="190">
        <f t="shared" si="0"/>
        <v>6.25</v>
      </c>
      <c r="H9" s="190">
        <f t="shared" si="1"/>
        <v>840</v>
      </c>
      <c r="I9" s="191">
        <f t="shared" si="2"/>
        <v>0.10880829015544041</v>
      </c>
      <c r="J9" s="185">
        <f t="shared" si="3"/>
        <v>1.4145077720207252E-4</v>
      </c>
      <c r="K9" s="186">
        <f t="shared" si="4"/>
        <v>7069.59706959707</v>
      </c>
    </row>
    <row r="10" spans="2:11">
      <c r="B10" s="189" t="s">
        <v>574</v>
      </c>
      <c r="C10" s="190">
        <v>10</v>
      </c>
      <c r="D10" s="190">
        <v>10</v>
      </c>
      <c r="E10" s="190">
        <v>5</v>
      </c>
      <c r="F10" s="190">
        <v>5</v>
      </c>
      <c r="G10" s="190">
        <f t="shared" si="0"/>
        <v>7.5</v>
      </c>
      <c r="H10" s="190">
        <f t="shared" si="1"/>
        <v>2500</v>
      </c>
      <c r="I10" s="191">
        <f t="shared" si="2"/>
        <v>0.32383419689119169</v>
      </c>
      <c r="J10" s="185">
        <f t="shared" si="3"/>
        <v>4.2098445595854919E-4</v>
      </c>
      <c r="K10" s="186">
        <f t="shared" si="4"/>
        <v>2375.3846153846157</v>
      </c>
    </row>
    <row r="11" spans="2:11">
      <c r="B11" s="189" t="s">
        <v>575</v>
      </c>
      <c r="C11" s="190">
        <v>8</v>
      </c>
      <c r="D11" s="190">
        <v>8</v>
      </c>
      <c r="E11" s="190">
        <v>5</v>
      </c>
      <c r="F11" s="190">
        <v>7</v>
      </c>
      <c r="G11" s="190">
        <f t="shared" si="0"/>
        <v>7</v>
      </c>
      <c r="H11" s="190">
        <f t="shared" si="1"/>
        <v>2240</v>
      </c>
      <c r="I11" s="191">
        <f t="shared" si="2"/>
        <v>0.29015544041450775</v>
      </c>
      <c r="J11" s="185">
        <f t="shared" si="3"/>
        <v>3.7720207253886005E-4</v>
      </c>
      <c r="K11" s="186">
        <f t="shared" si="4"/>
        <v>2651.0989010989015</v>
      </c>
    </row>
    <row r="12" spans="2:11">
      <c r="B12" s="189" t="s">
        <v>576</v>
      </c>
      <c r="C12" s="190">
        <v>4</v>
      </c>
      <c r="D12" s="190">
        <v>2</v>
      </c>
      <c r="E12" s="190">
        <v>10</v>
      </c>
      <c r="F12" s="190">
        <v>8</v>
      </c>
      <c r="G12" s="190">
        <f t="shared" si="0"/>
        <v>6</v>
      </c>
      <c r="H12" s="190">
        <f t="shared" si="1"/>
        <v>640</v>
      </c>
      <c r="I12" s="191">
        <f t="shared" si="2"/>
        <v>8.2901554404145081E-2</v>
      </c>
      <c r="J12" s="185">
        <f t="shared" si="3"/>
        <v>1.0777202072538861E-4</v>
      </c>
      <c r="K12" s="186">
        <f t="shared" si="4"/>
        <v>9278.8461538461543</v>
      </c>
    </row>
    <row r="13" spans="2:11">
      <c r="B13" s="189" t="s">
        <v>577</v>
      </c>
      <c r="C13" s="190">
        <v>6</v>
      </c>
      <c r="D13" s="190">
        <v>5</v>
      </c>
      <c r="E13" s="190">
        <v>5</v>
      </c>
      <c r="F13" s="190">
        <v>5</v>
      </c>
      <c r="G13" s="190">
        <f t="shared" si="0"/>
        <v>5.25</v>
      </c>
      <c r="H13" s="192">
        <f t="shared" si="1"/>
        <v>750</v>
      </c>
      <c r="I13" s="191">
        <f t="shared" si="2"/>
        <v>9.7150259067357511E-2</v>
      </c>
      <c r="J13" s="185">
        <f t="shared" si="3"/>
        <v>1.2629533678756475E-4</v>
      </c>
      <c r="K13" s="186">
        <f t="shared" si="4"/>
        <v>7917.9487179487187</v>
      </c>
    </row>
    <row r="14" spans="2:11" ht="18" thickBot="1">
      <c r="B14" s="193" t="s">
        <v>385</v>
      </c>
      <c r="C14" s="194"/>
      <c r="D14" s="194"/>
      <c r="E14" s="194"/>
      <c r="F14" s="194"/>
      <c r="G14" s="194"/>
      <c r="H14" s="195">
        <f>SUM(H8:H13)</f>
        <v>7720</v>
      </c>
      <c r="I14" s="194"/>
      <c r="J14" s="194"/>
      <c r="K14" s="194"/>
    </row>
    <row r="15" spans="2:11">
      <c r="B15" s="196"/>
    </row>
    <row r="17" spans="2:2">
      <c r="B17" s="196"/>
    </row>
  </sheetData>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7449C-52FC-4B46-82BE-552E3CCA5A62}">
  <sheetPr codeName="Sheet20">
    <tabColor rgb="FFFF0000"/>
  </sheetPr>
  <dimension ref="A1:I29"/>
  <sheetViews>
    <sheetView workbookViewId="0">
      <selection activeCell="H29" sqref="H29"/>
    </sheetView>
  </sheetViews>
  <sheetFormatPr defaultRowHeight="14.25"/>
  <cols>
    <col min="1" max="1" width="18.7109375" style="1" bestFit="1" customWidth="1"/>
    <col min="2" max="2" width="13.7109375" style="1" bestFit="1" customWidth="1"/>
    <col min="3" max="3" width="14.85546875" style="1" bestFit="1" customWidth="1"/>
    <col min="4" max="4" width="19.140625" style="1" bestFit="1" customWidth="1"/>
    <col min="5" max="5" width="13.7109375" style="1" bestFit="1" customWidth="1"/>
    <col min="6" max="6" width="21" style="1" bestFit="1" customWidth="1"/>
    <col min="7" max="7" width="13.7109375" style="1" bestFit="1" customWidth="1"/>
    <col min="8" max="8" width="14.42578125" style="1" bestFit="1" customWidth="1"/>
    <col min="9" max="9" width="13.7109375" style="1" bestFit="1" customWidth="1"/>
    <col min="10" max="16384" width="9.140625" style="1"/>
  </cols>
  <sheetData>
    <row r="1" spans="1:9">
      <c r="A1" s="1" t="s">
        <v>619</v>
      </c>
    </row>
    <row r="2" spans="1:9" ht="15" thickBot="1"/>
    <row r="3" spans="1:9">
      <c r="A3" s="226" t="s">
        <v>620</v>
      </c>
      <c r="B3" s="226"/>
    </row>
    <row r="4" spans="1:9">
      <c r="A4" s="227" t="s">
        <v>621</v>
      </c>
      <c r="B4" s="227">
        <v>0.97864388673126934</v>
      </c>
    </row>
    <row r="5" spans="1:9">
      <c r="A5" s="227" t="s">
        <v>622</v>
      </c>
      <c r="B5" s="227">
        <v>0.95774385703648546</v>
      </c>
    </row>
    <row r="6" spans="1:9">
      <c r="A6" s="227" t="s">
        <v>623</v>
      </c>
      <c r="B6" s="227">
        <v>0.94365847604864728</v>
      </c>
    </row>
    <row r="7" spans="1:9">
      <c r="A7" s="227" t="s">
        <v>624</v>
      </c>
      <c r="B7" s="227">
        <v>0.7459038470336562</v>
      </c>
    </row>
    <row r="8" spans="1:9" ht="15" thickBot="1">
      <c r="A8" s="228" t="s">
        <v>625</v>
      </c>
      <c r="B8" s="228">
        <v>5</v>
      </c>
    </row>
    <row r="10" spans="1:9" ht="15" thickBot="1">
      <c r="A10" s="1" t="s">
        <v>626</v>
      </c>
    </row>
    <row r="11" spans="1:9">
      <c r="A11" s="229"/>
      <c r="B11" s="229" t="s">
        <v>630</v>
      </c>
      <c r="C11" s="229" t="s">
        <v>631</v>
      </c>
      <c r="D11" s="229" t="s">
        <v>632</v>
      </c>
      <c r="E11" s="229" t="s">
        <v>39</v>
      </c>
      <c r="F11" s="229" t="s">
        <v>633</v>
      </c>
    </row>
    <row r="12" spans="1:9">
      <c r="A12" s="227" t="s">
        <v>627</v>
      </c>
      <c r="B12" s="227">
        <v>1</v>
      </c>
      <c r="C12" s="227">
        <v>37.830882352941174</v>
      </c>
      <c r="D12" s="227">
        <v>37.830882352941174</v>
      </c>
      <c r="E12" s="227">
        <v>67.995594713656374</v>
      </c>
      <c r="F12" s="227">
        <v>3.7344018452396249E-3</v>
      </c>
    </row>
    <row r="13" spans="1:9">
      <c r="A13" s="227" t="s">
        <v>628</v>
      </c>
      <c r="B13" s="227">
        <v>3</v>
      </c>
      <c r="C13" s="227">
        <v>1.669117647058824</v>
      </c>
      <c r="D13" s="227">
        <v>0.55637254901960798</v>
      </c>
      <c r="E13" s="227"/>
      <c r="F13" s="227"/>
    </row>
    <row r="14" spans="1:9" ht="15" thickBot="1">
      <c r="A14" s="228" t="s">
        <v>385</v>
      </c>
      <c r="B14" s="228">
        <v>4</v>
      </c>
      <c r="C14" s="228">
        <v>39.5</v>
      </c>
      <c r="D14" s="228"/>
      <c r="E14" s="228"/>
      <c r="F14" s="228"/>
    </row>
    <row r="15" spans="1:9" ht="15" thickBot="1"/>
    <row r="16" spans="1:9">
      <c r="A16" s="229"/>
      <c r="B16" s="229" t="s">
        <v>634</v>
      </c>
      <c r="C16" s="229" t="s">
        <v>624</v>
      </c>
      <c r="D16" s="229" t="s">
        <v>635</v>
      </c>
      <c r="E16" s="229" t="s">
        <v>636</v>
      </c>
      <c r="F16" s="229" t="s">
        <v>637</v>
      </c>
      <c r="G16" s="229" t="s">
        <v>638</v>
      </c>
      <c r="H16" s="229" t="s">
        <v>639</v>
      </c>
      <c r="I16" s="229" t="s">
        <v>640</v>
      </c>
    </row>
    <row r="17" spans="1:9">
      <c r="A17" s="227" t="s">
        <v>629</v>
      </c>
      <c r="B17" s="227">
        <v>1.2794117647058822</v>
      </c>
      <c r="C17" s="227">
        <v>0.61094413203298337</v>
      </c>
      <c r="D17" s="227">
        <v>2.0941550914786591</v>
      </c>
      <c r="E17" s="227">
        <v>0.12727180172638</v>
      </c>
      <c r="F17" s="227">
        <v>-0.66488513101724811</v>
      </c>
      <c r="G17" s="227">
        <v>3.2237086604290126</v>
      </c>
      <c r="H17" s="227">
        <v>-0.66488513101724811</v>
      </c>
      <c r="I17" s="227">
        <v>3.2237086604290126</v>
      </c>
    </row>
    <row r="18" spans="1:9" ht="15" thickBot="1">
      <c r="A18" s="228" t="s">
        <v>641</v>
      </c>
      <c r="B18" s="228">
        <v>0.51470588235294124</v>
      </c>
      <c r="C18" s="228">
        <v>6.2419278349409975E-2</v>
      </c>
      <c r="D18" s="228">
        <v>8.2459441371898929</v>
      </c>
      <c r="E18" s="228">
        <v>3.7344018452396249E-3</v>
      </c>
      <c r="F18" s="228">
        <v>0.31605988059138601</v>
      </c>
      <c r="G18" s="228">
        <v>0.71335188411449646</v>
      </c>
      <c r="H18" s="228">
        <v>0.31605988059138601</v>
      </c>
      <c r="I18" s="228">
        <v>0.71335188411449646</v>
      </c>
    </row>
    <row r="22" spans="1:9">
      <c r="A22" s="1" t="s">
        <v>642</v>
      </c>
      <c r="F22" s="1" t="s">
        <v>647</v>
      </c>
    </row>
    <row r="23" spans="1:9" ht="15" thickBot="1"/>
    <row r="24" spans="1:9">
      <c r="A24" s="229" t="s">
        <v>643</v>
      </c>
      <c r="B24" s="229" t="s">
        <v>644</v>
      </c>
      <c r="C24" s="229" t="s">
        <v>645</v>
      </c>
      <c r="D24" s="229" t="s">
        <v>646</v>
      </c>
      <c r="F24" s="229" t="s">
        <v>648</v>
      </c>
      <c r="G24" s="229" t="s">
        <v>616</v>
      </c>
    </row>
    <row r="25" spans="1:9">
      <c r="A25" s="227">
        <v>1</v>
      </c>
      <c r="B25" s="227">
        <v>2.3088235294117645</v>
      </c>
      <c r="C25" s="227">
        <v>-0.3088235294117645</v>
      </c>
      <c r="D25" s="227">
        <v>-0.47807595723508145</v>
      </c>
      <c r="F25" s="227">
        <v>10</v>
      </c>
      <c r="G25" s="227">
        <v>2</v>
      </c>
    </row>
    <row r="26" spans="1:9">
      <c r="A26" s="227">
        <v>2</v>
      </c>
      <c r="B26" s="227">
        <v>3.3382352941176472</v>
      </c>
      <c r="C26" s="227">
        <v>0.16176470588235281</v>
      </c>
      <c r="D26" s="227">
        <v>0.25042073950409027</v>
      </c>
      <c r="F26" s="227">
        <v>30</v>
      </c>
      <c r="G26" s="227">
        <v>3.5</v>
      </c>
    </row>
    <row r="27" spans="1:9">
      <c r="A27" s="227">
        <v>3</v>
      </c>
      <c r="B27" s="227">
        <v>4.882352941176471</v>
      </c>
      <c r="C27" s="227">
        <v>-0.38235294117647101</v>
      </c>
      <c r="D27" s="227">
        <v>-0.59190356610057804</v>
      </c>
      <c r="F27" s="227">
        <v>50</v>
      </c>
      <c r="G27" s="227">
        <v>4.5</v>
      </c>
    </row>
    <row r="28" spans="1:9">
      <c r="A28" s="227">
        <v>4</v>
      </c>
      <c r="B28" s="227">
        <v>6.9411764705882355</v>
      </c>
      <c r="C28" s="227">
        <v>1.0588235294117645</v>
      </c>
      <c r="D28" s="227">
        <v>1.6391175676631371</v>
      </c>
      <c r="F28" s="227">
        <v>70</v>
      </c>
      <c r="G28" s="227">
        <v>8</v>
      </c>
    </row>
    <row r="29" spans="1:9" ht="15" thickBot="1">
      <c r="A29" s="228">
        <v>5</v>
      </c>
      <c r="B29" s="228">
        <v>10.029411764705884</v>
      </c>
      <c r="C29" s="228">
        <v>-0.52941176470588402</v>
      </c>
      <c r="D29" s="228">
        <v>-0.81955878383157132</v>
      </c>
      <c r="F29" s="228">
        <v>90</v>
      </c>
      <c r="G29" s="228">
        <v>9.5</v>
      </c>
    </row>
  </sheetData>
  <sortState xmlns:xlrd2="http://schemas.microsoft.com/office/spreadsheetml/2017/richdata2" ref="G25:G29">
    <sortCondition ref="G25"/>
  </sortState>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79E6D7-61EE-4534-B70B-70839B5B8D32}">
  <sheetPr codeName="Sheet21">
    <tabColor rgb="FF00FF00"/>
  </sheetPr>
  <dimension ref="A1:B9"/>
  <sheetViews>
    <sheetView workbookViewId="0">
      <selection activeCell="M5" sqref="M5"/>
    </sheetView>
  </sheetViews>
  <sheetFormatPr defaultRowHeight="14.25"/>
  <cols>
    <col min="1" max="1" width="18.5703125" style="1" customWidth="1"/>
    <col min="2" max="2" width="16.7109375" style="1" customWidth="1"/>
    <col min="3" max="16384" width="9.140625" style="1"/>
  </cols>
  <sheetData>
    <row r="1" spans="1:2">
      <c r="A1" s="222" t="s">
        <v>617</v>
      </c>
      <c r="B1" s="223" t="s">
        <v>618</v>
      </c>
    </row>
    <row r="2" spans="1:2">
      <c r="A2" s="220">
        <v>2</v>
      </c>
      <c r="B2" s="221">
        <v>2</v>
      </c>
    </row>
    <row r="3" spans="1:2">
      <c r="A3" s="220">
        <v>4</v>
      </c>
      <c r="B3" s="221">
        <v>3.5</v>
      </c>
    </row>
    <row r="4" spans="1:2">
      <c r="A4" s="220">
        <v>7</v>
      </c>
      <c r="B4" s="221">
        <v>4.5</v>
      </c>
    </row>
    <row r="5" spans="1:2">
      <c r="A5" s="220">
        <v>11</v>
      </c>
      <c r="B5" s="221">
        <v>8</v>
      </c>
    </row>
    <row r="6" spans="1:2">
      <c r="A6" s="224">
        <v>17</v>
      </c>
      <c r="B6" s="225">
        <v>9.5</v>
      </c>
    </row>
    <row r="7" spans="1:2">
      <c r="A7" s="219"/>
    </row>
    <row r="8" spans="1:2">
      <c r="A8" s="219"/>
    </row>
    <row r="9" spans="1:2">
      <c r="A9" s="219"/>
    </row>
  </sheetData>
  <pageMargins left="0.7" right="0.7" top="0.75" bottom="0.75" header="0.3" footer="0.3"/>
  <pageSetup orientation="portrait" r:id="rId1"/>
  <drawing r:id="rId2"/>
  <tableParts count="1">
    <tablePart r:id="rId3"/>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7A798-44E4-4D9D-B223-704C35D99DC4}">
  <sheetPr codeName="Sheet22">
    <tabColor theme="4" tint="-0.249977111117893"/>
  </sheetPr>
  <dimension ref="A1:H36"/>
  <sheetViews>
    <sheetView view="pageLayout" zoomScaleNormal="100" workbookViewId="0">
      <selection activeCell="H5" sqref="H5"/>
    </sheetView>
  </sheetViews>
  <sheetFormatPr defaultRowHeight="12.75"/>
  <cols>
    <col min="1" max="1" width="22.42578125" style="511" bestFit="1" customWidth="1"/>
    <col min="2" max="2" width="10.140625" style="511" bestFit="1" customWidth="1"/>
    <col min="3" max="3" width="11.28515625" style="511" bestFit="1" customWidth="1"/>
    <col min="4" max="4" width="13.140625" style="511" bestFit="1" customWidth="1"/>
    <col min="5" max="5" width="11.28515625" style="511" bestFit="1" customWidth="1"/>
    <col min="6" max="8" width="10.140625" style="511" bestFit="1" customWidth="1"/>
    <col min="9" max="16384" width="9.140625" style="511"/>
  </cols>
  <sheetData>
    <row r="1" spans="1:8" ht="13.5" thickBot="1">
      <c r="A1" s="530" t="s">
        <v>649</v>
      </c>
      <c r="B1" s="531"/>
      <c r="C1" s="531"/>
      <c r="D1" s="531"/>
      <c r="E1" s="531"/>
      <c r="F1" s="531"/>
    </row>
    <row r="2" spans="1:8">
      <c r="A2" s="679" t="s">
        <v>649</v>
      </c>
      <c r="B2" s="681"/>
      <c r="C2" s="681"/>
      <c r="D2" s="681"/>
      <c r="E2" s="681"/>
      <c r="F2" s="680"/>
    </row>
    <row r="3" spans="1:8" ht="38.25">
      <c r="A3" s="532" t="s">
        <v>650</v>
      </c>
      <c r="B3" s="533" t="s">
        <v>651</v>
      </c>
      <c r="C3" s="533" t="s">
        <v>652</v>
      </c>
      <c r="D3" s="533" t="s">
        <v>653</v>
      </c>
      <c r="E3" s="533" t="s">
        <v>654</v>
      </c>
      <c r="F3" s="534" t="s">
        <v>655</v>
      </c>
    </row>
    <row r="4" spans="1:8">
      <c r="A4" s="535" t="s">
        <v>239</v>
      </c>
      <c r="B4" s="536">
        <v>1</v>
      </c>
      <c r="C4" s="536">
        <v>37.830882000000003</v>
      </c>
      <c r="D4" s="536">
        <v>37.830882000000003</v>
      </c>
      <c r="E4" s="536">
        <v>67.995594999999994</v>
      </c>
      <c r="F4" s="537">
        <v>3.7339999999999999E-3</v>
      </c>
    </row>
    <row r="5" spans="1:8">
      <c r="A5" s="535" t="s">
        <v>656</v>
      </c>
      <c r="B5" s="536">
        <v>1</v>
      </c>
      <c r="C5" s="536">
        <v>37.830882000000003</v>
      </c>
      <c r="D5" s="536">
        <v>37.830882000000003</v>
      </c>
      <c r="E5" s="536">
        <v>67.995594999999994</v>
      </c>
      <c r="F5" s="537">
        <v>3.7339999999999999E-3</v>
      </c>
    </row>
    <row r="6" spans="1:8">
      <c r="A6" s="538" t="s">
        <v>628</v>
      </c>
      <c r="B6" s="536">
        <v>3</v>
      </c>
      <c r="C6" s="536">
        <v>1.6691180000000001</v>
      </c>
      <c r="D6" s="536">
        <v>0.55637300000000001</v>
      </c>
      <c r="E6" s="536"/>
      <c r="F6" s="539"/>
    </row>
    <row r="7" spans="1:8">
      <c r="A7" s="538" t="s">
        <v>657</v>
      </c>
      <c r="B7" s="536">
        <v>3</v>
      </c>
      <c r="C7" s="536">
        <v>1.6691180000000001</v>
      </c>
      <c r="D7" s="536">
        <v>0.55637300000000001</v>
      </c>
      <c r="E7" s="536"/>
      <c r="F7" s="539"/>
    </row>
    <row r="8" spans="1:8" ht="13.5" thickBot="1">
      <c r="A8" s="540" t="s">
        <v>385</v>
      </c>
      <c r="B8" s="541">
        <v>4</v>
      </c>
      <c r="C8" s="541">
        <v>39.5</v>
      </c>
      <c r="D8" s="541"/>
      <c r="E8" s="541"/>
      <c r="F8" s="542"/>
    </row>
    <row r="9" spans="1:8">
      <c r="A9" s="531"/>
      <c r="B9" s="531"/>
      <c r="C9" s="531"/>
      <c r="D9" s="531"/>
      <c r="E9" s="531"/>
      <c r="F9" s="531"/>
    </row>
    <row r="10" spans="1:8">
      <c r="A10" s="543" t="s">
        <v>658</v>
      </c>
      <c r="B10" s="544">
        <v>0.74590400000000001</v>
      </c>
      <c r="C10" s="531"/>
      <c r="D10" s="543" t="s">
        <v>659</v>
      </c>
      <c r="E10" s="544">
        <v>6.8697010000000001</v>
      </c>
      <c r="F10" s="531"/>
    </row>
    <row r="11" spans="1:8">
      <c r="A11" s="543" t="s">
        <v>660</v>
      </c>
      <c r="B11" s="545">
        <v>0.95774386000000011</v>
      </c>
      <c r="C11" s="531"/>
      <c r="D11" s="543" t="s">
        <v>661</v>
      </c>
      <c r="E11" s="545">
        <v>0.8260835299999999</v>
      </c>
      <c r="F11" s="531"/>
      <c r="G11" s="531"/>
      <c r="H11" s="531"/>
    </row>
    <row r="12" spans="1:8">
      <c r="A12" s="543" t="s">
        <v>662</v>
      </c>
      <c r="B12" s="545">
        <v>0.94365847999999997</v>
      </c>
      <c r="C12" s="531"/>
      <c r="D12" s="531"/>
      <c r="E12" s="531"/>
      <c r="F12" s="531"/>
      <c r="G12" s="531"/>
      <c r="H12" s="531"/>
    </row>
    <row r="13" spans="1:8">
      <c r="A13" s="531"/>
      <c r="B13" s="531"/>
      <c r="C13" s="531"/>
      <c r="D13" s="531"/>
      <c r="E13" s="531"/>
      <c r="F13" s="531"/>
      <c r="G13" s="531"/>
      <c r="H13" s="531"/>
    </row>
    <row r="14" spans="1:8" ht="13.5" thickBot="1">
      <c r="A14" s="530" t="s">
        <v>663</v>
      </c>
      <c r="B14" s="531"/>
      <c r="C14" s="531"/>
      <c r="D14" s="531"/>
      <c r="E14" s="531"/>
      <c r="F14" s="531"/>
      <c r="G14" s="531"/>
      <c r="H14" s="531"/>
    </row>
    <row r="15" spans="1:8">
      <c r="A15" s="679" t="s">
        <v>664</v>
      </c>
      <c r="B15" s="681"/>
      <c r="C15" s="681"/>
      <c r="D15" s="681"/>
      <c r="E15" s="681"/>
      <c r="F15" s="681"/>
      <c r="G15" s="681"/>
      <c r="H15" s="680"/>
    </row>
    <row r="16" spans="1:8" ht="38.25">
      <c r="A16" s="532" t="s">
        <v>665</v>
      </c>
      <c r="B16" s="533" t="s">
        <v>666</v>
      </c>
      <c r="C16" s="533" t="s">
        <v>667</v>
      </c>
      <c r="D16" s="533" t="s">
        <v>624</v>
      </c>
      <c r="E16" s="533" t="s">
        <v>668</v>
      </c>
      <c r="F16" s="533" t="s">
        <v>669</v>
      </c>
      <c r="G16" s="533" t="s">
        <v>670</v>
      </c>
      <c r="H16" s="534" t="s">
        <v>655</v>
      </c>
    </row>
    <row r="17" spans="1:8">
      <c r="A17" s="546" t="s">
        <v>629</v>
      </c>
      <c r="B17" s="536" t="s">
        <v>169</v>
      </c>
      <c r="C17" s="536">
        <v>1.279412</v>
      </c>
      <c r="D17" s="536">
        <v>0.61094400000000004</v>
      </c>
      <c r="E17" s="536">
        <v>-0.158362</v>
      </c>
      <c r="F17" s="536">
        <v>2.7171850000000002</v>
      </c>
      <c r="G17" s="536">
        <v>2.0941550000000002</v>
      </c>
      <c r="H17" s="539">
        <v>0.127272</v>
      </c>
    </row>
    <row r="18" spans="1:8" ht="13.5" thickBot="1">
      <c r="A18" s="547" t="s">
        <v>671</v>
      </c>
      <c r="B18" s="541">
        <v>1.029412</v>
      </c>
      <c r="C18" s="541">
        <v>0.514706</v>
      </c>
      <c r="D18" s="541">
        <v>6.2419000000000002E-2</v>
      </c>
      <c r="E18" s="541">
        <v>0.367811</v>
      </c>
      <c r="F18" s="541">
        <v>0.66160099999999999</v>
      </c>
      <c r="G18" s="541">
        <v>8.2459439999999997</v>
      </c>
      <c r="H18" s="548">
        <v>3.7339999999999999E-3</v>
      </c>
    </row>
    <row r="19" spans="1:8">
      <c r="A19" s="531"/>
      <c r="B19" s="531"/>
      <c r="C19" s="531"/>
      <c r="D19" s="531"/>
      <c r="E19" s="531"/>
      <c r="F19" s="531"/>
      <c r="G19" s="531"/>
      <c r="H19" s="531"/>
    </row>
    <row r="20" spans="1:8" ht="13.5" thickBot="1">
      <c r="A20" s="530" t="s">
        <v>672</v>
      </c>
      <c r="B20" s="531"/>
      <c r="C20" s="531"/>
      <c r="D20" s="531"/>
      <c r="E20" s="531"/>
      <c r="F20" s="531"/>
      <c r="G20" s="531"/>
      <c r="H20" s="531"/>
    </row>
    <row r="21" spans="1:8">
      <c r="A21" s="679" t="s">
        <v>673</v>
      </c>
      <c r="B21" s="680"/>
      <c r="C21" s="531"/>
      <c r="D21" s="531"/>
      <c r="E21" s="531"/>
      <c r="F21" s="531"/>
      <c r="G21" s="531"/>
      <c r="H21" s="531"/>
    </row>
    <row r="22" spans="1:8">
      <c r="A22" s="546" t="s">
        <v>588</v>
      </c>
      <c r="B22" s="539" t="s">
        <v>674</v>
      </c>
      <c r="C22" s="531"/>
      <c r="D22" s="531"/>
      <c r="E22" s="531"/>
      <c r="F22" s="531"/>
      <c r="G22" s="531"/>
      <c r="H22" s="531"/>
    </row>
    <row r="23" spans="1:8" ht="13.5" thickBot="1">
      <c r="A23" s="549" t="s">
        <v>675</v>
      </c>
      <c r="B23" s="542" t="s">
        <v>169</v>
      </c>
      <c r="C23" s="531"/>
      <c r="D23" s="531"/>
      <c r="E23" s="531"/>
      <c r="F23" s="531"/>
      <c r="G23" s="531"/>
      <c r="H23" s="531"/>
    </row>
    <row r="24" spans="1:8" ht="13.5" thickBot="1">
      <c r="A24" s="531"/>
      <c r="B24" s="531"/>
      <c r="C24" s="531"/>
      <c r="D24" s="531"/>
      <c r="E24" s="531"/>
      <c r="F24" s="531"/>
      <c r="G24" s="531"/>
      <c r="H24" s="531"/>
    </row>
    <row r="25" spans="1:8">
      <c r="A25" s="679" t="s">
        <v>676</v>
      </c>
      <c r="B25" s="680"/>
      <c r="C25" s="531"/>
      <c r="D25" s="531"/>
      <c r="E25" s="531"/>
      <c r="F25" s="531"/>
      <c r="G25" s="531"/>
      <c r="H25" s="531"/>
    </row>
    <row r="26" spans="1:8">
      <c r="A26" s="546" t="s">
        <v>677</v>
      </c>
      <c r="B26" s="539" t="s">
        <v>678</v>
      </c>
      <c r="C26" s="531"/>
      <c r="D26" s="531"/>
      <c r="E26" s="531"/>
      <c r="F26" s="531"/>
      <c r="G26" s="531"/>
      <c r="H26" s="531"/>
    </row>
    <row r="27" spans="1:8" ht="13.5" thickBot="1">
      <c r="A27" s="549" t="s">
        <v>679</v>
      </c>
      <c r="B27" s="542">
        <v>0.1</v>
      </c>
    </row>
    <row r="28" spans="1:8" ht="13.5" thickBot="1">
      <c r="A28" s="531"/>
      <c r="B28" s="531"/>
    </row>
    <row r="29" spans="1:8">
      <c r="A29" s="679" t="s">
        <v>680</v>
      </c>
      <c r="B29" s="680"/>
    </row>
    <row r="30" spans="1:8">
      <c r="A30" s="532" t="s">
        <v>588</v>
      </c>
      <c r="B30" s="534" t="s">
        <v>655</v>
      </c>
    </row>
    <row r="31" spans="1:8" ht="13.5" thickBot="1">
      <c r="A31" s="549" t="s">
        <v>671</v>
      </c>
      <c r="B31" s="542">
        <v>3.7339999999999999E-3</v>
      </c>
    </row>
    <row r="32" spans="1:8" ht="13.5" thickBot="1">
      <c r="A32" s="531"/>
      <c r="B32" s="531"/>
    </row>
    <row r="33" spans="1:2">
      <c r="A33" s="679" t="s">
        <v>681</v>
      </c>
      <c r="B33" s="680"/>
    </row>
    <row r="34" spans="1:2">
      <c r="A34" s="550" t="s">
        <v>682</v>
      </c>
      <c r="B34" s="551" t="s">
        <v>169</v>
      </c>
    </row>
    <row r="35" spans="1:2">
      <c r="A35" s="550">
        <v>1.279412</v>
      </c>
      <c r="B35" s="551" t="s">
        <v>169</v>
      </c>
    </row>
    <row r="36" spans="1:2" ht="13.5" thickBot="1">
      <c r="A36" s="552">
        <v>0.514706</v>
      </c>
      <c r="B36" s="553" t="s">
        <v>671</v>
      </c>
    </row>
  </sheetData>
  <mergeCells count="6">
    <mergeCell ref="A33:B33"/>
    <mergeCell ref="A2:F2"/>
    <mergeCell ref="A15:H15"/>
    <mergeCell ref="A21:B21"/>
    <mergeCell ref="A25:B25"/>
    <mergeCell ref="A29:B29"/>
  </mergeCell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BB12A-B098-4162-B2F9-79DA2F1F90A7}">
  <sheetPr codeName="Sheet23">
    <tabColor rgb="FFFFFF00"/>
  </sheetPr>
  <dimension ref="B2:H14"/>
  <sheetViews>
    <sheetView view="pageLayout" topLeftCell="A16" zoomScaleNormal="100" workbookViewId="0">
      <selection activeCell="B4" sqref="B4"/>
    </sheetView>
  </sheetViews>
  <sheetFormatPr defaultRowHeight="14.25"/>
  <cols>
    <col min="1" max="2" width="9.140625" style="355"/>
    <col min="3" max="3" width="17" style="355" customWidth="1"/>
    <col min="4" max="4" width="32.28515625" style="355" bestFit="1" customWidth="1"/>
    <col min="5" max="5" width="21.140625" style="355" customWidth="1"/>
    <col min="6" max="7" width="16.85546875" style="355" customWidth="1"/>
    <col min="8" max="8" width="13.7109375" style="355" customWidth="1"/>
    <col min="9" max="16384" width="9.140625" style="355"/>
  </cols>
  <sheetData>
    <row r="2" spans="2:8">
      <c r="C2" s="434" t="s">
        <v>174</v>
      </c>
      <c r="D2" s="368">
        <f>1.5</f>
        <v>1.5</v>
      </c>
    </row>
    <row r="3" spans="2:8">
      <c r="C3" s="367"/>
      <c r="D3" s="434" t="s">
        <v>690</v>
      </c>
    </row>
    <row r="4" spans="2:8">
      <c r="C4" s="434" t="s">
        <v>691</v>
      </c>
      <c r="D4" s="368" t="s">
        <v>692</v>
      </c>
    </row>
    <row r="5" spans="2:8">
      <c r="C5" s="434" t="s">
        <v>693</v>
      </c>
      <c r="D5" s="368" t="s">
        <v>795</v>
      </c>
    </row>
    <row r="7" spans="2:8" ht="18.75" customHeight="1">
      <c r="B7" s="527" t="s">
        <v>683</v>
      </c>
      <c r="C7" s="527" t="s">
        <v>684</v>
      </c>
      <c r="D7" s="527" t="s">
        <v>250</v>
      </c>
      <c r="E7" s="527" t="s">
        <v>685</v>
      </c>
      <c r="F7" s="527" t="s">
        <v>686</v>
      </c>
      <c r="G7" s="527" t="s">
        <v>686</v>
      </c>
      <c r="H7" s="527" t="s">
        <v>687</v>
      </c>
    </row>
    <row r="8" spans="2:8">
      <c r="B8" s="398">
        <v>1</v>
      </c>
      <c r="C8" s="528">
        <f>629</f>
        <v>629</v>
      </c>
      <c r="D8" s="529">
        <f>C8^D2</f>
        <v>15775.239744612452</v>
      </c>
      <c r="E8" s="529">
        <f>55336.62+$B8*21313.7</f>
        <v>76650.320000000007</v>
      </c>
      <c r="F8" s="529">
        <f>$B8*21313.7-71045.2</f>
        <v>-49731.5</v>
      </c>
      <c r="G8" s="529">
        <f>0</f>
        <v>0</v>
      </c>
      <c r="H8" s="528" t="s">
        <v>689</v>
      </c>
    </row>
    <row r="9" spans="2:8">
      <c r="B9" s="398">
        <f t="shared" ref="B9:B14" si="0">B8+1</f>
        <v>2</v>
      </c>
      <c r="C9" s="528">
        <f>369</f>
        <v>369</v>
      </c>
      <c r="D9" s="529">
        <f t="shared" ref="D9:D14" si="1">$C9^$D$2+$D8</f>
        <v>22863.498275450613</v>
      </c>
      <c r="E9" s="529">
        <f t="shared" ref="E9:E14" si="2">55336.62+$B9*21313.7</f>
        <v>97964.02</v>
      </c>
      <c r="F9" s="529">
        <f t="shared" ref="F9:G14" si="3">$B9*21313.7-71045.2</f>
        <v>-28417.799999999996</v>
      </c>
      <c r="G9" s="529">
        <f>0</f>
        <v>0</v>
      </c>
      <c r="H9" s="528" t="s">
        <v>689</v>
      </c>
    </row>
    <row r="10" spans="2:8">
      <c r="B10" s="398">
        <f t="shared" si="0"/>
        <v>3</v>
      </c>
      <c r="C10" s="528">
        <f>685</f>
        <v>685</v>
      </c>
      <c r="D10" s="529">
        <f t="shared" si="1"/>
        <v>40791.663965224929</v>
      </c>
      <c r="E10" s="529">
        <f t="shared" si="2"/>
        <v>119277.72</v>
      </c>
      <c r="F10" s="529">
        <f t="shared" si="3"/>
        <v>-7104.0999999999913</v>
      </c>
      <c r="G10" s="529">
        <f>0</f>
        <v>0</v>
      </c>
      <c r="H10" s="528" t="s">
        <v>689</v>
      </c>
    </row>
    <row r="11" spans="2:8">
      <c r="B11" s="398">
        <f t="shared" si="0"/>
        <v>4</v>
      </c>
      <c r="C11" s="528">
        <f>270</f>
        <v>270</v>
      </c>
      <c r="D11" s="529">
        <f t="shared" si="1"/>
        <v>45228.216681016776</v>
      </c>
      <c r="E11" s="529">
        <f t="shared" si="2"/>
        <v>140591.42000000001</v>
      </c>
      <c r="F11" s="529">
        <f t="shared" si="3"/>
        <v>14209.600000000006</v>
      </c>
      <c r="G11" s="529">
        <f t="shared" si="3"/>
        <v>14209.600000000006</v>
      </c>
      <c r="H11" s="528" t="s">
        <v>689</v>
      </c>
    </row>
    <row r="12" spans="2:8">
      <c r="B12" s="398">
        <f t="shared" si="0"/>
        <v>5</v>
      </c>
      <c r="C12" s="528">
        <f>682</f>
        <v>682</v>
      </c>
      <c r="D12" s="529">
        <f t="shared" si="1"/>
        <v>63038.735146238403</v>
      </c>
      <c r="E12" s="529">
        <f t="shared" si="2"/>
        <v>161905.12</v>
      </c>
      <c r="F12" s="529">
        <f t="shared" si="3"/>
        <v>35523.300000000003</v>
      </c>
      <c r="G12" s="529">
        <f t="shared" si="3"/>
        <v>35523.300000000003</v>
      </c>
      <c r="H12" s="528" t="s">
        <v>689</v>
      </c>
    </row>
    <row r="13" spans="2:8">
      <c r="B13" s="398">
        <f t="shared" si="0"/>
        <v>6</v>
      </c>
      <c r="C13" s="528">
        <f>194</f>
        <v>194</v>
      </c>
      <c r="D13" s="529">
        <f t="shared" si="1"/>
        <v>65740.842472012126</v>
      </c>
      <c r="E13" s="529">
        <f t="shared" si="2"/>
        <v>183218.82</v>
      </c>
      <c r="F13" s="529">
        <f t="shared" si="3"/>
        <v>56837.000000000015</v>
      </c>
      <c r="G13" s="529">
        <f t="shared" si="3"/>
        <v>56837.000000000015</v>
      </c>
      <c r="H13" s="528" t="s">
        <v>689</v>
      </c>
    </row>
    <row r="14" spans="2:8">
      <c r="B14" s="398">
        <f t="shared" si="0"/>
        <v>7</v>
      </c>
      <c r="C14" s="528">
        <f>113</f>
        <v>113</v>
      </c>
      <c r="D14" s="529">
        <f t="shared" si="1"/>
        <v>66942.048948851138</v>
      </c>
      <c r="E14" s="529">
        <f t="shared" si="2"/>
        <v>204532.52</v>
      </c>
      <c r="F14" s="529">
        <f t="shared" si="3"/>
        <v>78150.7</v>
      </c>
      <c r="G14" s="529">
        <f t="shared" si="3"/>
        <v>78150.7</v>
      </c>
      <c r="H14" s="528" t="s">
        <v>688</v>
      </c>
    </row>
  </sheetData>
  <pageMargins left="0.7" right="0.7" top="0.75" bottom="0.75" header="0.3" footer="0.3"/>
  <pageSetup orientation="portrait" r:id="rId1"/>
  <headerFooter>
    <oddHeader>&amp;C&amp;"Arial,Bold"&amp;K0000E1PSRT</oddHeader>
  </headerFooter>
  <drawing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E39AE-AAF4-450F-9835-7AED03ADFB46}">
  <sheetPr codeName="Sheet24"/>
  <dimension ref="A1:G30"/>
  <sheetViews>
    <sheetView showGridLines="0" topLeftCell="A13" workbookViewId="0">
      <selection activeCell="C43" sqref="C43"/>
    </sheetView>
  </sheetViews>
  <sheetFormatPr defaultRowHeight="15"/>
  <cols>
    <col min="1" max="1" width="2.28515625" customWidth="1"/>
    <col min="2" max="2" width="5.140625" bestFit="1" customWidth="1"/>
    <col min="3" max="3" width="11.5703125" bestFit="1" customWidth="1"/>
    <col min="4" max="4" width="13.7109375" bestFit="1" customWidth="1"/>
    <col min="5" max="5" width="12" bestFit="1" customWidth="1"/>
    <col min="6" max="6" width="11.42578125" bestFit="1" customWidth="1"/>
    <col min="7" max="7" width="12" bestFit="1" customWidth="1"/>
  </cols>
  <sheetData>
    <row r="1" spans="1:5">
      <c r="A1" s="214" t="s">
        <v>592</v>
      </c>
    </row>
    <row r="2" spans="1:5">
      <c r="A2" s="214" t="s">
        <v>711</v>
      </c>
    </row>
    <row r="3" spans="1:5">
      <c r="A3" s="214" t="s">
        <v>724</v>
      </c>
    </row>
    <row r="4" spans="1:5">
      <c r="A4" s="214" t="s">
        <v>593</v>
      </c>
    </row>
    <row r="5" spans="1:5">
      <c r="A5" s="214" t="s">
        <v>594</v>
      </c>
    </row>
    <row r="6" spans="1:5">
      <c r="A6" s="214"/>
      <c r="B6" t="s">
        <v>595</v>
      </c>
    </row>
    <row r="7" spans="1:5">
      <c r="A7" s="214"/>
      <c r="B7" t="s">
        <v>725</v>
      </c>
    </row>
    <row r="8" spans="1:5">
      <c r="A8" s="214"/>
      <c r="B8" t="s">
        <v>596</v>
      </c>
    </row>
    <row r="9" spans="1:5">
      <c r="A9" s="214" t="s">
        <v>597</v>
      </c>
    </row>
    <row r="10" spans="1:5">
      <c r="B10" t="s">
        <v>598</v>
      </c>
    </row>
    <row r="11" spans="1:5">
      <c r="B11" t="s">
        <v>599</v>
      </c>
    </row>
    <row r="12" spans="1:5">
      <c r="B12" t="s">
        <v>600</v>
      </c>
    </row>
    <row r="14" spans="1:5" ht="15.75" thickBot="1">
      <c r="A14" t="s">
        <v>713</v>
      </c>
    </row>
    <row r="15" spans="1:5" ht="15.75" thickBot="1">
      <c r="B15" s="235" t="s">
        <v>587</v>
      </c>
      <c r="C15" s="235" t="s">
        <v>588</v>
      </c>
      <c r="D15" s="235" t="s">
        <v>602</v>
      </c>
      <c r="E15" s="235" t="s">
        <v>603</v>
      </c>
    </row>
    <row r="16" spans="1:5" ht="15.75" thickBot="1">
      <c r="B16" s="216" t="s">
        <v>591</v>
      </c>
      <c r="C16" s="216" t="s">
        <v>709</v>
      </c>
      <c r="D16" s="217">
        <v>11.160940904996895</v>
      </c>
      <c r="E16" s="217">
        <v>11.160940904996895</v>
      </c>
    </row>
    <row r="19" spans="1:7" ht="15.75" thickBot="1">
      <c r="A19" t="s">
        <v>586</v>
      </c>
    </row>
    <row r="20" spans="1:7" ht="15.75" thickBot="1">
      <c r="B20" s="235" t="s">
        <v>587</v>
      </c>
      <c r="C20" s="235" t="s">
        <v>588</v>
      </c>
      <c r="D20" s="235" t="s">
        <v>602</v>
      </c>
      <c r="E20" s="235" t="s">
        <v>603</v>
      </c>
      <c r="F20" s="235" t="s">
        <v>604</v>
      </c>
    </row>
    <row r="21" spans="1:7">
      <c r="B21" s="215" t="s">
        <v>714</v>
      </c>
      <c r="C21" s="215" t="s">
        <v>614</v>
      </c>
      <c r="D21" s="218">
        <v>1.2618861151763088</v>
      </c>
      <c r="E21" s="218">
        <v>1.2618861151763088</v>
      </c>
      <c r="F21" s="215" t="s">
        <v>610</v>
      </c>
    </row>
    <row r="22" spans="1:7" ht="15.75" thickBot="1">
      <c r="B22" s="216" t="s">
        <v>715</v>
      </c>
      <c r="C22" s="216" t="s">
        <v>615</v>
      </c>
      <c r="D22" s="217">
        <v>1.2618861151763088</v>
      </c>
      <c r="E22" s="217">
        <v>1.2618861151763088</v>
      </c>
      <c r="F22" s="216" t="s">
        <v>610</v>
      </c>
    </row>
    <row r="25" spans="1:7" ht="15.75" thickBot="1">
      <c r="A25" t="s">
        <v>589</v>
      </c>
    </row>
    <row r="26" spans="1:7" ht="15.75" thickBot="1">
      <c r="B26" s="235" t="s">
        <v>587</v>
      </c>
      <c r="C26" s="235" t="s">
        <v>588</v>
      </c>
      <c r="D26" s="235" t="s">
        <v>605</v>
      </c>
      <c r="E26" s="235" t="s">
        <v>606</v>
      </c>
      <c r="F26" s="235" t="s">
        <v>607</v>
      </c>
      <c r="G26" s="235" t="s">
        <v>608</v>
      </c>
    </row>
    <row r="27" spans="1:7">
      <c r="B27" s="215" t="s">
        <v>609</v>
      </c>
      <c r="C27" s="215" t="s">
        <v>710</v>
      </c>
      <c r="D27" s="218">
        <v>9.9999992449974702</v>
      </c>
      <c r="E27" s="215" t="s">
        <v>716</v>
      </c>
      <c r="F27" s="215" t="s">
        <v>612</v>
      </c>
      <c r="G27" s="218">
        <v>0</v>
      </c>
    </row>
    <row r="28" spans="1:7">
      <c r="B28" s="215" t="s">
        <v>717</v>
      </c>
      <c r="C28" s="215"/>
      <c r="D28" s="218">
        <v>1</v>
      </c>
      <c r="E28" s="215" t="s">
        <v>718</v>
      </c>
      <c r="F28" s="215" t="s">
        <v>611</v>
      </c>
      <c r="G28" s="215">
        <v>0.25</v>
      </c>
    </row>
    <row r="29" spans="1:7">
      <c r="B29" s="215" t="s">
        <v>714</v>
      </c>
      <c r="C29" s="215" t="s">
        <v>614</v>
      </c>
      <c r="D29" s="218">
        <v>1.2618861151763088</v>
      </c>
      <c r="E29" s="215" t="s">
        <v>719</v>
      </c>
      <c r="F29" s="215" t="s">
        <v>611</v>
      </c>
      <c r="G29" s="218">
        <v>1.2618861151763088</v>
      </c>
    </row>
    <row r="30" spans="1:7" ht="15.75" thickBot="1">
      <c r="B30" s="216" t="s">
        <v>715</v>
      </c>
      <c r="C30" s="216" t="s">
        <v>615</v>
      </c>
      <c r="D30" s="217">
        <v>1.2618861151763088</v>
      </c>
      <c r="E30" s="216" t="s">
        <v>720</v>
      </c>
      <c r="F30" s="216" t="s">
        <v>611</v>
      </c>
      <c r="G30" s="217">
        <v>1.2618861151763088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66D47-2374-407D-BE24-91E620EA1B3A}">
  <sheetPr codeName="Sheet25">
    <tabColor theme="9" tint="-0.249977111117893"/>
  </sheetPr>
  <dimension ref="A1:B7"/>
  <sheetViews>
    <sheetView topLeftCell="A4" workbookViewId="0">
      <selection activeCell="B4" sqref="B4"/>
    </sheetView>
  </sheetViews>
  <sheetFormatPr defaultRowHeight="14.25"/>
  <cols>
    <col min="1" max="1" width="12.7109375" style="24" customWidth="1"/>
    <col min="2" max="16384" width="9.140625" style="24"/>
  </cols>
  <sheetData>
    <row r="1" spans="1:2">
      <c r="A1" s="24" t="s">
        <v>614</v>
      </c>
      <c r="B1" s="24">
        <v>1.2618861151763088</v>
      </c>
    </row>
    <row r="2" spans="1:2">
      <c r="A2" s="24" t="s">
        <v>615</v>
      </c>
      <c r="B2" s="24">
        <v>1.2618861151763088</v>
      </c>
    </row>
    <row r="4" spans="1:2">
      <c r="A4" s="24" t="s">
        <v>709</v>
      </c>
      <c r="B4" s="24">
        <f>10+(B1-0.5)^2+(B2-0.5)^2</f>
        <v>11.160940904996895</v>
      </c>
    </row>
    <row r="6" spans="1:2">
      <c r="A6" s="24" t="s">
        <v>710</v>
      </c>
      <c r="B6" s="24">
        <f>3.14*(B1^2+B2^2)</f>
        <v>9.9999992449974702</v>
      </c>
    </row>
    <row r="7" spans="1:2">
      <c r="B7" s="24">
        <f>B1/B2</f>
        <v>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F3F23-1031-4019-A956-A7697797208E}">
  <sheetPr codeName="Sheet26"/>
  <dimension ref="A1:G30"/>
  <sheetViews>
    <sheetView showGridLines="0" topLeftCell="A13" workbookViewId="0">
      <selection activeCell="I15" sqref="I15"/>
    </sheetView>
  </sheetViews>
  <sheetFormatPr defaultRowHeight="15"/>
  <cols>
    <col min="1" max="1" width="2.28515625" customWidth="1"/>
    <col min="2" max="2" width="5" bestFit="1" customWidth="1"/>
    <col min="3" max="3" width="36.7109375" bestFit="1" customWidth="1"/>
    <col min="4" max="4" width="13.7109375" bestFit="1" customWidth="1"/>
    <col min="5" max="5" width="12" bestFit="1" customWidth="1"/>
    <col min="6" max="6" width="11.42578125" bestFit="1" customWidth="1"/>
    <col min="7" max="7" width="12" bestFit="1" customWidth="1"/>
  </cols>
  <sheetData>
    <row r="1" spans="1:5">
      <c r="A1" s="214" t="s">
        <v>592</v>
      </c>
    </row>
    <row r="2" spans="1:5">
      <c r="A2" s="214" t="s">
        <v>699</v>
      </c>
    </row>
    <row r="3" spans="1:5">
      <c r="A3" s="214" t="s">
        <v>721</v>
      </c>
    </row>
    <row r="4" spans="1:5">
      <c r="A4" s="214" t="s">
        <v>593</v>
      </c>
    </row>
    <row r="5" spans="1:5">
      <c r="A5" s="214" t="s">
        <v>594</v>
      </c>
    </row>
    <row r="6" spans="1:5">
      <c r="A6" s="214"/>
      <c r="B6" t="s">
        <v>722</v>
      </c>
    </row>
    <row r="7" spans="1:5">
      <c r="A7" s="214"/>
      <c r="B7" t="s">
        <v>723</v>
      </c>
    </row>
    <row r="8" spans="1:5">
      <c r="A8" s="214"/>
      <c r="B8" t="s">
        <v>712</v>
      </c>
    </row>
    <row r="9" spans="1:5">
      <c r="A9" s="214" t="s">
        <v>597</v>
      </c>
    </row>
    <row r="10" spans="1:5">
      <c r="B10" t="s">
        <v>598</v>
      </c>
    </row>
    <row r="11" spans="1:5">
      <c r="B11" t="s">
        <v>600</v>
      </c>
    </row>
    <row r="14" spans="1:5" ht="15.75" thickBot="1">
      <c r="A14" t="s">
        <v>601</v>
      </c>
    </row>
    <row r="15" spans="1:5" ht="15.75" thickBot="1">
      <c r="B15" s="235" t="s">
        <v>587</v>
      </c>
      <c r="C15" s="235" t="s">
        <v>588</v>
      </c>
      <c r="D15" s="235" t="s">
        <v>602</v>
      </c>
      <c r="E15" s="235" t="s">
        <v>603</v>
      </c>
    </row>
    <row r="16" spans="1:5" ht="15.75" thickBot="1">
      <c r="B16" s="216" t="s">
        <v>700</v>
      </c>
      <c r="C16" s="216" t="s">
        <v>697</v>
      </c>
      <c r="D16" s="217">
        <v>117333.33333333334</v>
      </c>
      <c r="E16" s="217">
        <v>117333.33333333334</v>
      </c>
    </row>
    <row r="19" spans="1:7" ht="15.75" thickBot="1">
      <c r="A19" t="s">
        <v>586</v>
      </c>
    </row>
    <row r="20" spans="1:7" ht="15.75" thickBot="1">
      <c r="B20" s="235" t="s">
        <v>587</v>
      </c>
      <c r="C20" s="235" t="s">
        <v>588</v>
      </c>
      <c r="D20" s="235" t="s">
        <v>602</v>
      </c>
      <c r="E20" s="235" t="s">
        <v>603</v>
      </c>
      <c r="F20" s="235" t="s">
        <v>604</v>
      </c>
    </row>
    <row r="21" spans="1:7">
      <c r="B21" s="215" t="s">
        <v>701</v>
      </c>
      <c r="C21" s="215" t="s">
        <v>695</v>
      </c>
      <c r="D21" s="218">
        <v>0</v>
      </c>
      <c r="E21" s="218">
        <v>0</v>
      </c>
      <c r="F21" s="215" t="s">
        <v>610</v>
      </c>
    </row>
    <row r="22" spans="1:7" ht="15.75" thickBot="1">
      <c r="B22" s="216" t="s">
        <v>702</v>
      </c>
      <c r="C22" s="216" t="s">
        <v>696</v>
      </c>
      <c r="D22" s="217">
        <v>2666.666666666667</v>
      </c>
      <c r="E22" s="217">
        <v>2666.666666666667</v>
      </c>
      <c r="F22" s="216" t="s">
        <v>610</v>
      </c>
    </row>
    <row r="25" spans="1:7" ht="15.75" thickBot="1">
      <c r="A25" t="s">
        <v>589</v>
      </c>
    </row>
    <row r="26" spans="1:7" ht="15.75" thickBot="1">
      <c r="B26" s="235" t="s">
        <v>587</v>
      </c>
      <c r="C26" s="235" t="s">
        <v>588</v>
      </c>
      <c r="D26" s="235" t="s">
        <v>605</v>
      </c>
      <c r="E26" s="235" t="s">
        <v>606</v>
      </c>
      <c r="F26" s="235" t="s">
        <v>607</v>
      </c>
      <c r="G26" s="235" t="s">
        <v>608</v>
      </c>
    </row>
    <row r="27" spans="1:7">
      <c r="B27" s="215" t="s">
        <v>703</v>
      </c>
      <c r="C27" s="215" t="s">
        <v>698</v>
      </c>
      <c r="D27" s="218">
        <v>2666.666666666667</v>
      </c>
      <c r="E27" s="215" t="s">
        <v>704</v>
      </c>
      <c r="F27" s="215" t="s">
        <v>611</v>
      </c>
      <c r="G27" s="218">
        <v>1666.666666666667</v>
      </c>
    </row>
    <row r="28" spans="1:7">
      <c r="B28" s="215" t="s">
        <v>705</v>
      </c>
      <c r="C28" s="215" t="s">
        <v>585</v>
      </c>
      <c r="D28" s="218">
        <v>8000.0000000000009</v>
      </c>
      <c r="E28" s="215" t="s">
        <v>706</v>
      </c>
      <c r="F28" s="215" t="s">
        <v>612</v>
      </c>
      <c r="G28" s="215">
        <v>0</v>
      </c>
    </row>
    <row r="29" spans="1:7">
      <c r="B29" s="215" t="s">
        <v>701</v>
      </c>
      <c r="C29" s="215" t="s">
        <v>695</v>
      </c>
      <c r="D29" s="218">
        <v>0</v>
      </c>
      <c r="E29" s="215" t="s">
        <v>707</v>
      </c>
      <c r="F29" s="215" t="s">
        <v>612</v>
      </c>
      <c r="G29" s="218">
        <v>0</v>
      </c>
    </row>
    <row r="30" spans="1:7" ht="15.75" thickBot="1">
      <c r="B30" s="216" t="s">
        <v>702</v>
      </c>
      <c r="C30" s="216" t="s">
        <v>696</v>
      </c>
      <c r="D30" s="217">
        <v>2666.666666666667</v>
      </c>
      <c r="E30" s="216" t="s">
        <v>708</v>
      </c>
      <c r="F30" s="216" t="s">
        <v>611</v>
      </c>
      <c r="G30" s="217">
        <v>2666.666666666667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B6AEB-A575-40BB-9B9A-2E3EC1DE8B6E}">
  <sheetPr codeName="Sheet27">
    <tabColor theme="5" tint="0.59999389629810485"/>
  </sheetPr>
  <dimension ref="A1:E8"/>
  <sheetViews>
    <sheetView workbookViewId="0">
      <selection activeCell="H10" sqref="H10"/>
    </sheetView>
  </sheetViews>
  <sheetFormatPr defaultRowHeight="15.75"/>
  <cols>
    <col min="1" max="3" width="9.140625" style="233"/>
    <col min="4" max="4" width="12.7109375" style="233" customWidth="1"/>
    <col min="5" max="5" width="9.140625" style="234"/>
    <col min="6" max="16384" width="9.140625" style="233"/>
  </cols>
  <sheetData>
    <row r="1" spans="1:5">
      <c r="A1" s="233" t="s">
        <v>694</v>
      </c>
    </row>
    <row r="3" spans="1:5">
      <c r="A3" s="233" t="s">
        <v>695</v>
      </c>
      <c r="E3" s="234">
        <v>0</v>
      </c>
    </row>
    <row r="4" spans="1:5">
      <c r="A4" s="233" t="s">
        <v>696</v>
      </c>
      <c r="E4" s="234">
        <v>2666.666666666667</v>
      </c>
    </row>
    <row r="6" spans="1:5">
      <c r="A6" s="233" t="s">
        <v>697</v>
      </c>
      <c r="E6" s="234">
        <f>60*E3+44*E4</f>
        <v>117333.33333333334</v>
      </c>
    </row>
    <row r="7" spans="1:5">
      <c r="A7" s="233" t="s">
        <v>698</v>
      </c>
      <c r="E7" s="234">
        <f>E3+E4</f>
        <v>2666.666666666667</v>
      </c>
    </row>
    <row r="8" spans="1:5">
      <c r="A8" s="233" t="s">
        <v>585</v>
      </c>
      <c r="E8" s="234">
        <f>5*E3+3*E4</f>
        <v>8000.0000000000009</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0873C-D201-41D8-99A3-AE2CDED947A6}">
  <sheetPr codeName="Sheet28"/>
  <dimension ref="A1:G28"/>
  <sheetViews>
    <sheetView showGridLines="0" workbookViewId="0"/>
  </sheetViews>
  <sheetFormatPr defaultRowHeight="15"/>
  <cols>
    <col min="1" max="1" width="2.28515625" customWidth="1"/>
    <col min="2" max="2" width="5.140625" bestFit="1" customWidth="1"/>
    <col min="3" max="3" width="11.5703125" bestFit="1" customWidth="1"/>
    <col min="4" max="4" width="13.7109375" bestFit="1" customWidth="1"/>
    <col min="5" max="5" width="11" bestFit="1" customWidth="1"/>
    <col min="6" max="6" width="11.42578125" bestFit="1" customWidth="1"/>
    <col min="7" max="7" width="11" bestFit="1" customWidth="1"/>
  </cols>
  <sheetData>
    <row r="1" spans="1:5">
      <c r="A1" s="214" t="s">
        <v>592</v>
      </c>
    </row>
    <row r="2" spans="1:5">
      <c r="A2" s="214" t="s">
        <v>727</v>
      </c>
    </row>
    <row r="3" spans="1:5">
      <c r="A3" s="214" t="s">
        <v>728</v>
      </c>
    </row>
    <row r="4" spans="1:5">
      <c r="A4" s="214" t="s">
        <v>593</v>
      </c>
    </row>
    <row r="5" spans="1:5">
      <c r="A5" s="214" t="s">
        <v>594</v>
      </c>
    </row>
    <row r="6" spans="1:5">
      <c r="A6" s="214"/>
      <c r="B6" t="s">
        <v>595</v>
      </c>
    </row>
    <row r="7" spans="1:5">
      <c r="A7" s="214"/>
      <c r="B7" t="s">
        <v>729</v>
      </c>
    </row>
    <row r="8" spans="1:5">
      <c r="A8" s="214"/>
      <c r="B8" t="s">
        <v>712</v>
      </c>
    </row>
    <row r="9" spans="1:5">
      <c r="A9" s="214" t="s">
        <v>597</v>
      </c>
    </row>
    <row r="10" spans="1:5">
      <c r="B10" t="s">
        <v>598</v>
      </c>
    </row>
    <row r="11" spans="1:5">
      <c r="B11" t="s">
        <v>599</v>
      </c>
    </row>
    <row r="12" spans="1:5">
      <c r="B12" t="s">
        <v>600</v>
      </c>
    </row>
    <row r="14" spans="1:5" ht="15.75" thickBot="1">
      <c r="A14" t="s">
        <v>713</v>
      </c>
    </row>
    <row r="15" spans="1:5" ht="15.75" thickBot="1">
      <c r="B15" s="235" t="s">
        <v>587</v>
      </c>
      <c r="C15" s="235" t="s">
        <v>588</v>
      </c>
      <c r="D15" s="235" t="s">
        <v>602</v>
      </c>
      <c r="E15" s="235" t="s">
        <v>603</v>
      </c>
    </row>
    <row r="16" spans="1:5" ht="15.75" thickBot="1">
      <c r="B16" s="216" t="s">
        <v>730</v>
      </c>
      <c r="C16" s="216" t="s">
        <v>726</v>
      </c>
      <c r="D16" s="217">
        <v>2</v>
      </c>
      <c r="E16" s="217">
        <v>3.1213199099985918</v>
      </c>
    </row>
    <row r="19" spans="1:7" ht="15.75" thickBot="1">
      <c r="A19" t="s">
        <v>586</v>
      </c>
    </row>
    <row r="20" spans="1:7" ht="15.75" thickBot="1">
      <c r="B20" s="235" t="s">
        <v>587</v>
      </c>
      <c r="C20" s="235" t="s">
        <v>588</v>
      </c>
      <c r="D20" s="235" t="s">
        <v>602</v>
      </c>
      <c r="E20" s="235" t="s">
        <v>603</v>
      </c>
      <c r="F20" s="235" t="s">
        <v>604</v>
      </c>
    </row>
    <row r="21" spans="1:7" ht="15.75" thickBot="1">
      <c r="B21" s="216" t="s">
        <v>715</v>
      </c>
      <c r="C21" s="216" t="s">
        <v>614</v>
      </c>
      <c r="D21" s="217">
        <v>1</v>
      </c>
      <c r="E21" s="217">
        <v>2.1213199099985918</v>
      </c>
      <c r="F21" s="216" t="s">
        <v>610</v>
      </c>
    </row>
    <row r="24" spans="1:7" ht="15.75" thickBot="1">
      <c r="A24" t="s">
        <v>589</v>
      </c>
    </row>
    <row r="25" spans="1:7" ht="15.75" thickBot="1">
      <c r="B25" s="235" t="s">
        <v>587</v>
      </c>
      <c r="C25" s="235" t="s">
        <v>588</v>
      </c>
      <c r="D25" s="235" t="s">
        <v>605</v>
      </c>
      <c r="E25" s="235" t="s">
        <v>606</v>
      </c>
      <c r="F25" s="235" t="s">
        <v>607</v>
      </c>
      <c r="G25" s="235" t="s">
        <v>608</v>
      </c>
    </row>
    <row r="26" spans="1:7">
      <c r="B26" s="215" t="s">
        <v>590</v>
      </c>
      <c r="C26" s="215" t="s">
        <v>615</v>
      </c>
      <c r="D26" s="218">
        <v>1</v>
      </c>
      <c r="E26" s="215" t="s">
        <v>613</v>
      </c>
      <c r="F26" s="215" t="s">
        <v>611</v>
      </c>
      <c r="G26" s="218">
        <v>1</v>
      </c>
    </row>
    <row r="27" spans="1:7">
      <c r="B27" s="215" t="s">
        <v>717</v>
      </c>
      <c r="C27" s="215" t="s">
        <v>710</v>
      </c>
      <c r="D27" s="218">
        <v>11.999996321112867</v>
      </c>
      <c r="E27" s="215" t="s">
        <v>731</v>
      </c>
      <c r="F27" s="215" t="s">
        <v>612</v>
      </c>
      <c r="G27" s="218">
        <v>0</v>
      </c>
    </row>
    <row r="28" spans="1:7" ht="15.75" thickBot="1">
      <c r="B28" s="216" t="s">
        <v>715</v>
      </c>
      <c r="C28" s="216" t="s">
        <v>614</v>
      </c>
      <c r="D28" s="217">
        <v>2.1213199099985918</v>
      </c>
      <c r="E28" s="216" t="s">
        <v>720</v>
      </c>
      <c r="F28" s="216" t="s">
        <v>611</v>
      </c>
      <c r="G28" s="217">
        <v>2.1213199099985918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252DC-7CEA-4BD6-AE90-2E00A8610465}">
  <sheetPr codeName="Sheet29">
    <tabColor rgb="FFFF0000"/>
  </sheetPr>
  <dimension ref="A2:B7"/>
  <sheetViews>
    <sheetView workbookViewId="0">
      <selection activeCell="R10" sqref="R10"/>
    </sheetView>
  </sheetViews>
  <sheetFormatPr defaultRowHeight="15"/>
  <cols>
    <col min="1" max="1" width="18.42578125" customWidth="1"/>
    <col min="2" max="2" width="9.140625" style="231"/>
  </cols>
  <sheetData>
    <row r="2" spans="1:2">
      <c r="A2" t="s">
        <v>614</v>
      </c>
      <c r="B2" s="231">
        <v>2.1213199099985918</v>
      </c>
    </row>
    <row r="3" spans="1:2">
      <c r="A3" t="s">
        <v>615</v>
      </c>
      <c r="B3" s="231">
        <f>1</f>
        <v>1</v>
      </c>
    </row>
    <row r="5" spans="1:2">
      <c r="A5" t="s">
        <v>726</v>
      </c>
      <c r="B5" s="231">
        <f>B2+B3</f>
        <v>3.1213199099985918</v>
      </c>
    </row>
    <row r="7" spans="1:2">
      <c r="A7" s="236" t="s">
        <v>710</v>
      </c>
      <c r="B7" s="231">
        <f>2*(B2)^2+3*(B3)^2</f>
        <v>11.999996321112867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0257F-F0B3-4DB8-8490-66EF82485768}">
  <sheetPr codeName="Sheet30">
    <tabColor rgb="FF00FF00"/>
  </sheetPr>
  <dimension ref="B1:S33"/>
  <sheetViews>
    <sheetView view="pageLayout" topLeftCell="B4" zoomScaleNormal="100" workbookViewId="0">
      <selection activeCell="R24" sqref="R24"/>
    </sheetView>
  </sheetViews>
  <sheetFormatPr defaultRowHeight="15"/>
  <cols>
    <col min="1" max="16384" width="9.140625" style="517"/>
  </cols>
  <sheetData>
    <row r="1" spans="2:19" ht="15.75" thickBot="1"/>
    <row r="2" spans="2:19">
      <c r="B2" s="518" t="s">
        <v>732</v>
      </c>
      <c r="C2" s="519"/>
      <c r="D2" s="519"/>
      <c r="E2" s="519"/>
      <c r="F2" s="519"/>
      <c r="G2" s="519"/>
      <c r="H2" s="519"/>
      <c r="I2" s="519"/>
      <c r="J2" s="519"/>
      <c r="K2" s="519"/>
      <c r="L2" s="519"/>
      <c r="M2" s="519"/>
      <c r="N2" s="519"/>
      <c r="O2" s="519"/>
      <c r="P2" s="519"/>
      <c r="Q2" s="519"/>
      <c r="R2" s="519"/>
      <c r="S2" s="520"/>
    </row>
    <row r="3" spans="2:19">
      <c r="B3" s="521" t="s">
        <v>738</v>
      </c>
      <c r="C3" s="522"/>
      <c r="D3" s="522"/>
      <c r="E3" s="522"/>
      <c r="F3" s="522"/>
      <c r="G3" s="522"/>
      <c r="H3" s="522"/>
      <c r="I3" s="522"/>
      <c r="J3" s="522"/>
      <c r="K3" s="522"/>
      <c r="L3" s="522"/>
      <c r="M3" s="522"/>
      <c r="N3" s="522"/>
      <c r="O3" s="522"/>
      <c r="P3" s="522"/>
      <c r="Q3" s="522"/>
      <c r="R3" s="522"/>
      <c r="S3" s="523"/>
    </row>
    <row r="4" spans="2:19">
      <c r="B4" s="521" t="s">
        <v>733</v>
      </c>
      <c r="C4" s="522"/>
      <c r="D4" s="522"/>
      <c r="E4" s="522"/>
      <c r="F4" s="522"/>
      <c r="G4" s="522"/>
      <c r="H4" s="522"/>
      <c r="I4" s="522"/>
      <c r="J4" s="522"/>
      <c r="K4" s="522"/>
      <c r="L4" s="522"/>
      <c r="M4" s="522"/>
      <c r="N4" s="522"/>
      <c r="O4" s="522"/>
      <c r="P4" s="522"/>
      <c r="Q4" s="522"/>
      <c r="R4" s="522"/>
      <c r="S4" s="523"/>
    </row>
    <row r="5" spans="2:19">
      <c r="B5" s="521" t="s">
        <v>734</v>
      </c>
      <c r="C5" s="522"/>
      <c r="D5" s="522"/>
      <c r="E5" s="522"/>
      <c r="F5" s="522"/>
      <c r="G5" s="522"/>
      <c r="H5" s="522"/>
      <c r="I5" s="522"/>
      <c r="J5" s="522"/>
      <c r="K5" s="522"/>
      <c r="L5" s="522"/>
      <c r="M5" s="522"/>
      <c r="N5" s="522"/>
      <c r="O5" s="522"/>
      <c r="P5" s="522"/>
      <c r="Q5" s="522"/>
      <c r="R5" s="522"/>
      <c r="S5" s="523"/>
    </row>
    <row r="6" spans="2:19">
      <c r="B6" s="521" t="s">
        <v>735</v>
      </c>
      <c r="C6" s="522"/>
      <c r="D6" s="522"/>
      <c r="E6" s="522"/>
      <c r="F6" s="522"/>
      <c r="G6" s="522"/>
      <c r="H6" s="522"/>
      <c r="I6" s="522"/>
      <c r="J6" s="522"/>
      <c r="K6" s="522"/>
      <c r="L6" s="522"/>
      <c r="M6" s="522"/>
      <c r="N6" s="522"/>
      <c r="O6" s="522"/>
      <c r="P6" s="522"/>
      <c r="Q6" s="522"/>
      <c r="R6" s="522"/>
      <c r="S6" s="523"/>
    </row>
    <row r="7" spans="2:19">
      <c r="B7" s="521" t="s">
        <v>736</v>
      </c>
      <c r="C7" s="522"/>
      <c r="D7" s="522"/>
      <c r="E7" s="522"/>
      <c r="F7" s="522"/>
      <c r="G7" s="522"/>
      <c r="H7" s="522"/>
      <c r="I7" s="522"/>
      <c r="J7" s="522"/>
      <c r="K7" s="522"/>
      <c r="L7" s="522"/>
      <c r="M7" s="522"/>
      <c r="N7" s="522"/>
      <c r="O7" s="522"/>
      <c r="P7" s="522"/>
      <c r="Q7" s="522"/>
      <c r="R7" s="522"/>
      <c r="S7" s="523"/>
    </row>
    <row r="8" spans="2:19">
      <c r="B8" s="521" t="s">
        <v>737</v>
      </c>
      <c r="C8" s="522"/>
      <c r="D8" s="522"/>
      <c r="E8" s="522"/>
      <c r="F8" s="522"/>
      <c r="G8" s="522"/>
      <c r="H8" s="522"/>
      <c r="I8" s="522"/>
      <c r="J8" s="522"/>
      <c r="K8" s="522"/>
      <c r="L8" s="522"/>
      <c r="M8" s="522"/>
      <c r="N8" s="522"/>
      <c r="O8" s="522"/>
      <c r="P8" s="522"/>
      <c r="Q8" s="522"/>
      <c r="R8" s="522"/>
      <c r="S8" s="523"/>
    </row>
    <row r="9" spans="2:19">
      <c r="B9" s="521" t="s">
        <v>739</v>
      </c>
      <c r="C9" s="522"/>
      <c r="D9" s="522"/>
      <c r="E9" s="522"/>
      <c r="F9" s="522"/>
      <c r="G9" s="522"/>
      <c r="H9" s="522"/>
      <c r="I9" s="522"/>
      <c r="J9" s="522"/>
      <c r="K9" s="522"/>
      <c r="L9" s="522"/>
      <c r="M9" s="522"/>
      <c r="N9" s="522"/>
      <c r="O9" s="522"/>
      <c r="P9" s="522"/>
      <c r="Q9" s="522"/>
      <c r="R9" s="522"/>
      <c r="S9" s="523"/>
    </row>
    <row r="10" spans="2:19">
      <c r="B10" s="521" t="s">
        <v>740</v>
      </c>
      <c r="C10" s="522"/>
      <c r="D10" s="522"/>
      <c r="E10" s="522"/>
      <c r="F10" s="522"/>
      <c r="G10" s="522"/>
      <c r="H10" s="522"/>
      <c r="I10" s="522"/>
      <c r="J10" s="522"/>
      <c r="K10" s="522"/>
      <c r="L10" s="522"/>
      <c r="M10" s="522"/>
      <c r="N10" s="522"/>
      <c r="O10" s="522"/>
      <c r="P10" s="522"/>
      <c r="Q10" s="522"/>
      <c r="R10" s="522"/>
      <c r="S10" s="523"/>
    </row>
    <row r="11" spans="2:19">
      <c r="B11" s="521" t="s">
        <v>741</v>
      </c>
      <c r="C11" s="522"/>
      <c r="D11" s="522"/>
      <c r="E11" s="522"/>
      <c r="F11" s="522"/>
      <c r="G11" s="522"/>
      <c r="H11" s="522"/>
      <c r="I11" s="522"/>
      <c r="J11" s="522"/>
      <c r="K11" s="522"/>
      <c r="L11" s="522"/>
      <c r="M11" s="522"/>
      <c r="N11" s="522"/>
      <c r="O11" s="522"/>
      <c r="P11" s="522"/>
      <c r="Q11" s="522"/>
      <c r="R11" s="522"/>
      <c r="S11" s="523"/>
    </row>
    <row r="12" spans="2:19">
      <c r="B12" s="521" t="s">
        <v>742</v>
      </c>
      <c r="C12" s="522"/>
      <c r="D12" s="522"/>
      <c r="E12" s="522"/>
      <c r="F12" s="522"/>
      <c r="G12" s="522"/>
      <c r="H12" s="522"/>
      <c r="I12" s="522"/>
      <c r="J12" s="522"/>
      <c r="K12" s="522"/>
      <c r="L12" s="522"/>
      <c r="M12" s="522"/>
      <c r="N12" s="522"/>
      <c r="O12" s="522"/>
      <c r="P12" s="522"/>
      <c r="Q12" s="522"/>
      <c r="R12" s="522"/>
      <c r="S12" s="523"/>
    </row>
    <row r="13" spans="2:19">
      <c r="B13" s="521" t="s">
        <v>743</v>
      </c>
      <c r="C13" s="522"/>
      <c r="D13" s="522"/>
      <c r="E13" s="522"/>
      <c r="F13" s="522"/>
      <c r="G13" s="522"/>
      <c r="H13" s="522"/>
      <c r="I13" s="522"/>
      <c r="J13" s="522"/>
      <c r="K13" s="522"/>
      <c r="L13" s="522"/>
      <c r="M13" s="522"/>
      <c r="N13" s="522"/>
      <c r="O13" s="522"/>
      <c r="P13" s="522"/>
      <c r="Q13" s="522"/>
      <c r="R13" s="522"/>
      <c r="S13" s="523"/>
    </row>
    <row r="14" spans="2:19">
      <c r="B14" s="521" t="s">
        <v>744</v>
      </c>
      <c r="C14" s="522"/>
      <c r="D14" s="522"/>
      <c r="E14" s="522"/>
      <c r="F14" s="522"/>
      <c r="G14" s="522"/>
      <c r="H14" s="522"/>
      <c r="I14" s="522"/>
      <c r="J14" s="522"/>
      <c r="K14" s="522"/>
      <c r="L14" s="522"/>
      <c r="M14" s="522"/>
      <c r="N14" s="522"/>
      <c r="O14" s="522"/>
      <c r="P14" s="522"/>
      <c r="Q14" s="522"/>
      <c r="R14" s="522"/>
      <c r="S14" s="523"/>
    </row>
    <row r="15" spans="2:19">
      <c r="B15" s="521" t="s">
        <v>745</v>
      </c>
      <c r="C15" s="522"/>
      <c r="D15" s="522"/>
      <c r="E15" s="522"/>
      <c r="F15" s="522"/>
      <c r="G15" s="522"/>
      <c r="H15" s="522"/>
      <c r="I15" s="522"/>
      <c r="J15" s="522"/>
      <c r="K15" s="522"/>
      <c r="L15" s="522"/>
      <c r="M15" s="522"/>
      <c r="N15" s="522"/>
      <c r="O15" s="522"/>
      <c r="P15" s="522"/>
      <c r="Q15" s="522"/>
      <c r="R15" s="522"/>
      <c r="S15" s="523"/>
    </row>
    <row r="16" spans="2:19">
      <c r="B16" s="521" t="s">
        <v>746</v>
      </c>
      <c r="C16" s="522"/>
      <c r="D16" s="522"/>
      <c r="E16" s="522"/>
      <c r="F16" s="522"/>
      <c r="G16" s="522"/>
      <c r="H16" s="522"/>
      <c r="I16" s="522"/>
      <c r="J16" s="522"/>
      <c r="K16" s="522"/>
      <c r="L16" s="522"/>
      <c r="M16" s="522"/>
      <c r="N16" s="522"/>
      <c r="O16" s="522"/>
      <c r="P16" s="522"/>
      <c r="Q16" s="522"/>
      <c r="R16" s="522"/>
      <c r="S16" s="523"/>
    </row>
    <row r="17" spans="2:19">
      <c r="B17" s="521" t="s">
        <v>747</v>
      </c>
      <c r="C17" s="522"/>
      <c r="D17" s="522"/>
      <c r="E17" s="522"/>
      <c r="F17" s="522"/>
      <c r="G17" s="522"/>
      <c r="H17" s="522"/>
      <c r="I17" s="522"/>
      <c r="J17" s="522"/>
      <c r="K17" s="522"/>
      <c r="L17" s="522"/>
      <c r="M17" s="522"/>
      <c r="N17" s="522"/>
      <c r="O17" s="522"/>
      <c r="P17" s="522"/>
      <c r="Q17" s="522"/>
      <c r="R17" s="522"/>
      <c r="S17" s="523"/>
    </row>
    <row r="18" spans="2:19">
      <c r="B18" s="521" t="s">
        <v>748</v>
      </c>
      <c r="C18" s="522"/>
      <c r="D18" s="522"/>
      <c r="E18" s="522"/>
      <c r="F18" s="522"/>
      <c r="G18" s="522"/>
      <c r="H18" s="522"/>
      <c r="I18" s="522"/>
      <c r="J18" s="522"/>
      <c r="K18" s="522"/>
      <c r="L18" s="522"/>
      <c r="M18" s="522"/>
      <c r="N18" s="522"/>
      <c r="O18" s="522"/>
      <c r="P18" s="522"/>
      <c r="Q18" s="522"/>
      <c r="R18" s="522"/>
      <c r="S18" s="523"/>
    </row>
    <row r="19" spans="2:19">
      <c r="B19" s="521" t="s">
        <v>749</v>
      </c>
      <c r="C19" s="522"/>
      <c r="D19" s="522"/>
      <c r="E19" s="522"/>
      <c r="F19" s="522"/>
      <c r="G19" s="522"/>
      <c r="H19" s="522"/>
      <c r="I19" s="522"/>
      <c r="J19" s="522"/>
      <c r="K19" s="522"/>
      <c r="L19" s="522"/>
      <c r="M19" s="522"/>
      <c r="N19" s="522"/>
      <c r="O19" s="522"/>
      <c r="P19" s="522"/>
      <c r="Q19" s="522"/>
      <c r="R19" s="522"/>
      <c r="S19" s="523"/>
    </row>
    <row r="20" spans="2:19">
      <c r="B20" s="521" t="s">
        <v>750</v>
      </c>
      <c r="C20" s="522"/>
      <c r="D20" s="522"/>
      <c r="E20" s="522"/>
      <c r="F20" s="522"/>
      <c r="G20" s="522"/>
      <c r="H20" s="522"/>
      <c r="I20" s="522"/>
      <c r="J20" s="522"/>
      <c r="K20" s="522"/>
      <c r="L20" s="522"/>
      <c r="M20" s="522"/>
      <c r="N20" s="522"/>
      <c r="O20" s="522"/>
      <c r="P20" s="522"/>
      <c r="Q20" s="522"/>
      <c r="R20" s="522"/>
      <c r="S20" s="523"/>
    </row>
    <row r="21" spans="2:19">
      <c r="B21" s="521" t="s">
        <v>751</v>
      </c>
      <c r="C21" s="522"/>
      <c r="D21" s="522"/>
      <c r="E21" s="522"/>
      <c r="F21" s="522"/>
      <c r="G21" s="522"/>
      <c r="H21" s="522"/>
      <c r="I21" s="522"/>
      <c r="J21" s="522"/>
      <c r="K21" s="522"/>
      <c r="L21" s="522"/>
      <c r="M21" s="522"/>
      <c r="N21" s="522"/>
      <c r="O21" s="522"/>
      <c r="P21" s="522"/>
      <c r="Q21" s="522"/>
      <c r="R21" s="522"/>
      <c r="S21" s="523"/>
    </row>
    <row r="22" spans="2:19">
      <c r="B22" s="521" t="s">
        <v>752</v>
      </c>
      <c r="C22" s="522"/>
      <c r="D22" s="522"/>
      <c r="E22" s="522"/>
      <c r="F22" s="522"/>
      <c r="G22" s="522"/>
      <c r="H22" s="522"/>
      <c r="I22" s="522"/>
      <c r="J22" s="522"/>
      <c r="K22" s="522"/>
      <c r="L22" s="522"/>
      <c r="M22" s="522"/>
      <c r="N22" s="522"/>
      <c r="O22" s="522"/>
      <c r="P22" s="522"/>
      <c r="Q22" s="522"/>
      <c r="R22" s="522"/>
      <c r="S22" s="523"/>
    </row>
    <row r="23" spans="2:19">
      <c r="B23" s="521" t="s">
        <v>753</v>
      </c>
      <c r="C23" s="522"/>
      <c r="D23" s="522"/>
      <c r="E23" s="522"/>
      <c r="F23" s="522"/>
      <c r="G23" s="522"/>
      <c r="H23" s="522"/>
      <c r="I23" s="522"/>
      <c r="J23" s="522"/>
      <c r="K23" s="522"/>
      <c r="L23" s="522"/>
      <c r="M23" s="522"/>
      <c r="N23" s="522"/>
      <c r="O23" s="522"/>
      <c r="P23" s="522"/>
      <c r="Q23" s="522"/>
      <c r="R23" s="522"/>
      <c r="S23" s="523"/>
    </row>
    <row r="24" spans="2:19">
      <c r="B24" s="521" t="s">
        <v>754</v>
      </c>
      <c r="C24" s="522"/>
      <c r="D24" s="522"/>
      <c r="E24" s="522"/>
      <c r="F24" s="522"/>
      <c r="G24" s="522"/>
      <c r="H24" s="522"/>
      <c r="I24" s="522"/>
      <c r="J24" s="522"/>
      <c r="K24" s="522"/>
      <c r="L24" s="522"/>
      <c r="M24" s="522"/>
      <c r="N24" s="522"/>
      <c r="O24" s="522"/>
      <c r="P24" s="522"/>
      <c r="Q24" s="522"/>
      <c r="R24" s="522"/>
      <c r="S24" s="523"/>
    </row>
    <row r="25" spans="2:19">
      <c r="B25" s="521" t="s">
        <v>755</v>
      </c>
      <c r="C25" s="522"/>
      <c r="D25" s="522"/>
      <c r="E25" s="522"/>
      <c r="F25" s="522"/>
      <c r="G25" s="522"/>
      <c r="H25" s="522"/>
      <c r="I25" s="522"/>
      <c r="J25" s="522"/>
      <c r="K25" s="522"/>
      <c r="L25" s="522"/>
      <c r="M25" s="522"/>
      <c r="N25" s="522"/>
      <c r="O25" s="522"/>
      <c r="P25" s="522"/>
      <c r="Q25" s="522"/>
      <c r="R25" s="522"/>
      <c r="S25" s="523"/>
    </row>
    <row r="26" spans="2:19">
      <c r="B26" s="521" t="s">
        <v>756</v>
      </c>
      <c r="C26" s="522"/>
      <c r="D26" s="522"/>
      <c r="E26" s="522"/>
      <c r="F26" s="522"/>
      <c r="G26" s="522"/>
      <c r="H26" s="522"/>
      <c r="I26" s="522"/>
      <c r="J26" s="522"/>
      <c r="K26" s="522"/>
      <c r="L26" s="522"/>
      <c r="M26" s="522"/>
      <c r="N26" s="522"/>
      <c r="O26" s="522"/>
      <c r="P26" s="522"/>
      <c r="Q26" s="522"/>
      <c r="R26" s="522"/>
      <c r="S26" s="523"/>
    </row>
    <row r="27" spans="2:19">
      <c r="B27" s="521" t="s">
        <v>757</v>
      </c>
      <c r="C27" s="522"/>
      <c r="D27" s="522"/>
      <c r="E27" s="522"/>
      <c r="F27" s="522"/>
      <c r="G27" s="522"/>
      <c r="H27" s="522"/>
      <c r="I27" s="522"/>
      <c r="J27" s="522"/>
      <c r="K27" s="522"/>
      <c r="L27" s="522"/>
      <c r="M27" s="522"/>
      <c r="N27" s="522"/>
      <c r="O27" s="522"/>
      <c r="P27" s="522"/>
      <c r="Q27" s="522"/>
      <c r="R27" s="522"/>
      <c r="S27" s="523"/>
    </row>
    <row r="28" spans="2:19">
      <c r="B28" s="521" t="s">
        <v>758</v>
      </c>
      <c r="C28" s="522"/>
      <c r="D28" s="522"/>
      <c r="E28" s="522"/>
      <c r="F28" s="522"/>
      <c r="G28" s="522"/>
      <c r="H28" s="522"/>
      <c r="I28" s="522"/>
      <c r="J28" s="522"/>
      <c r="K28" s="522"/>
      <c r="L28" s="522"/>
      <c r="M28" s="522"/>
      <c r="N28" s="522"/>
      <c r="O28" s="522"/>
      <c r="P28" s="522"/>
      <c r="Q28" s="522"/>
      <c r="R28" s="522"/>
      <c r="S28" s="523"/>
    </row>
    <row r="29" spans="2:19" ht="15.75" thickBot="1">
      <c r="B29" s="524"/>
      <c r="C29" s="525"/>
      <c r="D29" s="525"/>
      <c r="E29" s="525"/>
      <c r="F29" s="525"/>
      <c r="G29" s="525"/>
      <c r="H29" s="525"/>
      <c r="I29" s="525"/>
      <c r="J29" s="525"/>
      <c r="K29" s="525"/>
      <c r="L29" s="525"/>
      <c r="M29" s="525"/>
      <c r="N29" s="525"/>
      <c r="O29" s="525"/>
      <c r="P29" s="525"/>
      <c r="Q29" s="525"/>
      <c r="R29" s="525"/>
      <c r="S29" s="526"/>
    </row>
    <row r="30" spans="2:19">
      <c r="B30" s="522"/>
      <c r="C30" s="522"/>
      <c r="D30" s="522"/>
      <c r="E30" s="522"/>
      <c r="F30" s="522"/>
      <c r="G30" s="522"/>
      <c r="H30" s="522"/>
      <c r="I30" s="522"/>
      <c r="J30" s="522"/>
      <c r="K30" s="522"/>
      <c r="L30" s="522"/>
      <c r="M30" s="522"/>
      <c r="N30" s="522"/>
      <c r="O30" s="522"/>
      <c r="P30" s="522"/>
      <c r="Q30" s="522"/>
      <c r="R30" s="522"/>
    </row>
    <row r="31" spans="2:19">
      <c r="B31" s="522"/>
      <c r="C31" s="522"/>
      <c r="D31" s="522"/>
      <c r="E31" s="522"/>
      <c r="F31" s="522"/>
      <c r="G31" s="522"/>
      <c r="H31" s="522"/>
      <c r="I31" s="522"/>
      <c r="J31" s="522"/>
      <c r="K31" s="522"/>
      <c r="L31" s="522"/>
      <c r="M31" s="522"/>
      <c r="N31" s="522"/>
      <c r="O31" s="522"/>
      <c r="P31" s="522"/>
      <c r="Q31" s="522"/>
      <c r="R31" s="522"/>
    </row>
    <row r="32" spans="2:19">
      <c r="B32" s="522"/>
      <c r="C32" s="522"/>
      <c r="D32" s="522"/>
      <c r="E32" s="522"/>
      <c r="F32" s="522"/>
      <c r="G32" s="522"/>
      <c r="H32" s="522"/>
      <c r="I32" s="522"/>
      <c r="J32" s="522"/>
      <c r="K32" s="522"/>
      <c r="L32" s="522"/>
      <c r="M32" s="522"/>
      <c r="N32" s="522"/>
      <c r="O32" s="522"/>
      <c r="P32" s="522"/>
      <c r="Q32" s="522"/>
      <c r="R32" s="522"/>
    </row>
    <row r="33" spans="2:18">
      <c r="B33" s="522"/>
      <c r="C33" s="522"/>
      <c r="D33" s="522"/>
      <c r="E33" s="522"/>
      <c r="F33" s="522"/>
      <c r="G33" s="522"/>
      <c r="H33" s="522"/>
      <c r="I33" s="522"/>
      <c r="J33" s="522"/>
      <c r="K33" s="522"/>
      <c r="L33" s="522"/>
      <c r="M33" s="522"/>
      <c r="N33" s="522"/>
      <c r="O33" s="522"/>
      <c r="P33" s="522"/>
      <c r="Q33" s="522"/>
      <c r="R33" s="522"/>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1DC01-71C7-4A69-AAA0-58DA3BB33177}">
  <sheetPr codeName="Sheet31">
    <tabColor rgb="FFFF0000"/>
  </sheetPr>
  <dimension ref="A4:L29"/>
  <sheetViews>
    <sheetView workbookViewId="0">
      <selection activeCell="J27" sqref="J27"/>
    </sheetView>
  </sheetViews>
  <sheetFormatPr defaultRowHeight="14.25"/>
  <cols>
    <col min="1" max="1" width="12.42578125" style="368" bestFit="1" customWidth="1"/>
    <col min="2" max="3" width="9.140625" style="368"/>
    <col min="4" max="4" width="17" style="368" customWidth="1"/>
    <col min="5" max="5" width="19.7109375" style="368" customWidth="1"/>
    <col min="6" max="6" width="19.5703125" style="368" customWidth="1"/>
    <col min="7" max="7" width="19.28515625" style="368" customWidth="1"/>
    <col min="8" max="16384" width="9.140625" style="368"/>
  </cols>
  <sheetData>
    <row r="4" spans="1:7">
      <c r="A4" s="512" t="s">
        <v>759</v>
      </c>
      <c r="B4" s="368">
        <f>4</f>
        <v>4</v>
      </c>
      <c r="C4" s="512">
        <f>7</f>
        <v>7</v>
      </c>
      <c r="E4" s="512" t="s">
        <v>760</v>
      </c>
      <c r="F4" s="368">
        <f>1</f>
        <v>1</v>
      </c>
      <c r="G4" s="512">
        <f>-8</f>
        <v>-8</v>
      </c>
    </row>
    <row r="5" spans="1:7">
      <c r="A5" s="512"/>
      <c r="B5" s="368">
        <f>-2</f>
        <v>-2</v>
      </c>
      <c r="C5" s="512">
        <f>5</f>
        <v>5</v>
      </c>
      <c r="E5" s="512"/>
      <c r="F5" s="368">
        <f>4</f>
        <v>4</v>
      </c>
      <c r="G5" s="512">
        <f>4</f>
        <v>4</v>
      </c>
    </row>
    <row r="7" spans="1:7">
      <c r="A7" s="368" t="s">
        <v>762</v>
      </c>
      <c r="B7" s="513">
        <f t="array" ref="B7:C8">B4:C5+F4:G5</f>
        <v>5</v>
      </c>
      <c r="C7" s="512">
        <v>-1</v>
      </c>
      <c r="E7" s="368" t="s">
        <v>761</v>
      </c>
      <c r="F7" s="513">
        <f t="array" ref="F7:G8">B4:C5-F4:G5</f>
        <v>3</v>
      </c>
      <c r="G7" s="512">
        <v>15</v>
      </c>
    </row>
    <row r="8" spans="1:7">
      <c r="B8" s="513">
        <v>2</v>
      </c>
      <c r="C8" s="512">
        <v>9</v>
      </c>
      <c r="F8" s="513">
        <v>-6</v>
      </c>
      <c r="G8" s="512">
        <v>1</v>
      </c>
    </row>
    <row r="10" spans="1:7">
      <c r="A10" s="368" t="s">
        <v>763</v>
      </c>
      <c r="B10" s="368">
        <f t="array" ref="B10:C11">3*B4:C5</f>
        <v>12</v>
      </c>
      <c r="C10" s="368">
        <v>21</v>
      </c>
    </row>
    <row r="11" spans="1:7">
      <c r="B11" s="368">
        <v>-6</v>
      </c>
      <c r="C11" s="368">
        <v>15</v>
      </c>
    </row>
    <row r="14" spans="1:7">
      <c r="A14" s="368" t="s">
        <v>764</v>
      </c>
      <c r="B14" s="513">
        <f>0.9</f>
        <v>0.9</v>
      </c>
      <c r="C14" s="512">
        <f>0.1</f>
        <v>0.1</v>
      </c>
      <c r="E14" s="368" t="s">
        <v>764</v>
      </c>
      <c r="F14" s="513">
        <f>0.9</f>
        <v>0.9</v>
      </c>
      <c r="G14" s="512">
        <f>0.1</f>
        <v>0.1</v>
      </c>
    </row>
    <row r="15" spans="1:7">
      <c r="B15" s="513">
        <f>0.6</f>
        <v>0.6</v>
      </c>
      <c r="C15" s="512">
        <f>0.4</f>
        <v>0.4</v>
      </c>
      <c r="F15" s="513">
        <f>0.6</f>
        <v>0.6</v>
      </c>
      <c r="G15" s="512">
        <f>0.4</f>
        <v>0.4</v>
      </c>
    </row>
    <row r="17" spans="1:12" ht="16.5">
      <c r="A17" s="368" t="s">
        <v>1222</v>
      </c>
      <c r="B17" s="368">
        <f t="array" ref="B17:C18">B14:C15^2</f>
        <v>0.81</v>
      </c>
      <c r="C17" s="368">
        <v>1.0000000000000002E-2</v>
      </c>
    </row>
    <row r="18" spans="1:12">
      <c r="B18" s="368">
        <v>0.36</v>
      </c>
      <c r="C18" s="368">
        <v>0.16000000000000003</v>
      </c>
    </row>
    <row r="20" spans="1:12" ht="15" thickBot="1">
      <c r="A20" s="514" t="s">
        <v>765</v>
      </c>
      <c r="B20" s="514" t="s">
        <v>773</v>
      </c>
      <c r="C20" s="514" t="s">
        <v>774</v>
      </c>
      <c r="D20" s="514" t="s">
        <v>775</v>
      </c>
      <c r="E20" s="514" t="s">
        <v>776</v>
      </c>
      <c r="F20" s="514" t="s">
        <v>779</v>
      </c>
      <c r="G20" s="514" t="s">
        <v>778</v>
      </c>
    </row>
    <row r="21" spans="1:12" ht="15" thickTop="1">
      <c r="A21" s="368" t="s">
        <v>766</v>
      </c>
      <c r="B21" s="506">
        <f>82</f>
        <v>82</v>
      </c>
      <c r="C21" s="506">
        <f>77</f>
        <v>77</v>
      </c>
      <c r="D21" s="506">
        <f>94</f>
        <v>94</v>
      </c>
      <c r="E21" s="515">
        <f>AVERAGE(B21:D21)</f>
        <v>84.333333333333329</v>
      </c>
      <c r="F21" s="516">
        <f t="shared" ref="F21:F27" si="0">$E21-$E$29</f>
        <v>8.6190476190476062</v>
      </c>
      <c r="G21" s="516">
        <f t="shared" ref="G21:G27" si="1">$D21-$D$29</f>
        <v>12.714285714285708</v>
      </c>
    </row>
    <row r="22" spans="1:12">
      <c r="A22" s="368" t="s">
        <v>767</v>
      </c>
      <c r="B22" s="506">
        <f>66</f>
        <v>66</v>
      </c>
      <c r="C22" s="506">
        <f>80</f>
        <v>80</v>
      </c>
      <c r="D22" s="506">
        <f>75</f>
        <v>75</v>
      </c>
      <c r="E22" s="515">
        <f t="shared" ref="E22:E27" si="2">AVERAGE(B22:D22)</f>
        <v>73.666666666666671</v>
      </c>
      <c r="F22" s="516">
        <f t="shared" si="0"/>
        <v>-2.047619047619051</v>
      </c>
      <c r="G22" s="516">
        <f t="shared" si="1"/>
        <v>-6.2857142857142918</v>
      </c>
    </row>
    <row r="23" spans="1:12">
      <c r="A23" s="368" t="s">
        <v>768</v>
      </c>
      <c r="B23" s="506">
        <f>95</f>
        <v>95</v>
      </c>
      <c r="C23" s="506">
        <f>100</f>
        <v>100</v>
      </c>
      <c r="D23" s="506">
        <f>97</f>
        <v>97</v>
      </c>
      <c r="E23" s="515">
        <f t="shared" si="2"/>
        <v>97.333333333333329</v>
      </c>
      <c r="F23" s="516">
        <f t="shared" si="0"/>
        <v>21.619047619047606</v>
      </c>
      <c r="G23" s="516">
        <f t="shared" si="1"/>
        <v>15.714285714285708</v>
      </c>
    </row>
    <row r="24" spans="1:12">
      <c r="A24" s="368" t="s">
        <v>769</v>
      </c>
      <c r="B24" s="506">
        <f>47</f>
        <v>47</v>
      </c>
      <c r="C24" s="506">
        <f>62</f>
        <v>62</v>
      </c>
      <c r="D24" s="506">
        <f>78</f>
        <v>78</v>
      </c>
      <c r="E24" s="515">
        <f t="shared" si="2"/>
        <v>62.333333333333336</v>
      </c>
      <c r="F24" s="516">
        <f t="shared" si="0"/>
        <v>-13.380952380952387</v>
      </c>
      <c r="G24" s="516">
        <f t="shared" si="1"/>
        <v>-3.2857142857142918</v>
      </c>
    </row>
    <row r="25" spans="1:12">
      <c r="A25" s="368" t="s">
        <v>770</v>
      </c>
      <c r="B25" s="506">
        <f>80</f>
        <v>80</v>
      </c>
      <c r="C25" s="506">
        <f>58</f>
        <v>58</v>
      </c>
      <c r="D25" s="506">
        <f>73</f>
        <v>73</v>
      </c>
      <c r="E25" s="515">
        <f t="shared" si="2"/>
        <v>70.333333333333329</v>
      </c>
      <c r="F25" s="516">
        <f t="shared" si="0"/>
        <v>-5.3809523809523938</v>
      </c>
      <c r="G25" s="516">
        <f t="shared" si="1"/>
        <v>-8.2857142857142918</v>
      </c>
    </row>
    <row r="26" spans="1:12">
      <c r="A26" s="368" t="s">
        <v>771</v>
      </c>
      <c r="B26" s="506">
        <f>74</f>
        <v>74</v>
      </c>
      <c r="C26" s="506">
        <f>81</f>
        <v>81</v>
      </c>
      <c r="D26" s="506">
        <f>85</f>
        <v>85</v>
      </c>
      <c r="E26" s="515">
        <f t="shared" si="2"/>
        <v>80</v>
      </c>
      <c r="F26" s="516">
        <f t="shared" si="0"/>
        <v>4.2857142857142776</v>
      </c>
      <c r="G26" s="516">
        <f t="shared" si="1"/>
        <v>3.7142857142857082</v>
      </c>
    </row>
    <row r="27" spans="1:12">
      <c r="A27" s="368" t="s">
        <v>772</v>
      </c>
      <c r="B27" s="506">
        <f>57</f>
        <v>57</v>
      </c>
      <c r="C27" s="506">
        <f>62</f>
        <v>62</v>
      </c>
      <c r="D27" s="506">
        <f>67</f>
        <v>67</v>
      </c>
      <c r="E27" s="515">
        <f t="shared" si="2"/>
        <v>62</v>
      </c>
      <c r="F27" s="516">
        <f t="shared" si="0"/>
        <v>-13.714285714285722</v>
      </c>
      <c r="G27" s="516">
        <f t="shared" si="1"/>
        <v>-14.285714285714292</v>
      </c>
      <c r="J27" s="368" t="s">
        <v>174</v>
      </c>
      <c r="K27" s="368" t="s">
        <v>175</v>
      </c>
      <c r="L27" s="368" t="s">
        <v>362</v>
      </c>
    </row>
    <row r="29" spans="1:12">
      <c r="A29" s="368" t="s">
        <v>777</v>
      </c>
      <c r="B29" s="515">
        <f>AVERAGE(B21:B27)</f>
        <v>71.571428571428569</v>
      </c>
      <c r="C29" s="515">
        <f>AVERAGE(C21:C27)</f>
        <v>74.285714285714292</v>
      </c>
      <c r="D29" s="515">
        <f>AVERAGE(D21:D27)</f>
        <v>81.285714285714292</v>
      </c>
      <c r="E29" s="515">
        <f>AVERAGE(B29:D29)</f>
        <v>75.714285714285722</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D68C6-4C89-4ABD-8717-A87139463E08}">
  <sheetPr codeName="Sheet33">
    <tabColor theme="9" tint="-0.499984740745262"/>
  </sheetPr>
  <dimension ref="C3:E21"/>
  <sheetViews>
    <sheetView showFormulas="1" view="pageLayout" zoomScaleNormal="80" workbookViewId="0">
      <selection activeCell="C17" sqref="C17"/>
    </sheetView>
  </sheetViews>
  <sheetFormatPr defaultRowHeight="15"/>
  <cols>
    <col min="1" max="2" width="9.140625" style="29"/>
    <col min="3" max="3" width="19.140625" style="58" customWidth="1"/>
    <col min="4" max="4" width="9.140625" style="58"/>
    <col min="5" max="16384" width="9.140625" style="29"/>
  </cols>
  <sheetData>
    <row r="3" spans="3:5">
      <c r="C3" s="58" t="s">
        <v>780</v>
      </c>
      <c r="D3" s="58">
        <f>0.904837</f>
        <v>0.904837</v>
      </c>
    </row>
    <row r="8" spans="3:5">
      <c r="C8" s="58" t="s">
        <v>781</v>
      </c>
      <c r="D8" s="58">
        <f>4</f>
        <v>4</v>
      </c>
    </row>
    <row r="9" spans="3:5">
      <c r="C9" s="58" t="s">
        <v>782</v>
      </c>
      <c r="D9" s="58">
        <f>2</f>
        <v>2</v>
      </c>
    </row>
    <row r="10" spans="3:5">
      <c r="C10" s="58" t="s">
        <v>782</v>
      </c>
      <c r="D10" s="58">
        <v>3</v>
      </c>
    </row>
    <row r="11" spans="3:5">
      <c r="C11" s="58" t="s">
        <v>782</v>
      </c>
      <c r="D11" s="58">
        <v>4</v>
      </c>
    </row>
    <row r="13" spans="3:5">
      <c r="D13" s="58">
        <f>FACT($D$8)/(FACT(D9)*FACT($D$8-D9))</f>
        <v>6</v>
      </c>
      <c r="E13" s="29" t="str">
        <f ca="1">_xlfn.FORMULATEXT(D13)</f>
        <v>=FACT($D$8)/(FACT(D9)*FACT($D$8-D9))</v>
      </c>
    </row>
    <row r="14" spans="3:5">
      <c r="D14" s="58">
        <f>FACT($D$8)/(FACT(D10)*FACT($D$8-D10))</f>
        <v>4</v>
      </c>
      <c r="E14" s="29" t="str">
        <f ca="1">_xlfn.FORMULATEXT(D14)</f>
        <v>=FACT($D$8)/(FACT(D10)*FACT($D$8-D10))</v>
      </c>
    </row>
    <row r="15" spans="3:5">
      <c r="D15" s="58">
        <f>FACT($D$8)/(FACT(D11)*FACT($D$8-D11))</f>
        <v>1</v>
      </c>
      <c r="E15" s="29" t="str">
        <f ca="1">_xlfn.FORMULATEXT(D15)</f>
        <v>=FACT($D$8)/(FACT(D11)*FACT($D$8-D11))</v>
      </c>
    </row>
    <row r="17" spans="3:5" ht="19.5">
      <c r="C17" s="79" t="s">
        <v>791</v>
      </c>
      <c r="D17" s="58">
        <f>$D13*($D$3)^$D9*(1-$D$3)^($D$8-$D9)</f>
        <v>4.4486496239197475E-2</v>
      </c>
      <c r="E17" s="29" t="str">
        <f ca="1">_xlfn.FORMULATEXT(D17)</f>
        <v>=$D13*($D$3)^$D9*(1-$D$3)^($D$8-$D9)</v>
      </c>
    </row>
    <row r="18" spans="3:5" ht="19.5">
      <c r="C18" s="79" t="s">
        <v>792</v>
      </c>
      <c r="D18" s="58">
        <f>$D14*($D$3)^$D10*(1-$D$3)^($D$8-$D10)</f>
        <v>0.28199354649451802</v>
      </c>
      <c r="E18" s="29" t="str">
        <f ca="1">_xlfn.FORMULATEXT(D18)</f>
        <v>=$D14*($D$3)^$D10*(1-$D$3)^($D$8-$D10)</v>
      </c>
    </row>
    <row r="19" spans="3:5" ht="19.5">
      <c r="C19" s="79" t="s">
        <v>793</v>
      </c>
      <c r="D19" s="58">
        <f>$D15*($D$3)^$D11*(1-$D$3)^($D$8-$D11)</f>
        <v>0.67031880728187476</v>
      </c>
      <c r="E19" s="29" t="str">
        <f ca="1">_xlfn.FORMULATEXT(D19)</f>
        <v>=$D15*($D$3)^$D11*(1-$D$3)^($D$8-$D11)</v>
      </c>
    </row>
    <row r="20" spans="3:5" ht="20.25" thickBot="1">
      <c r="C20" s="58" t="s">
        <v>794</v>
      </c>
      <c r="D20" s="246">
        <f>SUM(D17:D19)</f>
        <v>0.99679885001559021</v>
      </c>
    </row>
    <row r="21" spans="3:5" ht="15.75" thickTop="1"/>
  </sheetData>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10113-0A8A-4A23-8E5E-000E92687A84}">
  <sheetPr codeName="Sheet34">
    <tabColor theme="2"/>
  </sheetPr>
  <dimension ref="B4:I18"/>
  <sheetViews>
    <sheetView view="pageLayout" zoomScaleNormal="85" workbookViewId="0">
      <selection activeCell="E20" sqref="E20"/>
    </sheetView>
  </sheetViews>
  <sheetFormatPr defaultRowHeight="15.75"/>
  <cols>
    <col min="1" max="1" width="22.28515625" style="239" customWidth="1"/>
    <col min="2" max="2" width="47.28515625" style="239" customWidth="1"/>
    <col min="3" max="3" width="15.85546875" style="239" customWidth="1"/>
    <col min="4" max="4" width="27.7109375" style="239" bestFit="1" customWidth="1"/>
    <col min="5" max="5" width="25.5703125" style="239" customWidth="1"/>
    <col min="6" max="7" width="9.140625" style="239"/>
    <col min="8" max="8" width="20.140625" style="239" bestFit="1" customWidth="1"/>
    <col min="9" max="16384" width="9.140625" style="239"/>
  </cols>
  <sheetData>
    <row r="4" spans="2:9" ht="18.75">
      <c r="B4" s="237" t="s">
        <v>783</v>
      </c>
      <c r="C4" s="238">
        <f>1/1000</f>
        <v>1E-3</v>
      </c>
    </row>
    <row r="5" spans="2:9" ht="18.75">
      <c r="B5" s="237" t="s">
        <v>784</v>
      </c>
      <c r="C5" s="238">
        <f>1/500</f>
        <v>2E-3</v>
      </c>
    </row>
    <row r="6" spans="2:9" ht="18.75">
      <c r="B6" s="237" t="s">
        <v>785</v>
      </c>
      <c r="C6" s="238">
        <f>1/C4</f>
        <v>1000</v>
      </c>
    </row>
    <row r="7" spans="2:9" ht="18.75">
      <c r="B7" s="237" t="s">
        <v>786</v>
      </c>
      <c r="C7" s="238">
        <f>1/C5</f>
        <v>500</v>
      </c>
    </row>
    <row r="8" spans="2:9">
      <c r="B8" s="237" t="s">
        <v>536</v>
      </c>
      <c r="C8" s="240">
        <f>50</f>
        <v>50</v>
      </c>
    </row>
    <row r="9" spans="2:9">
      <c r="B9" s="237" t="s">
        <v>787</v>
      </c>
      <c r="C9" s="240">
        <f>1</f>
        <v>1</v>
      </c>
    </row>
    <row r="12" spans="2:9">
      <c r="B12" s="241"/>
      <c r="C12" s="239">
        <f>1/EXP(C4*C8)</f>
        <v>0.9512294245007139</v>
      </c>
      <c r="D12" s="242" t="str">
        <f ca="1">_xlfn.FORMULATEXT(C12)</f>
        <v>=1/EXP(C4*C8)</v>
      </c>
      <c r="H12" s="239">
        <f>-LN(0.90248)/(25*8760)</f>
        <v>4.685331035866312E-7</v>
      </c>
    </row>
    <row r="13" spans="2:9">
      <c r="C13" s="239">
        <f>(C9*C4)/(C5-C4)</f>
        <v>1</v>
      </c>
      <c r="D13" s="242" t="str">
        <f ca="1">_xlfn.FORMULATEXT(C13)</f>
        <v>=(C9*C4)/(C5-C4)</v>
      </c>
      <c r="H13" s="239">
        <f>-LN(0.979011)/(25*8760)</f>
        <v>9.6860276528280345E-8</v>
      </c>
    </row>
    <row r="14" spans="2:9" ht="31.5">
      <c r="C14" s="239">
        <f>1/EXP(C4*C8)-1/EXP(C5*C8)</f>
        <v>4.6392006464754387E-2</v>
      </c>
      <c r="D14" s="242" t="str">
        <f ca="1">_xlfn.FORMULATEXT(C14)</f>
        <v>=1/EXP(C4*C8)-1/EXP(C5*C8)</v>
      </c>
      <c r="H14" s="243">
        <f>1/H13</f>
        <v>10324149.753052063</v>
      </c>
      <c r="I14" s="239" t="s">
        <v>788</v>
      </c>
    </row>
    <row r="15" spans="2:9" ht="18.75">
      <c r="C15" s="244" t="s">
        <v>789</v>
      </c>
      <c r="D15" s="247">
        <f>C12+C13*C14</f>
        <v>0.99762143096546829</v>
      </c>
      <c r="E15" s="242" t="str">
        <f ca="1">_xlfn.FORMULATEXT(D15)</f>
        <v>=C12+C13*C14</v>
      </c>
      <c r="H15" s="243">
        <f>1/H12</f>
        <v>2134320.9099740828</v>
      </c>
      <c r="I15" s="239" t="s">
        <v>790</v>
      </c>
    </row>
    <row r="16" spans="2:9">
      <c r="H16" s="243">
        <f>H14-H15</f>
        <v>8189828.84307798</v>
      </c>
    </row>
    <row r="18" spans="4:4">
      <c r="D18" s="245"/>
    </row>
  </sheetData>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8F9B2-0299-4D71-BD68-9221DAC920B0}">
  <sheetPr codeName="Sheet35">
    <tabColor rgb="FF7030A0"/>
  </sheetPr>
  <dimension ref="C2:O32"/>
  <sheetViews>
    <sheetView view="pageLayout" topLeftCell="B1" zoomScaleNormal="100" workbookViewId="0">
      <selection activeCell="B26" sqref="B26"/>
    </sheetView>
  </sheetViews>
  <sheetFormatPr defaultRowHeight="12.75"/>
  <cols>
    <col min="1" max="1" width="21.28515625" style="250" customWidth="1"/>
    <col min="2" max="2" width="9.140625" style="250"/>
    <col min="3" max="3" width="9.28515625" style="250" bestFit="1" customWidth="1"/>
    <col min="4" max="4" width="30" style="250" customWidth="1"/>
    <col min="5" max="5" width="16.28515625" style="250" customWidth="1"/>
    <col min="6" max="6" width="20" style="250" customWidth="1"/>
    <col min="7" max="7" width="12.42578125" style="250" customWidth="1"/>
    <col min="8" max="8" width="11.5703125" style="250" customWidth="1"/>
    <col min="9" max="9" width="13.5703125" style="250" customWidth="1"/>
    <col min="10" max="10" width="16.42578125" style="250" bestFit="1" customWidth="1"/>
    <col min="11" max="11" width="9.28515625" style="250" bestFit="1" customWidth="1"/>
    <col min="12" max="12" width="13" style="250" customWidth="1"/>
    <col min="13" max="13" width="11.85546875" style="250" customWidth="1"/>
    <col min="14" max="14" width="9.28515625" style="250" bestFit="1" customWidth="1"/>
    <col min="15" max="15" width="12.140625" style="250" bestFit="1" customWidth="1"/>
    <col min="16" max="16384" width="9.140625" style="250"/>
  </cols>
  <sheetData>
    <row r="2" spans="3:15" ht="33.75" customHeight="1">
      <c r="D2" s="251" t="s">
        <v>798</v>
      </c>
      <c r="E2" s="252">
        <f>0.95</f>
        <v>0.95</v>
      </c>
    </row>
    <row r="3" spans="3:15" ht="21.75" customHeight="1">
      <c r="D3" s="251" t="s">
        <v>796</v>
      </c>
      <c r="E3" s="253">
        <f>10000</f>
        <v>10000</v>
      </c>
    </row>
    <row r="4" spans="3:15">
      <c r="D4" s="251" t="s">
        <v>797</v>
      </c>
      <c r="E4" s="253">
        <f>20000000</f>
        <v>20000000</v>
      </c>
    </row>
    <row r="6" spans="3:15" ht="21" customHeight="1">
      <c r="D6" s="254" t="s">
        <v>799</v>
      </c>
      <c r="E6" s="254" t="s">
        <v>800</v>
      </c>
      <c r="F6" s="254" t="s">
        <v>801</v>
      </c>
      <c r="G6" s="254" t="s">
        <v>802</v>
      </c>
      <c r="H6" s="254" t="s">
        <v>803</v>
      </c>
    </row>
    <row r="7" spans="3:15">
      <c r="D7" s="252">
        <f>1</f>
        <v>1</v>
      </c>
      <c r="E7" s="252">
        <f>0.95</f>
        <v>0.95</v>
      </c>
      <c r="F7" s="253">
        <f t="shared" ref="F7:F12" si="0">(1-$E7)*$E$4</f>
        <v>1000000.0000000009</v>
      </c>
      <c r="G7" s="253">
        <f t="shared" ref="G7:G12" si="1">$E$3*$D7</f>
        <v>10000</v>
      </c>
      <c r="I7" s="255">
        <f>G7-F7</f>
        <v>-990000.00000000093</v>
      </c>
    </row>
    <row r="8" spans="3:15">
      <c r="D8" s="252">
        <f>D7+1</f>
        <v>2</v>
      </c>
      <c r="E8" s="252">
        <f>1-(1-E7)*(1-E7)</f>
        <v>0.99749999999999994</v>
      </c>
      <c r="F8" s="253">
        <f t="shared" si="0"/>
        <v>50000.000000001157</v>
      </c>
      <c r="G8" s="253">
        <f t="shared" si="1"/>
        <v>20000</v>
      </c>
      <c r="I8" s="250">
        <f>1/(1+0.38)^1</f>
        <v>0.7246376811594204</v>
      </c>
    </row>
    <row r="9" spans="3:15">
      <c r="D9" s="252">
        <f>D8+1</f>
        <v>3</v>
      </c>
      <c r="E9" s="256">
        <f>1-(1-E7)*(1-E7)*(1-E7)</f>
        <v>0.99987499999999996</v>
      </c>
      <c r="F9" s="253">
        <f t="shared" si="0"/>
        <v>2500.0000000008349</v>
      </c>
      <c r="G9" s="253">
        <f t="shared" si="1"/>
        <v>30000</v>
      </c>
      <c r="I9" s="257">
        <f>I8*I7</f>
        <v>-717391.30434782687</v>
      </c>
      <c r="K9" s="250">
        <f>(1+0.12)^1</f>
        <v>1.1200000000000001</v>
      </c>
    </row>
    <row r="10" spans="3:15">
      <c r="D10" s="252">
        <f>D9+1</f>
        <v>4</v>
      </c>
      <c r="E10" s="258">
        <f>1-(1-$E7)*(1-$E7)*(1-$E7)*(1-$E7)</f>
        <v>0.99999375000000001</v>
      </c>
      <c r="F10" s="253">
        <f t="shared" si="0"/>
        <v>124.99999999970868</v>
      </c>
      <c r="G10" s="253">
        <f t="shared" si="1"/>
        <v>40000</v>
      </c>
      <c r="K10" s="250">
        <f>1/K9</f>
        <v>0.89285714285714279</v>
      </c>
    </row>
    <row r="11" spans="3:15">
      <c r="D11" s="252">
        <f>D10+1</f>
        <v>5</v>
      </c>
      <c r="E11" s="259">
        <f>1-(1-$E7)*(1-$E7)*(1-$E7)*(1-$E7)*(1-E7)</f>
        <v>0.99999968750000001</v>
      </c>
      <c r="F11" s="253">
        <f t="shared" si="0"/>
        <v>6.2499999997633893</v>
      </c>
      <c r="G11" s="253">
        <f t="shared" si="1"/>
        <v>50000</v>
      </c>
    </row>
    <row r="12" spans="3:15">
      <c r="D12" s="252">
        <f>D11+1</f>
        <v>6</v>
      </c>
      <c r="E12" s="260">
        <f>1-(1-$E7)*(1-$E7)*(1-$E7)*(1-$E7)*(1-E7)*(1-E7)</f>
        <v>0.99999998437500004</v>
      </c>
      <c r="F12" s="261">
        <f t="shared" si="0"/>
        <v>0.31249999921101335</v>
      </c>
      <c r="G12" s="253">
        <f t="shared" si="1"/>
        <v>60000</v>
      </c>
    </row>
    <row r="15" spans="3:15" ht="25.5">
      <c r="C15" s="262" t="s">
        <v>808</v>
      </c>
      <c r="D15" s="262" t="s">
        <v>809</v>
      </c>
      <c r="E15" s="262" t="s">
        <v>810</v>
      </c>
      <c r="F15" s="262" t="s">
        <v>811</v>
      </c>
      <c r="G15" s="262" t="s">
        <v>812</v>
      </c>
      <c r="H15" s="262" t="s">
        <v>804</v>
      </c>
      <c r="I15" s="262" t="s">
        <v>805</v>
      </c>
      <c r="J15" s="262" t="s">
        <v>806</v>
      </c>
      <c r="K15" s="262" t="s">
        <v>813</v>
      </c>
      <c r="L15" s="262" t="s">
        <v>814</v>
      </c>
      <c r="M15" s="262" t="s">
        <v>807</v>
      </c>
      <c r="N15" s="263" t="s">
        <v>815</v>
      </c>
    </row>
    <row r="16" spans="3:15">
      <c r="C16" s="264">
        <v>365</v>
      </c>
      <c r="D16" s="264">
        <v>0.99</v>
      </c>
      <c r="E16" s="264">
        <v>0.02</v>
      </c>
      <c r="F16" s="264">
        <v>0.9</v>
      </c>
      <c r="G16" s="264">
        <v>98.2</v>
      </c>
      <c r="H16" s="265">
        <v>0</v>
      </c>
      <c r="I16" s="265">
        <v>1231900</v>
      </c>
      <c r="J16" s="265">
        <v>1231900</v>
      </c>
      <c r="K16" s="264">
        <v>0.95</v>
      </c>
      <c r="L16" s="264">
        <v>0.95</v>
      </c>
      <c r="M16" s="266">
        <v>2.88</v>
      </c>
      <c r="N16" s="252">
        <f>M16</f>
        <v>2.88</v>
      </c>
      <c r="O16" s="267"/>
    </row>
    <row r="17" spans="3:14">
      <c r="C17" s="264">
        <v>730</v>
      </c>
      <c r="D17" s="264">
        <v>0.99</v>
      </c>
      <c r="E17" s="264">
        <v>0</v>
      </c>
      <c r="F17" s="264">
        <v>0.7</v>
      </c>
      <c r="G17" s="264">
        <v>100</v>
      </c>
      <c r="H17" s="265">
        <v>0</v>
      </c>
      <c r="I17" s="265">
        <v>2567675</v>
      </c>
      <c r="J17" s="265">
        <v>2567675</v>
      </c>
      <c r="K17" s="264">
        <v>0.95</v>
      </c>
      <c r="L17" s="264">
        <v>0.95</v>
      </c>
      <c r="M17" s="266">
        <v>6.02</v>
      </c>
      <c r="N17" s="252">
        <f>M17</f>
        <v>6.02</v>
      </c>
    </row>
    <row r="18" spans="3:14">
      <c r="C18" s="264">
        <v>1095</v>
      </c>
      <c r="D18" s="264">
        <v>0.99</v>
      </c>
      <c r="E18" s="264">
        <v>0</v>
      </c>
      <c r="F18" s="264">
        <v>1</v>
      </c>
      <c r="G18" s="264">
        <v>100</v>
      </c>
      <c r="H18" s="265">
        <v>0</v>
      </c>
      <c r="I18" s="265">
        <v>3906725</v>
      </c>
      <c r="J18" s="265">
        <v>3906725</v>
      </c>
      <c r="K18" s="264">
        <v>0.95</v>
      </c>
      <c r="L18" s="264">
        <v>0.95</v>
      </c>
      <c r="M18" s="266">
        <v>9.24</v>
      </c>
      <c r="N18" s="252">
        <f>M18</f>
        <v>9.24</v>
      </c>
    </row>
    <row r="19" spans="3:14">
      <c r="C19" s="264">
        <v>1460</v>
      </c>
      <c r="D19" s="264">
        <v>0.98</v>
      </c>
      <c r="E19" s="264">
        <v>0</v>
      </c>
      <c r="F19" s="264">
        <v>1.7</v>
      </c>
      <c r="G19" s="264">
        <v>100</v>
      </c>
      <c r="H19" s="265">
        <v>0</v>
      </c>
      <c r="I19" s="265">
        <v>5240750</v>
      </c>
      <c r="J19" s="265">
        <v>5240750</v>
      </c>
      <c r="K19" s="264">
        <v>0.95</v>
      </c>
      <c r="L19" s="264">
        <v>0.95</v>
      </c>
      <c r="M19" s="266">
        <v>12.37</v>
      </c>
      <c r="N19" s="252">
        <f>M19</f>
        <v>12.37</v>
      </c>
    </row>
    <row r="20" spans="3:14">
      <c r="C20" s="264">
        <v>1825</v>
      </c>
      <c r="D20" s="264">
        <v>0.98</v>
      </c>
      <c r="E20" s="264">
        <v>0</v>
      </c>
      <c r="F20" s="264">
        <v>2</v>
      </c>
      <c r="G20" s="264">
        <v>100</v>
      </c>
      <c r="H20" s="265">
        <v>0</v>
      </c>
      <c r="I20" s="265">
        <v>6571950</v>
      </c>
      <c r="J20" s="265">
        <v>6571950</v>
      </c>
      <c r="K20" s="264">
        <v>0.95</v>
      </c>
      <c r="L20" s="264">
        <v>0.95</v>
      </c>
      <c r="M20" s="266">
        <v>15.44</v>
      </c>
      <c r="N20" s="252">
        <f>M20</f>
        <v>15.44</v>
      </c>
    </row>
    <row r="22" spans="3:14">
      <c r="I22" s="267"/>
    </row>
    <row r="23" spans="3:14">
      <c r="E23" s="268" t="s">
        <v>816</v>
      </c>
      <c r="F23" s="255"/>
    </row>
    <row r="24" spans="3:14">
      <c r="E24" s="269" t="s">
        <v>817</v>
      </c>
    </row>
    <row r="25" spans="3:14">
      <c r="E25" s="269" t="s">
        <v>818</v>
      </c>
      <c r="F25" s="255"/>
    </row>
    <row r="26" spans="3:14" ht="25.5">
      <c r="E26" s="269" t="s">
        <v>819</v>
      </c>
      <c r="F26" s="255"/>
    </row>
    <row r="27" spans="3:14">
      <c r="E27" s="270" t="s">
        <v>820</v>
      </c>
    </row>
    <row r="28" spans="3:14">
      <c r="E28" s="270" t="s">
        <v>821</v>
      </c>
    </row>
    <row r="29" spans="3:14">
      <c r="E29" s="270" t="s">
        <v>822</v>
      </c>
    </row>
    <row r="30" spans="3:14">
      <c r="E30" s="270" t="s">
        <v>823</v>
      </c>
    </row>
    <row r="31" spans="3:14">
      <c r="E31" s="270" t="s">
        <v>824</v>
      </c>
    </row>
    <row r="32" spans="3:14">
      <c r="E32" s="270" t="s">
        <v>825</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0CD46-6E40-4A3F-B503-64810E0CB48C}">
  <sheetPr codeName="Sheet36">
    <tabColor rgb="FFFF0000"/>
  </sheetPr>
  <dimension ref="A4:M47"/>
  <sheetViews>
    <sheetView view="pageLayout" topLeftCell="A31" zoomScaleNormal="85" workbookViewId="0">
      <selection activeCell="B47" sqref="B47"/>
    </sheetView>
  </sheetViews>
  <sheetFormatPr defaultColWidth="20.28515625" defaultRowHeight="15"/>
  <cols>
    <col min="1" max="1" width="45.42578125" style="271" customWidth="1"/>
    <col min="2" max="4" width="20.28515625" style="271"/>
    <col min="5" max="5" width="29.5703125" style="271" customWidth="1"/>
    <col min="6" max="6" width="20.28515625" style="271"/>
    <col min="7" max="7" width="21" style="271" customWidth="1"/>
    <col min="8" max="16384" width="20.28515625" style="271"/>
  </cols>
  <sheetData>
    <row r="4" spans="4:8" ht="15.75">
      <c r="D4" s="279" t="s">
        <v>845</v>
      </c>
      <c r="E4" s="279" t="s">
        <v>844</v>
      </c>
      <c r="F4" s="279" t="s">
        <v>244</v>
      </c>
      <c r="G4" s="279" t="s">
        <v>843</v>
      </c>
      <c r="H4" s="279" t="s">
        <v>843</v>
      </c>
    </row>
    <row r="5" spans="4:8">
      <c r="D5" s="272">
        <f>1</f>
        <v>1</v>
      </c>
      <c r="E5" s="281" t="s">
        <v>847</v>
      </c>
      <c r="F5" s="274">
        <f>200000</f>
        <v>200000</v>
      </c>
      <c r="G5" s="274">
        <f>220000</f>
        <v>220000</v>
      </c>
      <c r="H5" s="274">
        <f>240000</f>
        <v>240000</v>
      </c>
    </row>
    <row r="6" spans="4:8">
      <c r="D6" s="272">
        <f>D5+1</f>
        <v>2</v>
      </c>
      <c r="E6" s="281" t="s">
        <v>839</v>
      </c>
      <c r="F6" s="291">
        <f>0.02</f>
        <v>0.02</v>
      </c>
      <c r="G6" s="291">
        <f>0.03</f>
        <v>0.03</v>
      </c>
      <c r="H6" s="291">
        <f>0.04</f>
        <v>0.04</v>
      </c>
    </row>
    <row r="7" spans="4:8">
      <c r="D7" s="272">
        <f t="shared" ref="D7:D14" si="0">D6+1</f>
        <v>3</v>
      </c>
      <c r="E7" s="281" t="s">
        <v>837</v>
      </c>
      <c r="F7" s="291">
        <f>F6/8760</f>
        <v>2.2831050228310503E-6</v>
      </c>
      <c r="G7" s="291">
        <f>G6/8760</f>
        <v>3.424657534246575E-6</v>
      </c>
      <c r="H7" s="291">
        <f>H6/8760</f>
        <v>4.5662100456621006E-6</v>
      </c>
    </row>
    <row r="8" spans="4:8">
      <c r="D8" s="272">
        <f t="shared" si="0"/>
        <v>4</v>
      </c>
      <c r="E8" s="281" t="s">
        <v>853</v>
      </c>
      <c r="F8" s="294">
        <f>1/F7</f>
        <v>438000</v>
      </c>
      <c r="G8" s="294">
        <f>1/G7</f>
        <v>292000</v>
      </c>
      <c r="H8" s="294">
        <f>1/H7</f>
        <v>219000</v>
      </c>
    </row>
    <row r="9" spans="4:8">
      <c r="D9" s="272">
        <f t="shared" si="0"/>
        <v>5</v>
      </c>
      <c r="E9" s="281" t="s">
        <v>865</v>
      </c>
      <c r="F9" s="295">
        <f>1/EXP(F7*10*8760)</f>
        <v>0.81873075307798182</v>
      </c>
      <c r="G9" s="295">
        <f>1/EXP(G7*10*8760)</f>
        <v>0.74081822068171788</v>
      </c>
      <c r="H9" s="295">
        <f>1/EXP(H7*10*8760)</f>
        <v>0.67032004603563933</v>
      </c>
    </row>
    <row r="10" spans="4:8">
      <c r="D10" s="272">
        <f t="shared" si="0"/>
        <v>6</v>
      </c>
      <c r="E10" s="281" t="s">
        <v>836</v>
      </c>
      <c r="F10" s="292">
        <f>7/100</f>
        <v>7.0000000000000007E-2</v>
      </c>
      <c r="G10" s="292">
        <f>7/100</f>
        <v>7.0000000000000007E-2</v>
      </c>
      <c r="H10" s="292">
        <f>7/100</f>
        <v>7.0000000000000007E-2</v>
      </c>
    </row>
    <row r="11" spans="4:8">
      <c r="D11" s="272">
        <f t="shared" si="0"/>
        <v>7</v>
      </c>
      <c r="E11" s="281" t="s">
        <v>838</v>
      </c>
      <c r="F11" s="291">
        <f>10</f>
        <v>10</v>
      </c>
      <c r="G11" s="291">
        <f>10</f>
        <v>10</v>
      </c>
      <c r="H11" s="291">
        <f>10</f>
        <v>10</v>
      </c>
    </row>
    <row r="12" spans="4:8">
      <c r="D12" s="272">
        <f t="shared" si="0"/>
        <v>8</v>
      </c>
      <c r="E12" s="281" t="s">
        <v>842</v>
      </c>
      <c r="F12" s="293">
        <f>5000</f>
        <v>5000</v>
      </c>
      <c r="G12" s="293">
        <f>6000</f>
        <v>6000</v>
      </c>
      <c r="H12" s="293">
        <f>7000</f>
        <v>7000</v>
      </c>
    </row>
    <row r="13" spans="4:8">
      <c r="D13" s="272">
        <f t="shared" si="0"/>
        <v>9</v>
      </c>
      <c r="E13" s="281" t="s">
        <v>846</v>
      </c>
      <c r="F13" s="293">
        <f>6000</f>
        <v>6000</v>
      </c>
      <c r="G13" s="293">
        <f>4500</f>
        <v>4500</v>
      </c>
      <c r="H13" s="293">
        <f>3000</f>
        <v>3000</v>
      </c>
    </row>
    <row r="14" spans="4:8">
      <c r="D14" s="272">
        <f t="shared" si="0"/>
        <v>10</v>
      </c>
      <c r="E14" s="281" t="s">
        <v>849</v>
      </c>
      <c r="F14" s="293">
        <f>PRODUCT(F12*F6)</f>
        <v>100</v>
      </c>
      <c r="G14" s="290">
        <f>G6*G12</f>
        <v>180</v>
      </c>
      <c r="H14" s="290">
        <f>H6*H12</f>
        <v>280</v>
      </c>
    </row>
    <row r="15" spans="4:8">
      <c r="D15" s="280"/>
      <c r="E15" s="296"/>
      <c r="F15" s="297"/>
      <c r="G15" s="298"/>
    </row>
    <row r="16" spans="4:8">
      <c r="D16" s="280"/>
      <c r="E16" s="296"/>
      <c r="F16" s="297"/>
      <c r="G16" s="298"/>
    </row>
    <row r="17" spans="1:13" ht="15.75">
      <c r="B17" s="682" t="s">
        <v>866</v>
      </c>
      <c r="C17" s="683"/>
      <c r="D17" s="683"/>
      <c r="E17" s="683"/>
      <c r="F17" s="683"/>
      <c r="G17" s="683"/>
      <c r="H17" s="683"/>
      <c r="I17" s="683"/>
      <c r="J17" s="683"/>
      <c r="K17" s="683"/>
      <c r="L17" s="683"/>
    </row>
    <row r="18" spans="1:13" s="277" customFormat="1" ht="15.75">
      <c r="B18" s="303">
        <v>0</v>
      </c>
      <c r="C18" s="303">
        <v>1</v>
      </c>
      <c r="D18" s="303">
        <v>2</v>
      </c>
      <c r="E18" s="303">
        <v>3</v>
      </c>
      <c r="F18" s="303">
        <f>E18+1</f>
        <v>4</v>
      </c>
      <c r="G18" s="303">
        <f t="shared" ref="G18:L18" si="1">F18+1</f>
        <v>5</v>
      </c>
      <c r="H18" s="303">
        <f t="shared" si="1"/>
        <v>6</v>
      </c>
      <c r="I18" s="303">
        <f t="shared" si="1"/>
        <v>7</v>
      </c>
      <c r="J18" s="303">
        <f t="shared" si="1"/>
        <v>8</v>
      </c>
      <c r="K18" s="303">
        <f t="shared" si="1"/>
        <v>9</v>
      </c>
      <c r="L18" s="303">
        <f t="shared" si="1"/>
        <v>10</v>
      </c>
    </row>
    <row r="19" spans="1:13">
      <c r="A19" s="299" t="s">
        <v>848</v>
      </c>
      <c r="B19" s="282">
        <f>-(F5)</f>
        <v>-200000</v>
      </c>
      <c r="C19" s="283"/>
      <c r="D19" s="283"/>
      <c r="E19" s="283"/>
      <c r="F19" s="283"/>
      <c r="G19" s="283"/>
      <c r="H19" s="283"/>
      <c r="I19" s="283"/>
      <c r="J19" s="283"/>
      <c r="K19" s="283"/>
      <c r="L19" s="283"/>
    </row>
    <row r="20" spans="1:13" s="277" customFormat="1" ht="15.75">
      <c r="A20" s="299" t="s">
        <v>855</v>
      </c>
      <c r="B20" s="282">
        <v>0</v>
      </c>
      <c r="C20" s="282">
        <f t="shared" ref="C20:L20" si="2">$F$14</f>
        <v>100</v>
      </c>
      <c r="D20" s="282">
        <f t="shared" si="2"/>
        <v>100</v>
      </c>
      <c r="E20" s="282">
        <f t="shared" si="2"/>
        <v>100</v>
      </c>
      <c r="F20" s="282">
        <f t="shared" si="2"/>
        <v>100</v>
      </c>
      <c r="G20" s="282">
        <f t="shared" si="2"/>
        <v>100</v>
      </c>
      <c r="H20" s="282">
        <f t="shared" si="2"/>
        <v>100</v>
      </c>
      <c r="I20" s="282">
        <f t="shared" si="2"/>
        <v>100</v>
      </c>
      <c r="J20" s="282">
        <f t="shared" si="2"/>
        <v>100</v>
      </c>
      <c r="K20" s="282">
        <f t="shared" si="2"/>
        <v>100</v>
      </c>
      <c r="L20" s="282">
        <f t="shared" si="2"/>
        <v>100</v>
      </c>
    </row>
    <row r="21" spans="1:13" s="277" customFormat="1" ht="15.75">
      <c r="A21" s="299" t="s">
        <v>856</v>
      </c>
      <c r="B21" s="300">
        <f>1/(1+$F$10)^B$18</f>
        <v>1</v>
      </c>
      <c r="C21" s="301">
        <f>1/(1+$F$10)^C$18</f>
        <v>0.93457943925233644</v>
      </c>
      <c r="D21" s="301">
        <f t="shared" ref="D21:L21" si="3">1/(1+$F$10)^D$18</f>
        <v>0.87343872827321156</v>
      </c>
      <c r="E21" s="301">
        <f t="shared" si="3"/>
        <v>0.81629787689085187</v>
      </c>
      <c r="F21" s="301">
        <f t="shared" si="3"/>
        <v>0.7628952120475252</v>
      </c>
      <c r="G21" s="301">
        <f t="shared" si="3"/>
        <v>0.71298617948366838</v>
      </c>
      <c r="H21" s="301">
        <f t="shared" si="3"/>
        <v>0.66634222381651254</v>
      </c>
      <c r="I21" s="301">
        <f t="shared" si="3"/>
        <v>0.62274974188459109</v>
      </c>
      <c r="J21" s="301">
        <f t="shared" si="3"/>
        <v>0.5820091045650384</v>
      </c>
      <c r="K21" s="301">
        <f t="shared" si="3"/>
        <v>0.54393374258414806</v>
      </c>
      <c r="L21" s="301">
        <f t="shared" si="3"/>
        <v>0.5083492921347178</v>
      </c>
    </row>
    <row r="22" spans="1:13" s="277" customFormat="1" ht="19.5">
      <c r="A22" s="299" t="s">
        <v>858</v>
      </c>
      <c r="B22" s="284">
        <f>0</f>
        <v>0</v>
      </c>
      <c r="C22" s="288">
        <f>C$20*C$21</f>
        <v>93.45794392523365</v>
      </c>
      <c r="D22" s="288">
        <f t="shared" ref="D22:L22" si="4">D$20*D$21</f>
        <v>87.34387282732115</v>
      </c>
      <c r="E22" s="288">
        <f t="shared" si="4"/>
        <v>81.629787689085191</v>
      </c>
      <c r="F22" s="288">
        <f t="shared" si="4"/>
        <v>76.289521204752518</v>
      </c>
      <c r="G22" s="288">
        <f t="shared" si="4"/>
        <v>71.298617948366839</v>
      </c>
      <c r="H22" s="288">
        <f t="shared" si="4"/>
        <v>66.634222381651256</v>
      </c>
      <c r="I22" s="288">
        <f t="shared" si="4"/>
        <v>62.274974188459112</v>
      </c>
      <c r="J22" s="288">
        <f t="shared" si="4"/>
        <v>58.200910456503841</v>
      </c>
      <c r="K22" s="288">
        <f t="shared" si="4"/>
        <v>54.393374258414809</v>
      </c>
      <c r="L22" s="288">
        <f t="shared" si="4"/>
        <v>50.834929213471781</v>
      </c>
      <c r="M22" s="302">
        <f>SUM(C22:L22)</f>
        <v>702.35815409326028</v>
      </c>
    </row>
    <row r="23" spans="1:13" s="277" customFormat="1" ht="19.5">
      <c r="A23" s="299" t="s">
        <v>859</v>
      </c>
      <c r="B23" s="284">
        <f>0</f>
        <v>0</v>
      </c>
      <c r="C23" s="288">
        <f t="shared" ref="C23:L23" si="5">$F$13*C$21</f>
        <v>5607.4766355140182</v>
      </c>
      <c r="D23" s="288">
        <f t="shared" si="5"/>
        <v>5240.6323696392692</v>
      </c>
      <c r="E23" s="288">
        <f t="shared" si="5"/>
        <v>4897.7872613451109</v>
      </c>
      <c r="F23" s="288">
        <f t="shared" si="5"/>
        <v>4577.3712722851515</v>
      </c>
      <c r="G23" s="288">
        <f t="shared" si="5"/>
        <v>4277.9170769020102</v>
      </c>
      <c r="H23" s="288">
        <f t="shared" si="5"/>
        <v>3998.0533428990752</v>
      </c>
      <c r="I23" s="288">
        <f t="shared" si="5"/>
        <v>3736.4984513075465</v>
      </c>
      <c r="J23" s="288">
        <f t="shared" si="5"/>
        <v>3492.0546273902305</v>
      </c>
      <c r="K23" s="288">
        <f t="shared" si="5"/>
        <v>3263.6024555048884</v>
      </c>
      <c r="L23" s="288">
        <f t="shared" si="5"/>
        <v>3050.0957528083068</v>
      </c>
      <c r="M23" s="302">
        <f>SUM(C23:L23)</f>
        <v>42141.489245595607</v>
      </c>
    </row>
    <row r="24" spans="1:13" s="277" customFormat="1" ht="15.75">
      <c r="A24" s="299" t="s">
        <v>860</v>
      </c>
      <c r="B24" s="285">
        <f>SUM(B19)*B21</f>
        <v>-200000</v>
      </c>
      <c r="C24" s="289">
        <f>SUM(C22:C23)</f>
        <v>5700.934579439252</v>
      </c>
      <c r="D24" s="289">
        <f t="shared" ref="D24:L24" si="6">SUM(D22:D23)</f>
        <v>5327.9762424665905</v>
      </c>
      <c r="E24" s="289">
        <f t="shared" si="6"/>
        <v>4979.4170490341958</v>
      </c>
      <c r="F24" s="289">
        <f t="shared" si="6"/>
        <v>4653.6607934899039</v>
      </c>
      <c r="G24" s="289">
        <f t="shared" si="6"/>
        <v>4349.2156948503771</v>
      </c>
      <c r="H24" s="289">
        <f t="shared" si="6"/>
        <v>4064.6875652807266</v>
      </c>
      <c r="I24" s="289">
        <f t="shared" si="6"/>
        <v>3798.7734254960055</v>
      </c>
      <c r="J24" s="289">
        <f t="shared" si="6"/>
        <v>3550.2555378467346</v>
      </c>
      <c r="K24" s="289">
        <f t="shared" si="6"/>
        <v>3317.9958297633034</v>
      </c>
      <c r="L24" s="289">
        <f t="shared" si="6"/>
        <v>3100.9306820217785</v>
      </c>
    </row>
    <row r="25" spans="1:13">
      <c r="A25" s="271" t="s">
        <v>803</v>
      </c>
      <c r="B25" s="275">
        <f>SUM(B24:L24)</f>
        <v>-157156.15260031112</v>
      </c>
      <c r="C25" s="278"/>
      <c r="D25" s="278"/>
      <c r="E25" s="278"/>
      <c r="F25" s="278"/>
      <c r="G25" s="278"/>
      <c r="H25" s="278"/>
      <c r="I25" s="278"/>
      <c r="J25" s="278"/>
      <c r="K25" s="278"/>
      <c r="L25" s="278"/>
    </row>
    <row r="26" spans="1:13" ht="19.5">
      <c r="A26" s="271" t="s">
        <v>861</v>
      </c>
      <c r="B26" s="276">
        <f>SUM(C24:L24)-(B24)</f>
        <v>242843.84739968888</v>
      </c>
    </row>
    <row r="27" spans="1:13" ht="15.75">
      <c r="B27" s="682" t="s">
        <v>867</v>
      </c>
      <c r="C27" s="683"/>
      <c r="D27" s="683"/>
      <c r="E27" s="683"/>
      <c r="F27" s="683"/>
      <c r="G27" s="683"/>
      <c r="H27" s="683"/>
      <c r="I27" s="683"/>
      <c r="J27" s="683"/>
      <c r="K27" s="683"/>
      <c r="L27" s="683"/>
    </row>
    <row r="28" spans="1:13" ht="15.75">
      <c r="A28" s="277"/>
      <c r="B28" s="303">
        <v>0</v>
      </c>
      <c r="C28" s="303">
        <v>1</v>
      </c>
      <c r="D28" s="303">
        <v>2</v>
      </c>
      <c r="E28" s="303">
        <v>3</v>
      </c>
      <c r="F28" s="303">
        <f>E28+1</f>
        <v>4</v>
      </c>
      <c r="G28" s="303">
        <f t="shared" ref="G28:L28" si="7">F28+1</f>
        <v>5</v>
      </c>
      <c r="H28" s="303">
        <f t="shared" si="7"/>
        <v>6</v>
      </c>
      <c r="I28" s="303">
        <f t="shared" si="7"/>
        <v>7</v>
      </c>
      <c r="J28" s="303">
        <f t="shared" si="7"/>
        <v>8</v>
      </c>
      <c r="K28" s="303">
        <f t="shared" si="7"/>
        <v>9</v>
      </c>
      <c r="L28" s="303">
        <f t="shared" si="7"/>
        <v>10</v>
      </c>
    </row>
    <row r="29" spans="1:13">
      <c r="A29" s="299" t="s">
        <v>848</v>
      </c>
      <c r="B29" s="282">
        <f>-(G5)</f>
        <v>-220000</v>
      </c>
      <c r="C29" s="283"/>
      <c r="D29" s="283"/>
      <c r="E29" s="283"/>
      <c r="F29" s="283"/>
      <c r="G29" s="283"/>
      <c r="H29" s="283"/>
      <c r="I29" s="283"/>
      <c r="J29" s="283"/>
      <c r="K29" s="283"/>
      <c r="L29" s="283"/>
    </row>
    <row r="30" spans="1:13">
      <c r="A30" s="299" t="s">
        <v>855</v>
      </c>
      <c r="B30" s="282">
        <v>0</v>
      </c>
      <c r="C30" s="282">
        <f>$G$14</f>
        <v>180</v>
      </c>
      <c r="D30" s="282">
        <f t="shared" ref="D30:L30" si="8">$G$14</f>
        <v>180</v>
      </c>
      <c r="E30" s="282">
        <f t="shared" si="8"/>
        <v>180</v>
      </c>
      <c r="F30" s="282">
        <f t="shared" si="8"/>
        <v>180</v>
      </c>
      <c r="G30" s="282">
        <f t="shared" si="8"/>
        <v>180</v>
      </c>
      <c r="H30" s="282">
        <f t="shared" si="8"/>
        <v>180</v>
      </c>
      <c r="I30" s="282">
        <f t="shared" si="8"/>
        <v>180</v>
      </c>
      <c r="J30" s="282">
        <f t="shared" si="8"/>
        <v>180</v>
      </c>
      <c r="K30" s="282">
        <f t="shared" si="8"/>
        <v>180</v>
      </c>
      <c r="L30" s="282">
        <f t="shared" si="8"/>
        <v>180</v>
      </c>
    </row>
    <row r="31" spans="1:13">
      <c r="A31" s="299" t="s">
        <v>856</v>
      </c>
      <c r="B31" s="300">
        <f>1/(1+$F$10)^B$18</f>
        <v>1</v>
      </c>
      <c r="C31" s="301">
        <f>1/(1+$F$10)^C$18</f>
        <v>0.93457943925233644</v>
      </c>
      <c r="D31" s="301">
        <f t="shared" ref="D31:L31" si="9">1/(1+$F$10)^D$18</f>
        <v>0.87343872827321156</v>
      </c>
      <c r="E31" s="301">
        <f t="shared" si="9"/>
        <v>0.81629787689085187</v>
      </c>
      <c r="F31" s="301">
        <f t="shared" si="9"/>
        <v>0.7628952120475252</v>
      </c>
      <c r="G31" s="301">
        <f t="shared" si="9"/>
        <v>0.71298617948366838</v>
      </c>
      <c r="H31" s="301">
        <f t="shared" si="9"/>
        <v>0.66634222381651254</v>
      </c>
      <c r="I31" s="301">
        <f t="shared" si="9"/>
        <v>0.62274974188459109</v>
      </c>
      <c r="J31" s="301">
        <f t="shared" si="9"/>
        <v>0.5820091045650384</v>
      </c>
      <c r="K31" s="301">
        <f t="shared" si="9"/>
        <v>0.54393374258414806</v>
      </c>
      <c r="L31" s="301">
        <f t="shared" si="9"/>
        <v>0.5083492921347178</v>
      </c>
    </row>
    <row r="32" spans="1:13" ht="19.5">
      <c r="A32" s="299" t="s">
        <v>858</v>
      </c>
      <c r="B32" s="284">
        <f>0</f>
        <v>0</v>
      </c>
      <c r="C32" s="288">
        <f>C$30*C$21</f>
        <v>168.22429906542055</v>
      </c>
      <c r="D32" s="288">
        <f t="shared" ref="D32:L32" si="10">D$30*D$21</f>
        <v>157.21897108917807</v>
      </c>
      <c r="E32" s="288">
        <f t="shared" si="10"/>
        <v>146.93361784035335</v>
      </c>
      <c r="F32" s="288">
        <f t="shared" si="10"/>
        <v>137.32113816855454</v>
      </c>
      <c r="G32" s="288">
        <f t="shared" si="10"/>
        <v>128.33751230706031</v>
      </c>
      <c r="H32" s="288">
        <f t="shared" si="10"/>
        <v>119.94160028697226</v>
      </c>
      <c r="I32" s="288">
        <f t="shared" si="10"/>
        <v>112.0949535392264</v>
      </c>
      <c r="J32" s="288">
        <f t="shared" si="10"/>
        <v>104.76163882170691</v>
      </c>
      <c r="K32" s="288">
        <f t="shared" si="10"/>
        <v>97.908073665146645</v>
      </c>
      <c r="L32" s="288">
        <f t="shared" si="10"/>
        <v>91.502872584249204</v>
      </c>
      <c r="M32" s="302">
        <f>SUM(C32:L32)</f>
        <v>1264.2446773678682</v>
      </c>
    </row>
    <row r="33" spans="1:13" ht="19.5">
      <c r="A33" s="299" t="s">
        <v>859</v>
      </c>
      <c r="B33" s="284">
        <f>0</f>
        <v>0</v>
      </c>
      <c r="C33" s="288">
        <f>$G$13*C$21</f>
        <v>4205.6074766355141</v>
      </c>
      <c r="D33" s="288">
        <f t="shared" ref="D33:L33" si="11">$G$13*D$21</f>
        <v>3930.4742772294521</v>
      </c>
      <c r="E33" s="288">
        <f t="shared" si="11"/>
        <v>3673.3404460088336</v>
      </c>
      <c r="F33" s="288">
        <f t="shared" si="11"/>
        <v>3433.0284542138634</v>
      </c>
      <c r="G33" s="288">
        <f t="shared" si="11"/>
        <v>3208.4378076765079</v>
      </c>
      <c r="H33" s="288">
        <f t="shared" si="11"/>
        <v>2998.5400071743065</v>
      </c>
      <c r="I33" s="288">
        <f t="shared" si="11"/>
        <v>2802.3738384806597</v>
      </c>
      <c r="J33" s="288">
        <f t="shared" si="11"/>
        <v>2619.0409705426728</v>
      </c>
      <c r="K33" s="288">
        <f t="shared" si="11"/>
        <v>2447.7018416286664</v>
      </c>
      <c r="L33" s="288">
        <f t="shared" si="11"/>
        <v>2287.57181460623</v>
      </c>
      <c r="M33" s="302">
        <f>SUM(C33:L33)</f>
        <v>31606.116934196703</v>
      </c>
    </row>
    <row r="34" spans="1:13" ht="15.75">
      <c r="A34" s="299" t="s">
        <v>860</v>
      </c>
      <c r="B34" s="285">
        <f>SUM(B29)*B31</f>
        <v>-220000</v>
      </c>
      <c r="C34" s="289">
        <f t="shared" ref="C34:L34" si="12">SUM(C32:C33)</f>
        <v>4373.8317757009345</v>
      </c>
      <c r="D34" s="289">
        <f t="shared" si="12"/>
        <v>4087.6932483186301</v>
      </c>
      <c r="E34" s="289">
        <f t="shared" si="12"/>
        <v>3820.2740638491869</v>
      </c>
      <c r="F34" s="289">
        <f t="shared" si="12"/>
        <v>3570.349592382418</v>
      </c>
      <c r="G34" s="289">
        <f t="shared" si="12"/>
        <v>3336.7753199835684</v>
      </c>
      <c r="H34" s="289">
        <f t="shared" si="12"/>
        <v>3118.4816074612786</v>
      </c>
      <c r="I34" s="289">
        <f t="shared" si="12"/>
        <v>2914.4687920198862</v>
      </c>
      <c r="J34" s="289">
        <f t="shared" si="12"/>
        <v>2723.8026093643798</v>
      </c>
      <c r="K34" s="289">
        <f t="shared" si="12"/>
        <v>2545.6099152938132</v>
      </c>
      <c r="L34" s="289">
        <f t="shared" si="12"/>
        <v>2379.0746871904794</v>
      </c>
    </row>
    <row r="35" spans="1:13">
      <c r="A35" s="271" t="s">
        <v>803</v>
      </c>
      <c r="B35" s="275">
        <f>SUM(B34:L34)</f>
        <v>-187129.63838843544</v>
      </c>
      <c r="C35" s="278"/>
      <c r="D35" s="278"/>
      <c r="E35" s="278"/>
      <c r="F35" s="278"/>
      <c r="G35" s="278"/>
      <c r="H35" s="278"/>
      <c r="I35" s="278"/>
      <c r="J35" s="278"/>
      <c r="K35" s="278"/>
      <c r="L35" s="278"/>
    </row>
    <row r="36" spans="1:13" ht="19.5">
      <c r="A36" s="271" t="s">
        <v>869</v>
      </c>
      <c r="B36" s="276">
        <f>SUM(C34:L34)-(B34)</f>
        <v>252870.36161156459</v>
      </c>
    </row>
    <row r="38" spans="1:13" ht="15.75">
      <c r="B38" s="682" t="s">
        <v>868</v>
      </c>
      <c r="C38" s="683"/>
      <c r="D38" s="683"/>
      <c r="E38" s="683"/>
      <c r="F38" s="683"/>
      <c r="G38" s="683"/>
      <c r="H38" s="683"/>
      <c r="I38" s="683"/>
      <c r="J38" s="683"/>
      <c r="K38" s="683"/>
      <c r="L38" s="683"/>
    </row>
    <row r="39" spans="1:13">
      <c r="B39" s="273">
        <v>0</v>
      </c>
      <c r="C39" s="273">
        <v>1</v>
      </c>
      <c r="D39" s="273">
        <v>2</v>
      </c>
      <c r="E39" s="273">
        <v>3</v>
      </c>
      <c r="F39" s="273">
        <f>E39+1</f>
        <v>4</v>
      </c>
      <c r="G39" s="273">
        <f t="shared" ref="G39:L39" si="13">F39+1</f>
        <v>5</v>
      </c>
      <c r="H39" s="273">
        <f t="shared" si="13"/>
        <v>6</v>
      </c>
      <c r="I39" s="273">
        <f t="shared" si="13"/>
        <v>7</v>
      </c>
      <c r="J39" s="273">
        <f t="shared" si="13"/>
        <v>8</v>
      </c>
      <c r="K39" s="273">
        <f t="shared" si="13"/>
        <v>9</v>
      </c>
      <c r="L39" s="273">
        <f t="shared" si="13"/>
        <v>10</v>
      </c>
    </row>
    <row r="40" spans="1:13">
      <c r="A40" s="271" t="s">
        <v>848</v>
      </c>
      <c r="B40" s="273">
        <v>-160000</v>
      </c>
      <c r="C40" s="273"/>
      <c r="D40" s="273"/>
      <c r="E40" s="273"/>
      <c r="F40" s="273"/>
      <c r="G40" s="273"/>
      <c r="H40" s="273"/>
      <c r="I40" s="273"/>
      <c r="J40" s="273"/>
      <c r="K40" s="273"/>
      <c r="L40" s="273"/>
    </row>
    <row r="41" spans="1:13">
      <c r="A41" s="271" t="s">
        <v>855</v>
      </c>
      <c r="B41" s="273">
        <v>0</v>
      </c>
      <c r="C41" s="273">
        <f>$G$14</f>
        <v>180</v>
      </c>
      <c r="D41" s="273">
        <f t="shared" ref="D41:L41" si="14">$G$14</f>
        <v>180</v>
      </c>
      <c r="E41" s="273">
        <f t="shared" si="14"/>
        <v>180</v>
      </c>
      <c r="F41" s="273">
        <f t="shared" si="14"/>
        <v>180</v>
      </c>
      <c r="G41" s="273">
        <f t="shared" si="14"/>
        <v>180</v>
      </c>
      <c r="H41" s="273">
        <f t="shared" si="14"/>
        <v>180</v>
      </c>
      <c r="I41" s="273">
        <f t="shared" si="14"/>
        <v>180</v>
      </c>
      <c r="J41" s="273">
        <f t="shared" si="14"/>
        <v>180</v>
      </c>
      <c r="K41" s="273">
        <f t="shared" si="14"/>
        <v>180</v>
      </c>
      <c r="L41" s="273">
        <f t="shared" si="14"/>
        <v>180</v>
      </c>
    </row>
    <row r="42" spans="1:13">
      <c r="A42" s="271" t="s">
        <v>856</v>
      </c>
      <c r="B42" s="273">
        <v>1</v>
      </c>
      <c r="C42" s="273">
        <f>1/(1+$F$10)^C$18</f>
        <v>0.93457943925233644</v>
      </c>
      <c r="D42" s="273">
        <f t="shared" ref="D42:L42" si="15">1/(1+$F$10)^D$18</f>
        <v>0.87343872827321156</v>
      </c>
      <c r="E42" s="273">
        <f t="shared" si="15"/>
        <v>0.81629787689085187</v>
      </c>
      <c r="F42" s="273">
        <f t="shared" si="15"/>
        <v>0.7628952120475252</v>
      </c>
      <c r="G42" s="273">
        <f t="shared" si="15"/>
        <v>0.71298617948366838</v>
      </c>
      <c r="H42" s="273">
        <f t="shared" si="15"/>
        <v>0.66634222381651254</v>
      </c>
      <c r="I42" s="273">
        <f t="shared" si="15"/>
        <v>0.62274974188459109</v>
      </c>
      <c r="J42" s="273">
        <f t="shared" si="15"/>
        <v>0.5820091045650384</v>
      </c>
      <c r="K42" s="273">
        <f t="shared" si="15"/>
        <v>0.54393374258414806</v>
      </c>
      <c r="L42" s="273">
        <f t="shared" si="15"/>
        <v>0.5083492921347178</v>
      </c>
    </row>
    <row r="43" spans="1:13">
      <c r="A43" s="271" t="s">
        <v>863</v>
      </c>
      <c r="B43" s="273">
        <v>0</v>
      </c>
      <c r="C43" s="273">
        <f>C$30*C$21</f>
        <v>168.22429906542055</v>
      </c>
      <c r="D43" s="273">
        <f t="shared" ref="D43:L43" si="16">D$30*D$21</f>
        <v>157.21897108917807</v>
      </c>
      <c r="E43" s="273">
        <f t="shared" si="16"/>
        <v>146.93361784035335</v>
      </c>
      <c r="F43" s="273">
        <f t="shared" si="16"/>
        <v>137.32113816855454</v>
      </c>
      <c r="G43" s="273">
        <f t="shared" si="16"/>
        <v>128.33751230706031</v>
      </c>
      <c r="H43" s="273">
        <f t="shared" si="16"/>
        <v>119.94160028697226</v>
      </c>
      <c r="I43" s="273">
        <f t="shared" si="16"/>
        <v>112.0949535392264</v>
      </c>
      <c r="J43" s="273">
        <f t="shared" si="16"/>
        <v>104.76163882170691</v>
      </c>
      <c r="K43" s="273">
        <f t="shared" si="16"/>
        <v>97.908073665146645</v>
      </c>
      <c r="L43" s="273">
        <f t="shared" si="16"/>
        <v>91.502872584249204</v>
      </c>
      <c r="M43" s="271">
        <f>SUM(C43:L43)</f>
        <v>1264.2446773678682</v>
      </c>
    </row>
    <row r="44" spans="1:13" ht="15.75">
      <c r="A44" s="271" t="s">
        <v>864</v>
      </c>
      <c r="B44" s="273">
        <v>0</v>
      </c>
      <c r="C44" s="273">
        <f>$G$13*C$21</f>
        <v>4205.6074766355141</v>
      </c>
      <c r="D44" s="273">
        <f t="shared" ref="D44:L44" si="17">$G$13*D$21</f>
        <v>3930.4742772294521</v>
      </c>
      <c r="E44" s="273">
        <f t="shared" si="17"/>
        <v>3673.3404460088336</v>
      </c>
      <c r="F44" s="273">
        <f t="shared" si="17"/>
        <v>3433.0284542138634</v>
      </c>
      <c r="G44" s="273">
        <f t="shared" si="17"/>
        <v>3208.4378076765079</v>
      </c>
      <c r="H44" s="273">
        <f t="shared" si="17"/>
        <v>2998.5400071743065</v>
      </c>
      <c r="I44" s="273">
        <f t="shared" si="17"/>
        <v>2802.3738384806597</v>
      </c>
      <c r="J44" s="273">
        <f t="shared" si="17"/>
        <v>2619.0409705426728</v>
      </c>
      <c r="K44" s="273">
        <f t="shared" si="17"/>
        <v>2447.7018416286664</v>
      </c>
      <c r="L44" s="273">
        <f t="shared" si="17"/>
        <v>2287.57181460623</v>
      </c>
      <c r="M44" s="302">
        <f>SUM(C44:L44)</f>
        <v>31606.116934196703</v>
      </c>
    </row>
    <row r="45" spans="1:13" ht="15.75">
      <c r="A45" s="271" t="s">
        <v>860</v>
      </c>
      <c r="B45" s="273">
        <v>-160000</v>
      </c>
      <c r="C45" s="273">
        <f t="shared" ref="C45:L45" si="18">SUM(C43:C44)</f>
        <v>4373.8317757009345</v>
      </c>
      <c r="D45" s="273">
        <f t="shared" si="18"/>
        <v>4087.6932483186301</v>
      </c>
      <c r="E45" s="273">
        <f t="shared" si="18"/>
        <v>3820.2740638491869</v>
      </c>
      <c r="F45" s="273">
        <f t="shared" si="18"/>
        <v>3570.349592382418</v>
      </c>
      <c r="G45" s="273">
        <f t="shared" si="18"/>
        <v>3336.7753199835684</v>
      </c>
      <c r="H45" s="273">
        <f t="shared" si="18"/>
        <v>3118.4816074612786</v>
      </c>
      <c r="I45" s="273">
        <f t="shared" si="18"/>
        <v>2914.4687920198862</v>
      </c>
      <c r="J45" s="273">
        <f t="shared" si="18"/>
        <v>2723.8026093643798</v>
      </c>
      <c r="K45" s="273">
        <f t="shared" si="18"/>
        <v>2545.6099152938132</v>
      </c>
      <c r="L45" s="273">
        <f t="shared" si="18"/>
        <v>2379.0746871904794</v>
      </c>
      <c r="M45" s="302"/>
    </row>
    <row r="46" spans="1:13">
      <c r="A46" s="271" t="s">
        <v>803</v>
      </c>
      <c r="B46" s="275">
        <f>SUM(B45:L45)</f>
        <v>-127129.63838843543</v>
      </c>
    </row>
    <row r="47" spans="1:13" ht="19.5">
      <c r="A47" s="271" t="s">
        <v>870</v>
      </c>
      <c r="B47" s="276">
        <f>SUM(C45:L45)-(B45)</f>
        <v>192870.36161156459</v>
      </c>
    </row>
  </sheetData>
  <mergeCells count="3">
    <mergeCell ref="B17:L17"/>
    <mergeCell ref="B27:L27"/>
    <mergeCell ref="B38:L38"/>
  </mergeCells>
  <pageMargins left="0.7" right="0.7" top="0.75" bottom="0.75" header="0.3" footer="0.3"/>
  <pageSetup orientation="portrait" r:id="rId1"/>
  <cellWatches>
    <cellWatch r="B47"/>
    <cellWatch r="B36"/>
  </cellWatches>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972A8-D98A-4EFA-AF5E-9A67D09DB610}">
  <sheetPr codeName="Sheet37">
    <tabColor rgb="FFFF0000"/>
  </sheetPr>
  <dimension ref="A2:R40"/>
  <sheetViews>
    <sheetView zoomScale="85" zoomScaleNormal="85" workbookViewId="0">
      <selection sqref="A1:XFD1048576"/>
    </sheetView>
  </sheetViews>
  <sheetFormatPr defaultColWidth="20.28515625" defaultRowHeight="15.75"/>
  <cols>
    <col min="1" max="1" width="33.7109375" style="753" customWidth="1"/>
    <col min="2" max="2" width="51.5703125" style="753" customWidth="1"/>
    <col min="3" max="4" width="20.28515625" style="753"/>
    <col min="5" max="5" width="29.5703125" style="753" customWidth="1"/>
    <col min="6" max="6" width="28.7109375" style="753" customWidth="1"/>
    <col min="7" max="7" width="20.28515625" style="753"/>
    <col min="8" max="8" width="25" style="753" customWidth="1"/>
    <col min="9" max="9" width="26.5703125" style="753" customWidth="1"/>
    <col min="10" max="16384" width="20.28515625" style="753"/>
  </cols>
  <sheetData>
    <row r="2" spans="1:7" ht="58.5" customHeight="1">
      <c r="A2" s="752" t="s">
        <v>918</v>
      </c>
      <c r="B2" s="752" t="s">
        <v>919</v>
      </c>
    </row>
    <row r="4" spans="1:7">
      <c r="D4" s="754" t="s">
        <v>845</v>
      </c>
      <c r="E4" s="754" t="s">
        <v>844</v>
      </c>
      <c r="F4" s="754" t="s">
        <v>244</v>
      </c>
      <c r="G4" s="754" t="s">
        <v>843</v>
      </c>
    </row>
    <row r="5" spans="1:7">
      <c r="D5" s="755">
        <f>1</f>
        <v>1</v>
      </c>
      <c r="E5" s="752" t="s">
        <v>847</v>
      </c>
      <c r="F5" s="756">
        <f>180000</f>
        <v>180000</v>
      </c>
      <c r="G5" s="756">
        <f>160000</f>
        <v>160000</v>
      </c>
    </row>
    <row r="6" spans="1:7">
      <c r="D6" s="755">
        <f>D5+1</f>
        <v>2</v>
      </c>
      <c r="E6" s="752" t="s">
        <v>839</v>
      </c>
      <c r="F6" s="757">
        <f>0.04</f>
        <v>0.04</v>
      </c>
      <c r="G6" s="757">
        <f>0.03</f>
        <v>0.03</v>
      </c>
    </row>
    <row r="7" spans="1:7">
      <c r="D7" s="755">
        <f t="shared" ref="D7:D14" si="0">D6+1</f>
        <v>3</v>
      </c>
      <c r="E7" s="752" t="s">
        <v>837</v>
      </c>
      <c r="F7" s="757">
        <f>F6/8760</f>
        <v>4.5662100456621006E-6</v>
      </c>
      <c r="G7" s="757">
        <f>G6/8760</f>
        <v>3.424657534246575E-6</v>
      </c>
    </row>
    <row r="8" spans="1:7">
      <c r="D8" s="755">
        <f t="shared" si="0"/>
        <v>4</v>
      </c>
      <c r="E8" s="752" t="s">
        <v>853</v>
      </c>
      <c r="F8" s="758">
        <f>1/F7</f>
        <v>219000</v>
      </c>
      <c r="G8" s="758">
        <f>1/G7</f>
        <v>292000</v>
      </c>
    </row>
    <row r="9" spans="1:7">
      <c r="D9" s="755">
        <f t="shared" si="0"/>
        <v>5</v>
      </c>
      <c r="E9" s="752" t="s">
        <v>854</v>
      </c>
      <c r="F9" s="759">
        <f>1/EXP(F7*15*8760)</f>
        <v>0.5488116360940265</v>
      </c>
      <c r="G9" s="759">
        <f>1/EXP(G7*15*8760)</f>
        <v>0.63762815162177333</v>
      </c>
    </row>
    <row r="10" spans="1:7">
      <c r="D10" s="755">
        <f>D9+1</f>
        <v>6</v>
      </c>
      <c r="E10" s="752" t="s">
        <v>836</v>
      </c>
      <c r="F10" s="760">
        <f>6/100</f>
        <v>0.06</v>
      </c>
      <c r="G10" s="760">
        <f>6/100</f>
        <v>0.06</v>
      </c>
    </row>
    <row r="11" spans="1:7">
      <c r="D11" s="755">
        <f t="shared" si="0"/>
        <v>7</v>
      </c>
      <c r="E11" s="752" t="s">
        <v>838</v>
      </c>
      <c r="F11" s="757">
        <f>15</f>
        <v>15</v>
      </c>
      <c r="G11" s="757">
        <f>15</f>
        <v>15</v>
      </c>
    </row>
    <row r="12" spans="1:7">
      <c r="D12" s="755">
        <f t="shared" si="0"/>
        <v>8</v>
      </c>
      <c r="E12" s="752" t="s">
        <v>842</v>
      </c>
      <c r="F12" s="756">
        <f>6000</f>
        <v>6000</v>
      </c>
      <c r="G12" s="756">
        <f>5000</f>
        <v>5000</v>
      </c>
    </row>
    <row r="13" spans="1:7">
      <c r="D13" s="755">
        <f t="shared" si="0"/>
        <v>9</v>
      </c>
      <c r="E13" s="752" t="s">
        <v>846</v>
      </c>
      <c r="F13" s="756">
        <f>2000</f>
        <v>2000</v>
      </c>
      <c r="G13" s="756">
        <f>5000</f>
        <v>5000</v>
      </c>
    </row>
    <row r="14" spans="1:7">
      <c r="D14" s="755">
        <f t="shared" si="0"/>
        <v>10</v>
      </c>
      <c r="E14" s="752" t="s">
        <v>849</v>
      </c>
      <c r="F14" s="756">
        <f>PRODUCT(F12*F6)</f>
        <v>240</v>
      </c>
      <c r="G14" s="761">
        <f>G6*G12</f>
        <v>150</v>
      </c>
    </row>
    <row r="15" spans="1:7">
      <c r="D15" s="762"/>
      <c r="E15" s="763"/>
      <c r="F15" s="764"/>
      <c r="G15" s="765"/>
    </row>
    <row r="16" spans="1:7">
      <c r="C16" s="766"/>
      <c r="D16" s="762"/>
      <c r="E16" s="763"/>
      <c r="F16" s="764"/>
      <c r="G16" s="765"/>
    </row>
    <row r="17" spans="1:18">
      <c r="B17" s="767" t="s">
        <v>857</v>
      </c>
      <c r="C17" s="768"/>
      <c r="D17" s="768"/>
      <c r="E17" s="768"/>
      <c r="F17" s="768"/>
      <c r="G17" s="768"/>
      <c r="H17" s="768"/>
      <c r="I17" s="768"/>
      <c r="J17" s="768"/>
      <c r="K17" s="768"/>
      <c r="L17" s="768"/>
      <c r="M17" s="768"/>
      <c r="N17" s="768"/>
      <c r="O17" s="768"/>
      <c r="P17" s="768"/>
      <c r="Q17" s="769"/>
    </row>
    <row r="18" spans="1:18" s="770" customFormat="1">
      <c r="B18" s="771">
        <v>0</v>
      </c>
      <c r="C18" s="771">
        <v>1</v>
      </c>
      <c r="D18" s="771">
        <v>2</v>
      </c>
      <c r="E18" s="771">
        <v>3</v>
      </c>
      <c r="F18" s="771">
        <f>E18+1</f>
        <v>4</v>
      </c>
      <c r="G18" s="771">
        <f t="shared" ref="G18:P18" si="1">F18+1</f>
        <v>5</v>
      </c>
      <c r="H18" s="771">
        <f t="shared" si="1"/>
        <v>6</v>
      </c>
      <c r="I18" s="771">
        <f t="shared" si="1"/>
        <v>7</v>
      </c>
      <c r="J18" s="771">
        <f t="shared" si="1"/>
        <v>8</v>
      </c>
      <c r="K18" s="771">
        <f t="shared" si="1"/>
        <v>9</v>
      </c>
      <c r="L18" s="771">
        <f t="shared" si="1"/>
        <v>10</v>
      </c>
      <c r="M18" s="771">
        <f t="shared" si="1"/>
        <v>11</v>
      </c>
      <c r="N18" s="771">
        <f t="shared" si="1"/>
        <v>12</v>
      </c>
      <c r="O18" s="771">
        <f t="shared" si="1"/>
        <v>13</v>
      </c>
      <c r="P18" s="771">
        <f t="shared" si="1"/>
        <v>14</v>
      </c>
      <c r="Q18" s="771">
        <f>P18+1</f>
        <v>15</v>
      </c>
    </row>
    <row r="19" spans="1:18">
      <c r="A19" s="772" t="s">
        <v>848</v>
      </c>
      <c r="B19" s="773">
        <f>-(F5)</f>
        <v>-180000</v>
      </c>
      <c r="C19" s="774"/>
      <c r="D19" s="774"/>
      <c r="E19" s="774"/>
      <c r="F19" s="774"/>
      <c r="G19" s="774"/>
      <c r="H19" s="774"/>
      <c r="I19" s="774"/>
      <c r="J19" s="774"/>
      <c r="K19" s="774"/>
      <c r="L19" s="774"/>
      <c r="M19" s="774"/>
      <c r="N19" s="774"/>
      <c r="O19" s="774"/>
      <c r="P19" s="774"/>
      <c r="Q19" s="774"/>
    </row>
    <row r="20" spans="1:18" s="770" customFormat="1">
      <c r="A20" s="772" t="s">
        <v>840</v>
      </c>
      <c r="B20" s="775">
        <f>0</f>
        <v>0</v>
      </c>
      <c r="C20" s="776">
        <f t="shared" ref="C20:Q20" si="2">1-1/EXP($F$7*C$18*8760)</f>
        <v>3.9210560847676823E-2</v>
      </c>
      <c r="D20" s="776">
        <f t="shared" si="2"/>
        <v>7.6883653613364245E-2</v>
      </c>
      <c r="E20" s="776">
        <f t="shared" si="2"/>
        <v>0.11307956328284252</v>
      </c>
      <c r="F20" s="776">
        <f t="shared" si="2"/>
        <v>0.14785621103378865</v>
      </c>
      <c r="G20" s="776">
        <f t="shared" si="2"/>
        <v>0.18126924692201818</v>
      </c>
      <c r="H20" s="776">
        <f t="shared" si="2"/>
        <v>0.21337213893344664</v>
      </c>
      <c r="I20" s="776">
        <f t="shared" si="2"/>
        <v>0.24421625854427453</v>
      </c>
      <c r="J20" s="776">
        <f t="shared" si="2"/>
        <v>0.27385096292630917</v>
      </c>
      <c r="K20" s="776">
        <f t="shared" si="2"/>
        <v>0.30232367392896886</v>
      </c>
      <c r="L20" s="776">
        <f t="shared" si="2"/>
        <v>0.32967995396436067</v>
      </c>
      <c r="M20" s="776">
        <f t="shared" si="2"/>
        <v>0.35596357891685859</v>
      </c>
      <c r="N20" s="776">
        <f t="shared" si="2"/>
        <v>0.38121660819385916</v>
      </c>
      <c r="O20" s="776">
        <f t="shared" si="2"/>
        <v>0.40547945202980573</v>
      </c>
      <c r="P20" s="776">
        <f t="shared" si="2"/>
        <v>0.42879093615118513</v>
      </c>
      <c r="Q20" s="776">
        <f t="shared" si="2"/>
        <v>0.4511883639059735</v>
      </c>
    </row>
    <row r="21" spans="1:18" s="770" customFormat="1">
      <c r="A21" s="772" t="s">
        <v>841</v>
      </c>
      <c r="B21" s="777">
        <f>0</f>
        <v>0</v>
      </c>
      <c r="C21" s="773">
        <f t="shared" ref="C21:Q21" si="3">C$20*$F$12</f>
        <v>235.26336508606093</v>
      </c>
      <c r="D21" s="773">
        <f t="shared" si="3"/>
        <v>461.30192168018544</v>
      </c>
      <c r="E21" s="773">
        <f t="shared" si="3"/>
        <v>678.47737969705508</v>
      </c>
      <c r="F21" s="773">
        <f t="shared" si="3"/>
        <v>887.13726620273189</v>
      </c>
      <c r="G21" s="773">
        <f t="shared" si="3"/>
        <v>1087.615481532109</v>
      </c>
      <c r="H21" s="773">
        <f t="shared" si="3"/>
        <v>1280.2328336006799</v>
      </c>
      <c r="I21" s="773">
        <f t="shared" si="3"/>
        <v>1465.2975512656471</v>
      </c>
      <c r="J21" s="773">
        <f t="shared" si="3"/>
        <v>1643.1057775578549</v>
      </c>
      <c r="K21" s="773">
        <f t="shared" si="3"/>
        <v>1813.9420435738132</v>
      </c>
      <c r="L21" s="773">
        <f t="shared" si="3"/>
        <v>1978.0797237861641</v>
      </c>
      <c r="M21" s="773">
        <f t="shared" si="3"/>
        <v>2135.7814735011516</v>
      </c>
      <c r="N21" s="773">
        <f t="shared" si="3"/>
        <v>2287.2996491631548</v>
      </c>
      <c r="O21" s="773">
        <f t="shared" si="3"/>
        <v>2432.8767121788342</v>
      </c>
      <c r="P21" s="773">
        <f t="shared" si="3"/>
        <v>2572.7456169071106</v>
      </c>
      <c r="Q21" s="773">
        <f t="shared" si="3"/>
        <v>2707.130183435841</v>
      </c>
    </row>
    <row r="22" spans="1:18" s="770" customFormat="1">
      <c r="A22" s="772" t="s">
        <v>856</v>
      </c>
      <c r="B22" s="778">
        <f t="shared" ref="B22:Q22" si="4">1/(1+$F$10)^B$18</f>
        <v>1</v>
      </c>
      <c r="C22" s="779">
        <f t="shared" si="4"/>
        <v>0.94339622641509424</v>
      </c>
      <c r="D22" s="779">
        <f t="shared" si="4"/>
        <v>0.88999644001423983</v>
      </c>
      <c r="E22" s="779">
        <f t="shared" si="4"/>
        <v>0.8396192830323016</v>
      </c>
      <c r="F22" s="779">
        <f t="shared" si="4"/>
        <v>0.79209366323802044</v>
      </c>
      <c r="G22" s="779">
        <f t="shared" si="4"/>
        <v>0.74725817286605689</v>
      </c>
      <c r="H22" s="779">
        <f t="shared" si="4"/>
        <v>0.70496054043967626</v>
      </c>
      <c r="I22" s="779">
        <f t="shared" si="4"/>
        <v>0.66505711362233599</v>
      </c>
      <c r="J22" s="779">
        <f t="shared" si="4"/>
        <v>0.62741237134182648</v>
      </c>
      <c r="K22" s="779">
        <f t="shared" si="4"/>
        <v>0.59189846353002495</v>
      </c>
      <c r="L22" s="779">
        <f t="shared" si="4"/>
        <v>0.55839477691511785</v>
      </c>
      <c r="M22" s="779">
        <f t="shared" si="4"/>
        <v>0.52678752539162055</v>
      </c>
      <c r="N22" s="779">
        <f t="shared" si="4"/>
        <v>0.4969693635770005</v>
      </c>
      <c r="O22" s="779">
        <f t="shared" si="4"/>
        <v>0.46883902224245327</v>
      </c>
      <c r="P22" s="779">
        <f t="shared" si="4"/>
        <v>0.44230096437967292</v>
      </c>
      <c r="Q22" s="779">
        <f t="shared" si="4"/>
        <v>0.41726506073554037</v>
      </c>
    </row>
    <row r="23" spans="1:18" s="770" customFormat="1" ht="34.5">
      <c r="A23" s="772" t="s">
        <v>1238</v>
      </c>
      <c r="B23" s="777">
        <f>0</f>
        <v>0</v>
      </c>
      <c r="C23" s="780">
        <f>C$21*C$22</f>
        <v>221.94657083590653</v>
      </c>
      <c r="D23" s="780">
        <f t="shared" ref="D23:Q23" si="5">D$21*D$22</f>
        <v>410.5570680670927</v>
      </c>
      <c r="E23" s="780">
        <f t="shared" si="5"/>
        <v>569.6626910948761</v>
      </c>
      <c r="F23" s="780">
        <f t="shared" si="5"/>
        <v>702.69580698148479</v>
      </c>
      <c r="G23" s="780">
        <f t="shared" si="5"/>
        <v>812.72955751052041</v>
      </c>
      <c r="H23" s="780">
        <f t="shared" si="5"/>
        <v>902.51363026375338</v>
      </c>
      <c r="I23" s="780">
        <f t="shared" si="5"/>
        <v>974.50656004260816</v>
      </c>
      <c r="J23" s="780">
        <f t="shared" si="5"/>
        <v>1030.9048922630295</v>
      </c>
      <c r="K23" s="780">
        <f t="shared" si="5"/>
        <v>1073.6695085238537</v>
      </c>
      <c r="L23" s="780">
        <f t="shared" si="5"/>
        <v>1104.5493860838931</v>
      </c>
      <c r="M23" s="780">
        <f t="shared" si="5"/>
        <v>1125.1030372029406</v>
      </c>
      <c r="N23" s="780">
        <f t="shared" si="5"/>
        <v>1136.7178509545095</v>
      </c>
      <c r="O23" s="780">
        <f t="shared" si="5"/>
        <v>1140.6275389743589</v>
      </c>
      <c r="P23" s="780">
        <f t="shared" si="5"/>
        <v>1137.9278674615916</v>
      </c>
      <c r="Q23" s="780">
        <f t="shared" si="5"/>
        <v>1129.5908404103707</v>
      </c>
      <c r="R23" s="781">
        <f>SUM(C23:Q23)</f>
        <v>13473.702806670792</v>
      </c>
    </row>
    <row r="24" spans="1:18" s="770" customFormat="1" ht="34.5">
      <c r="A24" s="772" t="s">
        <v>1239</v>
      </c>
      <c r="B24" s="777">
        <f>0</f>
        <v>0</v>
      </c>
      <c r="C24" s="780">
        <f t="shared" ref="C24:Q24" si="6">$F$13*C$22</f>
        <v>1886.7924528301885</v>
      </c>
      <c r="D24" s="780">
        <f t="shared" si="6"/>
        <v>1779.9928800284797</v>
      </c>
      <c r="E24" s="780">
        <f t="shared" si="6"/>
        <v>1679.2385660646032</v>
      </c>
      <c r="F24" s="780">
        <f t="shared" si="6"/>
        <v>1584.1873264760409</v>
      </c>
      <c r="G24" s="780">
        <f t="shared" si="6"/>
        <v>1494.5163457321137</v>
      </c>
      <c r="H24" s="780">
        <f t="shared" si="6"/>
        <v>1409.9210808793525</v>
      </c>
      <c r="I24" s="780">
        <f t="shared" si="6"/>
        <v>1330.1142272446721</v>
      </c>
      <c r="J24" s="780">
        <f t="shared" si="6"/>
        <v>1254.8247426836529</v>
      </c>
      <c r="K24" s="780">
        <f t="shared" si="6"/>
        <v>1183.7969270600499</v>
      </c>
      <c r="L24" s="780">
        <f t="shared" si="6"/>
        <v>1116.7895538302357</v>
      </c>
      <c r="M24" s="780">
        <f t="shared" si="6"/>
        <v>1053.5750507832411</v>
      </c>
      <c r="N24" s="780">
        <f t="shared" si="6"/>
        <v>993.93872715400096</v>
      </c>
      <c r="O24" s="780">
        <f t="shared" si="6"/>
        <v>937.67804448490654</v>
      </c>
      <c r="P24" s="780">
        <f t="shared" si="6"/>
        <v>884.60192875934581</v>
      </c>
      <c r="Q24" s="780">
        <f t="shared" si="6"/>
        <v>834.53012147108075</v>
      </c>
      <c r="R24" s="781">
        <f>SUM(C24:Q24)</f>
        <v>19424.497975481965</v>
      </c>
    </row>
    <row r="25" spans="1:18" s="770" customFormat="1">
      <c r="A25" s="772" t="s">
        <v>860</v>
      </c>
      <c r="B25" s="782">
        <f>SUM(B19)*B22</f>
        <v>-180000</v>
      </c>
      <c r="C25" s="783">
        <f>SUM(C23:C24)</f>
        <v>2108.7390236660949</v>
      </c>
      <c r="D25" s="783">
        <f t="shared" ref="D25:Q25" si="7">SUM(D23:D24)</f>
        <v>2190.5499480955723</v>
      </c>
      <c r="E25" s="783">
        <f t="shared" si="7"/>
        <v>2248.9012571594794</v>
      </c>
      <c r="F25" s="783">
        <f t="shared" si="7"/>
        <v>2286.8831334575257</v>
      </c>
      <c r="G25" s="783">
        <f t="shared" si="7"/>
        <v>2307.2459032426341</v>
      </c>
      <c r="H25" s="783">
        <f t="shared" si="7"/>
        <v>2312.4347111431061</v>
      </c>
      <c r="I25" s="783">
        <f t="shared" si="7"/>
        <v>2304.6207872872801</v>
      </c>
      <c r="J25" s="783">
        <f t="shared" si="7"/>
        <v>2285.7296349466824</v>
      </c>
      <c r="K25" s="783">
        <f t="shared" si="7"/>
        <v>2257.4664355839036</v>
      </c>
      <c r="L25" s="783">
        <f t="shared" si="7"/>
        <v>2221.3389399141288</v>
      </c>
      <c r="M25" s="783">
        <f t="shared" si="7"/>
        <v>2178.6780879861817</v>
      </c>
      <c r="N25" s="783">
        <f t="shared" si="7"/>
        <v>2130.6565781085105</v>
      </c>
      <c r="O25" s="783">
        <f t="shared" si="7"/>
        <v>2078.3055834592656</v>
      </c>
      <c r="P25" s="783">
        <f t="shared" si="7"/>
        <v>2022.5297962209374</v>
      </c>
      <c r="Q25" s="783">
        <f t="shared" si="7"/>
        <v>1964.1209618814514</v>
      </c>
    </row>
    <row r="26" spans="1:18">
      <c r="A26" s="753" t="s">
        <v>803</v>
      </c>
      <c r="B26" s="784">
        <f>SUM(B25:Q25)</f>
        <v>-147101.7992178472</v>
      </c>
      <c r="C26" s="785"/>
      <c r="D26" s="786">
        <f>B27-'Medical Device LCC'!B26</f>
        <v>-29945.646617536113</v>
      </c>
      <c r="E26" s="785"/>
      <c r="F26" s="785"/>
      <c r="G26" s="785"/>
      <c r="H26" s="785"/>
      <c r="I26" s="785"/>
      <c r="J26" s="785"/>
      <c r="K26" s="785"/>
      <c r="L26" s="785"/>
      <c r="M26" s="785"/>
      <c r="N26" s="785"/>
      <c r="O26" s="785"/>
      <c r="P26" s="785"/>
      <c r="Q26" s="785"/>
    </row>
    <row r="27" spans="1:18" ht="18.75">
      <c r="A27" s="753" t="s">
        <v>1240</v>
      </c>
      <c r="B27" s="787">
        <f>SUM(C25:Q25)-(B25)</f>
        <v>212898.20078215277</v>
      </c>
    </row>
    <row r="28" spans="1:18">
      <c r="B28" s="767" t="s">
        <v>862</v>
      </c>
      <c r="C28" s="768"/>
      <c r="D28" s="768"/>
      <c r="E28" s="768"/>
      <c r="F28" s="768"/>
      <c r="G28" s="768"/>
      <c r="H28" s="768"/>
      <c r="I28" s="768"/>
      <c r="J28" s="768"/>
      <c r="K28" s="768"/>
      <c r="L28" s="768"/>
      <c r="M28" s="768"/>
      <c r="N28" s="768"/>
      <c r="O28" s="768"/>
      <c r="P28" s="768"/>
      <c r="Q28" s="769"/>
    </row>
    <row r="29" spans="1:18">
      <c r="A29" s="770"/>
      <c r="B29" s="771">
        <v>0</v>
      </c>
      <c r="C29" s="771">
        <v>1</v>
      </c>
      <c r="D29" s="771">
        <v>2</v>
      </c>
      <c r="E29" s="771">
        <v>3</v>
      </c>
      <c r="F29" s="771">
        <f>E29+1</f>
        <v>4</v>
      </c>
      <c r="G29" s="771">
        <f t="shared" ref="G29:P29" si="8">F29+1</f>
        <v>5</v>
      </c>
      <c r="H29" s="771">
        <f t="shared" si="8"/>
        <v>6</v>
      </c>
      <c r="I29" s="771">
        <f t="shared" si="8"/>
        <v>7</v>
      </c>
      <c r="J29" s="771">
        <f t="shared" si="8"/>
        <v>8</v>
      </c>
      <c r="K29" s="771">
        <f t="shared" si="8"/>
        <v>9</v>
      </c>
      <c r="L29" s="771">
        <f t="shared" si="8"/>
        <v>10</v>
      </c>
      <c r="M29" s="771">
        <f t="shared" si="8"/>
        <v>11</v>
      </c>
      <c r="N29" s="771">
        <f t="shared" si="8"/>
        <v>12</v>
      </c>
      <c r="O29" s="771">
        <f t="shared" si="8"/>
        <v>13</v>
      </c>
      <c r="P29" s="771">
        <f t="shared" si="8"/>
        <v>14</v>
      </c>
      <c r="Q29" s="771">
        <f>P29+1</f>
        <v>15</v>
      </c>
    </row>
    <row r="30" spans="1:18">
      <c r="A30" s="772" t="s">
        <v>848</v>
      </c>
      <c r="B30" s="773">
        <f>-(G5)</f>
        <v>-160000</v>
      </c>
      <c r="C30" s="774"/>
      <c r="D30" s="774"/>
      <c r="E30" s="774"/>
      <c r="F30" s="774"/>
      <c r="G30" s="774"/>
      <c r="H30" s="774"/>
      <c r="I30" s="774"/>
      <c r="J30" s="774"/>
      <c r="K30" s="774"/>
      <c r="L30" s="774"/>
      <c r="M30" s="774"/>
      <c r="N30" s="774"/>
      <c r="O30" s="774"/>
      <c r="P30" s="774"/>
      <c r="Q30" s="774"/>
    </row>
    <row r="31" spans="1:18">
      <c r="A31" s="772" t="s">
        <v>840</v>
      </c>
      <c r="B31" s="775">
        <f>0</f>
        <v>0</v>
      </c>
      <c r="C31" s="776">
        <f t="shared" ref="C31:Q31" si="9">1-1/EXP($G$7*C$18*8760)</f>
        <v>2.9554466451491845E-2</v>
      </c>
      <c r="D31" s="776">
        <f t="shared" si="9"/>
        <v>5.823546641575128E-2</v>
      </c>
      <c r="E31" s="776">
        <f t="shared" si="9"/>
        <v>8.6068814728771814E-2</v>
      </c>
      <c r="F31" s="776">
        <f t="shared" si="9"/>
        <v>0.11307956328284252</v>
      </c>
      <c r="G31" s="776">
        <f t="shared" si="9"/>
        <v>0.13929202357494219</v>
      </c>
      <c r="H31" s="776">
        <f t="shared" si="9"/>
        <v>0.164729788588728</v>
      </c>
      <c r="I31" s="776">
        <f t="shared" si="9"/>
        <v>0.18941575402981281</v>
      </c>
      <c r="J31" s="776">
        <f t="shared" si="9"/>
        <v>0.21337213893344664</v>
      </c>
      <c r="K31" s="776">
        <f t="shared" si="9"/>
        <v>0.23662050566314674</v>
      </c>
      <c r="L31" s="776">
        <f t="shared" si="9"/>
        <v>0.25918177931828212</v>
      </c>
      <c r="M31" s="776">
        <f t="shared" si="9"/>
        <v>0.28107626656807383</v>
      </c>
      <c r="N31" s="776">
        <f t="shared" si="9"/>
        <v>0.30232367392896886</v>
      </c>
      <c r="O31" s="776">
        <f t="shared" si="9"/>
        <v>0.32294312550183524</v>
      </c>
      <c r="P31" s="776">
        <f t="shared" si="9"/>
        <v>0.34295318018494314</v>
      </c>
      <c r="Q31" s="776">
        <f t="shared" si="9"/>
        <v>0.36237184837822667</v>
      </c>
    </row>
    <row r="32" spans="1:18">
      <c r="A32" s="772" t="s">
        <v>841</v>
      </c>
      <c r="B32" s="773">
        <f>0</f>
        <v>0</v>
      </c>
      <c r="C32" s="773">
        <f t="shared" ref="C32:Q32" si="10">C$31*$G$12</f>
        <v>147.77233225745923</v>
      </c>
      <c r="D32" s="773">
        <f t="shared" si="10"/>
        <v>291.17733207875642</v>
      </c>
      <c r="E32" s="773">
        <f t="shared" si="10"/>
        <v>430.34407364385908</v>
      </c>
      <c r="F32" s="773">
        <f t="shared" si="10"/>
        <v>565.39781641421257</v>
      </c>
      <c r="G32" s="773">
        <f t="shared" si="10"/>
        <v>696.46011787471093</v>
      </c>
      <c r="H32" s="773">
        <f t="shared" si="10"/>
        <v>823.64894294364001</v>
      </c>
      <c r="I32" s="773">
        <f t="shared" si="10"/>
        <v>947.0787701490641</v>
      </c>
      <c r="J32" s="773">
        <f t="shared" si="10"/>
        <v>1066.8606946672332</v>
      </c>
      <c r="K32" s="773">
        <f t="shared" si="10"/>
        <v>1183.1025283157337</v>
      </c>
      <c r="L32" s="773">
        <f t="shared" si="10"/>
        <v>1295.9088965914107</v>
      </c>
      <c r="M32" s="773">
        <f t="shared" si="10"/>
        <v>1405.3813328403692</v>
      </c>
      <c r="N32" s="773">
        <f t="shared" si="10"/>
        <v>1511.6183696448443</v>
      </c>
      <c r="O32" s="773">
        <f t="shared" si="10"/>
        <v>1614.7156275091761</v>
      </c>
      <c r="P32" s="773">
        <f t="shared" si="10"/>
        <v>1714.7659009247157</v>
      </c>
      <c r="Q32" s="773">
        <f t="shared" si="10"/>
        <v>1811.8592418911333</v>
      </c>
    </row>
    <row r="33" spans="1:18">
      <c r="A33" s="772" t="s">
        <v>856</v>
      </c>
      <c r="B33" s="778">
        <f t="shared" ref="B33:Q33" si="11">1/(1+$F$10)^B$18</f>
        <v>1</v>
      </c>
      <c r="C33" s="779">
        <f t="shared" si="11"/>
        <v>0.94339622641509424</v>
      </c>
      <c r="D33" s="779">
        <f t="shared" si="11"/>
        <v>0.88999644001423983</v>
      </c>
      <c r="E33" s="779">
        <f t="shared" si="11"/>
        <v>0.8396192830323016</v>
      </c>
      <c r="F33" s="779">
        <f t="shared" si="11"/>
        <v>0.79209366323802044</v>
      </c>
      <c r="G33" s="779">
        <f t="shared" si="11"/>
        <v>0.74725817286605689</v>
      </c>
      <c r="H33" s="779">
        <f t="shared" si="11"/>
        <v>0.70496054043967626</v>
      </c>
      <c r="I33" s="779">
        <f t="shared" si="11"/>
        <v>0.66505711362233599</v>
      </c>
      <c r="J33" s="779">
        <f t="shared" si="11"/>
        <v>0.62741237134182648</v>
      </c>
      <c r="K33" s="779">
        <f t="shared" si="11"/>
        <v>0.59189846353002495</v>
      </c>
      <c r="L33" s="779">
        <f t="shared" si="11"/>
        <v>0.55839477691511785</v>
      </c>
      <c r="M33" s="779">
        <f t="shared" si="11"/>
        <v>0.52678752539162055</v>
      </c>
      <c r="N33" s="779">
        <f t="shared" si="11"/>
        <v>0.4969693635770005</v>
      </c>
      <c r="O33" s="779">
        <f t="shared" si="11"/>
        <v>0.46883902224245327</v>
      </c>
      <c r="P33" s="779">
        <f t="shared" si="11"/>
        <v>0.44230096437967292</v>
      </c>
      <c r="Q33" s="779">
        <f t="shared" si="11"/>
        <v>0.41726506073554037</v>
      </c>
    </row>
    <row r="34" spans="1:18" ht="34.5">
      <c r="A34" s="772" t="s">
        <v>1238</v>
      </c>
      <c r="B34" s="777">
        <f>0</f>
        <v>0</v>
      </c>
      <c r="C34" s="780">
        <f>C$32*C$33</f>
        <v>139.40786062024455</v>
      </c>
      <c r="D34" s="780">
        <f t="shared" ref="D34:Q34" si="12">D$32*D$33</f>
        <v>259.14678896293731</v>
      </c>
      <c r="E34" s="780">
        <f t="shared" si="12"/>
        <v>361.32518257005694</v>
      </c>
      <c r="F34" s="780">
        <f t="shared" si="12"/>
        <v>447.8480275903114</v>
      </c>
      <c r="G34" s="780">
        <f t="shared" si="12"/>
        <v>520.43551515713511</v>
      </c>
      <c r="H34" s="780">
        <f t="shared" si="12"/>
        <v>580.64000395011658</v>
      </c>
      <c r="I34" s="780">
        <f t="shared" si="12"/>
        <v>629.86147324832837</v>
      </c>
      <c r="J34" s="780">
        <f t="shared" si="12"/>
        <v>669.36159833255715</v>
      </c>
      <c r="K34" s="780">
        <f t="shared" si="12"/>
        <v>700.27656870857061</v>
      </c>
      <c r="L34" s="780">
        <f t="shared" si="12"/>
        <v>723.62875921447733</v>
      </c>
      <c r="M34" s="780">
        <f t="shared" si="12"/>
        <v>740.33735455855549</v>
      </c>
      <c r="N34" s="780">
        <f t="shared" si="12"/>
        <v>751.22801913370131</v>
      </c>
      <c r="O34" s="780">
        <f t="shared" si="12"/>
        <v>757.04169600101147</v>
      </c>
      <c r="P34" s="780">
        <f t="shared" si="12"/>
        <v>758.44261166438037</v>
      </c>
      <c r="Q34" s="780">
        <f t="shared" si="12"/>
        <v>756.0255566119539</v>
      </c>
      <c r="R34" s="781">
        <f>SUM(C34:Q34)</f>
        <v>8795.0070163243381</v>
      </c>
    </row>
    <row r="35" spans="1:18" ht="34.5">
      <c r="A35" s="772" t="s">
        <v>1239</v>
      </c>
      <c r="B35" s="777">
        <f>0</f>
        <v>0</v>
      </c>
      <c r="C35" s="780">
        <f t="shared" ref="C35:Q35" si="13">$G$13*C$22</f>
        <v>4716.9811320754716</v>
      </c>
      <c r="D35" s="780">
        <f t="shared" si="13"/>
        <v>4449.9822000711993</v>
      </c>
      <c r="E35" s="780">
        <f t="shared" si="13"/>
        <v>4198.096415161508</v>
      </c>
      <c r="F35" s="780">
        <f t="shared" si="13"/>
        <v>3960.4683161901021</v>
      </c>
      <c r="G35" s="780">
        <f t="shared" si="13"/>
        <v>3736.2908643302844</v>
      </c>
      <c r="H35" s="780">
        <f t="shared" si="13"/>
        <v>3524.8027021983812</v>
      </c>
      <c r="I35" s="780">
        <f t="shared" si="13"/>
        <v>3325.2855681116798</v>
      </c>
      <c r="J35" s="780">
        <f t="shared" si="13"/>
        <v>3137.0618567091324</v>
      </c>
      <c r="K35" s="780">
        <f t="shared" si="13"/>
        <v>2959.4923176501247</v>
      </c>
      <c r="L35" s="780">
        <f t="shared" si="13"/>
        <v>2791.9738845755892</v>
      </c>
      <c r="M35" s="780">
        <f t="shared" si="13"/>
        <v>2633.9376269581026</v>
      </c>
      <c r="N35" s="780">
        <f t="shared" si="13"/>
        <v>2484.8468178850026</v>
      </c>
      <c r="O35" s="780">
        <f t="shared" si="13"/>
        <v>2344.1951112122665</v>
      </c>
      <c r="P35" s="780">
        <f t="shared" si="13"/>
        <v>2211.5048218983648</v>
      </c>
      <c r="Q35" s="780">
        <f t="shared" si="13"/>
        <v>2086.3253036777019</v>
      </c>
      <c r="R35" s="781">
        <f>SUM(C35:Q35)</f>
        <v>48561.244938704906</v>
      </c>
    </row>
    <row r="36" spans="1:18">
      <c r="A36" s="772" t="s">
        <v>860</v>
      </c>
      <c r="B36" s="782">
        <f>SUM(B30)*B33</f>
        <v>-160000</v>
      </c>
      <c r="C36" s="783">
        <f>SUM(C34:C35)</f>
        <v>4856.3889926957163</v>
      </c>
      <c r="D36" s="783">
        <f t="shared" ref="D36:Q36" si="14">SUM(D34:D35)</f>
        <v>4709.1289890341368</v>
      </c>
      <c r="E36" s="783">
        <f t="shared" si="14"/>
        <v>4559.4215977315653</v>
      </c>
      <c r="F36" s="783">
        <f t="shared" si="14"/>
        <v>4408.3163437804133</v>
      </c>
      <c r="G36" s="783">
        <f t="shared" si="14"/>
        <v>4256.7263794874198</v>
      </c>
      <c r="H36" s="783">
        <f t="shared" si="14"/>
        <v>4105.4427061484976</v>
      </c>
      <c r="I36" s="783">
        <f t="shared" si="14"/>
        <v>3955.1470413600082</v>
      </c>
      <c r="J36" s="783">
        <f t="shared" si="14"/>
        <v>3806.4234550416895</v>
      </c>
      <c r="K36" s="783">
        <f t="shared" si="14"/>
        <v>3659.7688863586955</v>
      </c>
      <c r="L36" s="783">
        <f t="shared" si="14"/>
        <v>3515.6026437900664</v>
      </c>
      <c r="M36" s="783">
        <f t="shared" si="14"/>
        <v>3374.274981516658</v>
      </c>
      <c r="N36" s="783">
        <f t="shared" si="14"/>
        <v>3236.0748370187039</v>
      </c>
      <c r="O36" s="783">
        <f t="shared" si="14"/>
        <v>3101.2368072132781</v>
      </c>
      <c r="P36" s="783">
        <f t="shared" si="14"/>
        <v>2969.9474335627451</v>
      </c>
      <c r="Q36" s="783">
        <f t="shared" si="14"/>
        <v>2842.3508602896559</v>
      </c>
    </row>
    <row r="37" spans="1:18">
      <c r="A37" s="753" t="s">
        <v>803</v>
      </c>
      <c r="B37" s="784">
        <f>SUM(B36:Q36)</f>
        <v>-102643.74804497075</v>
      </c>
      <c r="C37" s="785"/>
      <c r="D37" s="786">
        <f>B38-'Medical Device LCC'!B36</f>
        <v>-35514.109656535322</v>
      </c>
      <c r="E37" s="785"/>
      <c r="F37" s="785"/>
      <c r="G37" s="785"/>
      <c r="H37" s="785"/>
      <c r="I37" s="785"/>
      <c r="J37" s="785"/>
      <c r="K37" s="785"/>
      <c r="L37" s="785"/>
      <c r="M37" s="785"/>
      <c r="N37" s="785"/>
      <c r="O37" s="785"/>
      <c r="P37" s="785"/>
      <c r="Q37" s="785"/>
    </row>
    <row r="38" spans="1:18" ht="18.75">
      <c r="A38" s="753" t="s">
        <v>1240</v>
      </c>
      <c r="B38" s="787">
        <f>SUM(C36:Q36)-(B36)</f>
        <v>217356.25195502926</v>
      </c>
    </row>
    <row r="39" spans="1:18">
      <c r="C39" s="784"/>
      <c r="D39" s="784"/>
    </row>
    <row r="40" spans="1:18">
      <c r="C40" s="787"/>
      <c r="D40" s="787"/>
    </row>
  </sheetData>
  <mergeCells count="2">
    <mergeCell ref="B17:Q17"/>
    <mergeCell ref="B28:Q28"/>
  </mergeCells>
  <pageMargins left="0.7" right="0.7" top="0.75" bottom="0.75" header="0.3" footer="0.3"/>
  <pageSetup orientation="portrait" r:id="rId1"/>
  <ignoredErrors>
    <ignoredError sqref="B22 B33" formula="1"/>
    <ignoredError sqref="B37:B38 D36" evalError="1"/>
  </ignoredErrors>
  <drawing r:id="rId2"/>
  <legacyDrawing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08C2D-5D94-42DD-8B67-41E4415F8FFF}">
  <sheetPr codeName="Sheet38">
    <tabColor rgb="FFC00000"/>
  </sheetPr>
  <dimension ref="B2:C19"/>
  <sheetViews>
    <sheetView topLeftCell="A17" zoomScale="85" zoomScaleNormal="85" workbookViewId="0">
      <selection activeCell="C19" sqref="C19"/>
    </sheetView>
  </sheetViews>
  <sheetFormatPr defaultRowHeight="15"/>
  <cols>
    <col min="2" max="2" width="19.140625" customWidth="1"/>
    <col min="3" max="3" width="16" customWidth="1"/>
  </cols>
  <sheetData>
    <row r="2" spans="2:3">
      <c r="B2" s="286" t="s">
        <v>850</v>
      </c>
      <c r="C2" s="286" t="s">
        <v>851</v>
      </c>
    </row>
    <row r="3" spans="2:3">
      <c r="B3" s="230">
        <f>0</f>
        <v>0</v>
      </c>
      <c r="C3" s="287">
        <f>-(100000)</f>
        <v>-100000</v>
      </c>
    </row>
    <row r="4" spans="2:3">
      <c r="B4" s="230">
        <f t="shared" ref="B4:B9" si="0">B3+1</f>
        <v>1</v>
      </c>
      <c r="C4" s="287">
        <f>15000</f>
        <v>15000</v>
      </c>
    </row>
    <row r="5" spans="2:3">
      <c r="B5" s="230">
        <f t="shared" si="0"/>
        <v>2</v>
      </c>
      <c r="C5" s="287">
        <f>20000</f>
        <v>20000</v>
      </c>
    </row>
    <row r="6" spans="2:3">
      <c r="B6" s="230">
        <f t="shared" si="0"/>
        <v>3</v>
      </c>
      <c r="C6" s="287">
        <f>25000</f>
        <v>25000</v>
      </c>
    </row>
    <row r="7" spans="2:3">
      <c r="B7" s="230">
        <f t="shared" si="0"/>
        <v>4</v>
      </c>
      <c r="C7" s="287">
        <f>30000</f>
        <v>30000</v>
      </c>
    </row>
    <row r="8" spans="2:3">
      <c r="B8" s="230">
        <f t="shared" si="0"/>
        <v>5</v>
      </c>
      <c r="C8" s="287">
        <f>35000</f>
        <v>35000</v>
      </c>
    </row>
    <row r="9" spans="2:3">
      <c r="B9" s="230">
        <f t="shared" si="0"/>
        <v>6</v>
      </c>
      <c r="C9" s="287">
        <f>40000</f>
        <v>40000</v>
      </c>
    </row>
    <row r="11" spans="2:3">
      <c r="B11" s="286" t="s">
        <v>852</v>
      </c>
      <c r="C11" s="286" t="s">
        <v>803</v>
      </c>
    </row>
    <row r="12" spans="2:3">
      <c r="B12" s="230">
        <f>0</f>
        <v>0</v>
      </c>
      <c r="C12" s="232">
        <f>NPV(B12,$C$4:$C$9)+$C$3</f>
        <v>65000</v>
      </c>
    </row>
    <row r="13" spans="2:3">
      <c r="B13" s="230">
        <f>0.03</f>
        <v>0.03</v>
      </c>
      <c r="C13" s="232">
        <f t="shared" ref="C13:C19" si="1">NPV(B13,$C$4:$C$9)+$C$3</f>
        <v>46638.855620883172</v>
      </c>
    </row>
    <row r="14" spans="2:3">
      <c r="B14" s="230">
        <f>0.05</f>
        <v>0.05</v>
      </c>
      <c r="C14" s="232">
        <f t="shared" si="1"/>
        <v>35975.349753779767</v>
      </c>
    </row>
    <row r="15" spans="2:3">
      <c r="B15" s="230">
        <f>0.09</f>
        <v>0.09</v>
      </c>
      <c r="C15" s="232">
        <f t="shared" si="1"/>
        <v>17750.702684332675</v>
      </c>
    </row>
    <row r="16" spans="2:3">
      <c r="B16" s="230">
        <f>0.12</f>
        <v>0.12</v>
      </c>
      <c r="C16" s="232">
        <f t="shared" si="1"/>
        <v>6321.9680386015389</v>
      </c>
    </row>
    <row r="17" spans="2:3">
      <c r="B17" s="230">
        <f>0.15</f>
        <v>0.15</v>
      </c>
      <c r="C17" s="232">
        <f t="shared" si="1"/>
        <v>-3548.855642701601</v>
      </c>
    </row>
    <row r="18" spans="2:3">
      <c r="B18" s="230">
        <f>0.18</f>
        <v>0.18</v>
      </c>
      <c r="C18" s="232">
        <f t="shared" si="1"/>
        <v>-12118.924791248326</v>
      </c>
    </row>
    <row r="19" spans="2:3">
      <c r="B19" s="230">
        <f>0.21</f>
        <v>0.21</v>
      </c>
      <c r="C19" s="232">
        <f t="shared" si="1"/>
        <v>-19596.719181738226</v>
      </c>
    </row>
  </sheetData>
  <pageMargins left="0.7" right="0.7" top="0.75" bottom="0.75" header="0.3" footer="0.3"/>
  <pageSetup orientation="portrait" r:id="rId1"/>
  <cellWatches>
    <cellWatch r="C19"/>
  </cellWatches>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1E531-40C5-437A-93D1-B68C042D8B14}">
  <sheetPr codeName="Sheet49">
    <tabColor rgb="FF00FF00"/>
  </sheetPr>
  <dimension ref="A2:H28"/>
  <sheetViews>
    <sheetView tabSelected="1" topLeftCell="A6" zoomScaleNormal="100" workbookViewId="0">
      <selection activeCell="C16" sqref="C16"/>
    </sheetView>
  </sheetViews>
  <sheetFormatPr defaultRowHeight="14.25"/>
  <cols>
    <col min="1" max="1" width="17.42578125" style="378" customWidth="1"/>
    <col min="2" max="2" width="46.28515625" style="378" customWidth="1"/>
    <col min="3" max="3" width="9.140625" style="378"/>
    <col min="4" max="4" width="9.42578125" style="378" bestFit="1" customWidth="1"/>
    <col min="5" max="5" width="9.140625" style="378" customWidth="1"/>
    <col min="6" max="6" width="9.5703125" style="378" bestFit="1" customWidth="1"/>
    <col min="7" max="7" width="9.140625" style="378"/>
    <col min="8" max="8" width="9.42578125" style="378" bestFit="1" customWidth="1"/>
    <col min="9" max="16384" width="9.140625" style="378"/>
  </cols>
  <sheetData>
    <row r="2" spans="1:8">
      <c r="B2" s="378" t="s">
        <v>920</v>
      </c>
    </row>
    <row r="3" spans="1:8">
      <c r="B3" s="378" t="s">
        <v>921</v>
      </c>
    </row>
    <row r="4" spans="1:8">
      <c r="B4" s="378" t="s">
        <v>922</v>
      </c>
    </row>
    <row r="5" spans="1:8" ht="15" thickBot="1"/>
    <row r="6" spans="1:8" ht="15">
      <c r="B6" s="684" t="s">
        <v>928</v>
      </c>
      <c r="C6" s="685"/>
    </row>
    <row r="7" spans="1:8">
      <c r="B7" s="379" t="s">
        <v>927</v>
      </c>
      <c r="C7" s="380">
        <f>20*8760</f>
        <v>175200</v>
      </c>
    </row>
    <row r="8" spans="1:8">
      <c r="B8" s="379" t="s">
        <v>929</v>
      </c>
      <c r="C8" s="381">
        <f>50000</f>
        <v>50000</v>
      </c>
    </row>
    <row r="9" spans="1:8">
      <c r="B9" s="379" t="s">
        <v>930</v>
      </c>
      <c r="C9" s="381">
        <f>5000</f>
        <v>5000</v>
      </c>
    </row>
    <row r="11" spans="1:8" ht="15" thickBot="1"/>
    <row r="12" spans="1:8" ht="15" customHeight="1" thickBot="1">
      <c r="C12" s="686" t="s">
        <v>940</v>
      </c>
      <c r="D12" s="687"/>
      <c r="E12" s="686" t="s">
        <v>941</v>
      </c>
      <c r="F12" s="687"/>
      <c r="G12" s="686" t="s">
        <v>943</v>
      </c>
      <c r="H12" s="687"/>
    </row>
    <row r="14" spans="1:8">
      <c r="A14" s="382"/>
      <c r="B14" s="383" t="s">
        <v>923</v>
      </c>
      <c r="D14" s="384">
        <f>C8</f>
        <v>50000</v>
      </c>
      <c r="F14" s="385">
        <f>75000</f>
        <v>75000</v>
      </c>
      <c r="H14" s="385">
        <f>150000</f>
        <v>150000</v>
      </c>
    </row>
    <row r="15" spans="1:8">
      <c r="A15" s="386"/>
      <c r="B15" s="387" t="s">
        <v>924</v>
      </c>
      <c r="C15" s="386">
        <f>0.0005</f>
        <v>5.0000000000000001E-4</v>
      </c>
      <c r="E15" s="386">
        <f>0.0001</f>
        <v>1E-4</v>
      </c>
      <c r="G15" s="386">
        <f>0.00001</f>
        <v>1.0000000000000001E-5</v>
      </c>
    </row>
    <row r="16" spans="1:8">
      <c r="B16" s="387" t="s">
        <v>925</v>
      </c>
      <c r="C16" s="388">
        <f>1/EXP(C15*8760)</f>
        <v>1.2525358621074387E-2</v>
      </c>
      <c r="E16" s="388">
        <f>1/EXP(E15*8760)</f>
        <v>0.41644536602038007</v>
      </c>
      <c r="G16" s="388">
        <f>1/EXP(G15*8760)</f>
        <v>0.91612725434465414</v>
      </c>
    </row>
    <row r="17" spans="2:8">
      <c r="B17" s="387" t="s">
        <v>926</v>
      </c>
      <c r="C17" s="378">
        <f>C15*C7</f>
        <v>87.600000000000009</v>
      </c>
      <c r="E17" s="378">
        <f>E15*C7</f>
        <v>17.52</v>
      </c>
      <c r="G17" s="378">
        <f>G15*C7</f>
        <v>1.7520000000000002</v>
      </c>
    </row>
    <row r="18" spans="2:8">
      <c r="B18" s="387" t="s">
        <v>931</v>
      </c>
      <c r="D18" s="394">
        <f>C9*C17</f>
        <v>438000.00000000006</v>
      </c>
      <c r="F18" s="389">
        <f>C9*E17</f>
        <v>87600</v>
      </c>
      <c r="H18" s="389">
        <f>G17*C9</f>
        <v>8760.0000000000018</v>
      </c>
    </row>
    <row r="19" spans="2:8">
      <c r="B19" s="387" t="s">
        <v>932</v>
      </c>
      <c r="C19" s="386" t="s">
        <v>933</v>
      </c>
      <c r="E19" s="386" t="s">
        <v>942</v>
      </c>
      <c r="G19" s="386" t="s">
        <v>942</v>
      </c>
    </row>
    <row r="20" spans="2:8">
      <c r="B20" s="387" t="s">
        <v>934</v>
      </c>
      <c r="C20" s="385">
        <f>10000</f>
        <v>10000</v>
      </c>
      <c r="E20" s="385">
        <f>20000</f>
        <v>20000</v>
      </c>
      <c r="G20" s="385">
        <f>45000</f>
        <v>45000</v>
      </c>
    </row>
    <row r="21" spans="2:8">
      <c r="B21" s="387" t="s">
        <v>935</v>
      </c>
      <c r="C21" s="386">
        <f>3</f>
        <v>3</v>
      </c>
      <c r="D21" s="390">
        <f>C21*C20</f>
        <v>30000</v>
      </c>
      <c r="E21" s="386">
        <f>1</f>
        <v>1</v>
      </c>
      <c r="F21" s="390">
        <f>E21*E20</f>
        <v>20000</v>
      </c>
      <c r="G21" s="386">
        <f>1</f>
        <v>1</v>
      </c>
      <c r="H21" s="390">
        <f>G21*G20</f>
        <v>45000</v>
      </c>
    </row>
    <row r="22" spans="2:8">
      <c r="B22" s="383" t="s">
        <v>1071</v>
      </c>
      <c r="C22" s="385">
        <f>1</f>
        <v>1</v>
      </c>
      <c r="E22" s="391">
        <f>0.9</f>
        <v>0.9</v>
      </c>
      <c r="G22" s="391">
        <f>0.9</f>
        <v>0.9</v>
      </c>
    </row>
    <row r="23" spans="2:8">
      <c r="B23" s="378" t="s">
        <v>1072</v>
      </c>
      <c r="D23" s="390">
        <f>C22*C7</f>
        <v>175200</v>
      </c>
      <c r="F23" s="390">
        <f>E22*C7</f>
        <v>157680</v>
      </c>
      <c r="H23" s="390">
        <f>G22*C7</f>
        <v>157680</v>
      </c>
    </row>
    <row r="24" spans="2:8">
      <c r="B24" s="378" t="s">
        <v>1073</v>
      </c>
      <c r="C24" s="385">
        <f>100</f>
        <v>100</v>
      </c>
      <c r="E24" s="385">
        <f>C24</f>
        <v>100</v>
      </c>
      <c r="G24" s="385">
        <f>E24</f>
        <v>100</v>
      </c>
    </row>
    <row r="25" spans="2:8">
      <c r="B25" s="378" t="s">
        <v>1074</v>
      </c>
      <c r="C25" s="395">
        <f>10</f>
        <v>10</v>
      </c>
      <c r="E25" s="386">
        <f>C25</f>
        <v>10</v>
      </c>
      <c r="G25" s="386">
        <f>E25</f>
        <v>10</v>
      </c>
    </row>
    <row r="26" spans="2:8">
      <c r="B26" s="378" t="s">
        <v>1075</v>
      </c>
      <c r="C26" s="395"/>
      <c r="D26" s="396">
        <f>$C$17*$C$25*$C24</f>
        <v>87600.000000000015</v>
      </c>
      <c r="F26" s="396">
        <f>$E$17*$E$25*$E24</f>
        <v>17520</v>
      </c>
      <c r="H26" s="396">
        <f>$G$17*$G$25*$G$24</f>
        <v>1752.0000000000002</v>
      </c>
    </row>
    <row r="27" spans="2:8">
      <c r="B27" s="378" t="s">
        <v>938</v>
      </c>
      <c r="D27" s="389">
        <f>5000</f>
        <v>5000</v>
      </c>
      <c r="F27" s="389">
        <f>5000</f>
        <v>5000</v>
      </c>
      <c r="H27" s="389">
        <f>5000</f>
        <v>5000</v>
      </c>
    </row>
    <row r="28" spans="2:8" ht="29.25" thickBot="1">
      <c r="B28" s="392" t="s">
        <v>939</v>
      </c>
      <c r="D28" s="393">
        <f>SUM(SystemA)</f>
        <v>785800</v>
      </c>
      <c r="F28" s="393">
        <f>SUM(SystemB)</f>
        <v>362800</v>
      </c>
      <c r="H28" s="393">
        <f>SUM(SystemC)</f>
        <v>368192</v>
      </c>
    </row>
  </sheetData>
  <mergeCells count="4">
    <mergeCell ref="B6:C6"/>
    <mergeCell ref="C12:D12"/>
    <mergeCell ref="E12:F12"/>
    <mergeCell ref="G12:H12"/>
  </mergeCells>
  <pageMargins left="0.7" right="0.7" top="0.75" bottom="0.75" header="0.3" footer="0.3"/>
  <pageSetup orientation="portrait" r:id="rId1"/>
  <headerFooter>
    <oddHeader>&amp;CLife Time Costs</oddHeader>
    <oddFooter>&amp;CLife Time Costs</oddFooter>
  </headerFooter>
  <ignoredErrors>
    <ignoredError sqref="F21:G21 E2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Check Box 1">
              <controlPr defaultSize="0" autoFill="0" autoLine="0" autoPict="0">
                <anchor moveWithCells="1">
                  <from>
                    <xdr:col>0</xdr:col>
                    <xdr:colOff>504825</xdr:colOff>
                    <xdr:row>11</xdr:row>
                    <xdr:rowOff>171450</xdr:rowOff>
                  </from>
                  <to>
                    <xdr:col>0</xdr:col>
                    <xdr:colOff>847725</xdr:colOff>
                    <xdr:row>13</xdr:row>
                    <xdr:rowOff>47625</xdr:rowOff>
                  </to>
                </anchor>
              </controlPr>
            </control>
          </mc:Choice>
        </mc:AlternateContent>
        <mc:AlternateContent xmlns:mc="http://schemas.openxmlformats.org/markup-compatibility/2006">
          <mc:Choice Requires="x14">
            <control shapeId="112642" r:id="rId5" name="Check Box 2">
              <controlPr defaultSize="0" autoFill="0" autoLine="0" autoPict="0">
                <anchor moveWithCells="1">
                  <from>
                    <xdr:col>0</xdr:col>
                    <xdr:colOff>581025</xdr:colOff>
                    <xdr:row>16</xdr:row>
                    <xdr:rowOff>161925</xdr:rowOff>
                  </from>
                  <to>
                    <xdr:col>0</xdr:col>
                    <xdr:colOff>923925</xdr:colOff>
                    <xdr:row>18</xdr:row>
                    <xdr:rowOff>38100</xdr:rowOff>
                  </to>
                </anchor>
              </controlPr>
            </control>
          </mc:Choice>
        </mc:AlternateContent>
        <mc:AlternateContent xmlns:mc="http://schemas.openxmlformats.org/markup-compatibility/2006">
          <mc:Choice Requires="x14">
            <control shapeId="112643" r:id="rId6" name="Check Box 3">
              <controlPr defaultSize="0" autoFill="0" autoLine="0" autoPict="0">
                <anchor moveWithCells="1">
                  <from>
                    <xdr:col>0</xdr:col>
                    <xdr:colOff>600075</xdr:colOff>
                    <xdr:row>19</xdr:row>
                    <xdr:rowOff>161925</xdr:rowOff>
                  </from>
                  <to>
                    <xdr:col>0</xdr:col>
                    <xdr:colOff>942975</xdr:colOff>
                    <xdr:row>21</xdr:row>
                    <xdr:rowOff>38100</xdr:rowOff>
                  </to>
                </anchor>
              </controlPr>
            </control>
          </mc:Choice>
        </mc:AlternateContent>
        <mc:AlternateContent xmlns:mc="http://schemas.openxmlformats.org/markup-compatibility/2006">
          <mc:Choice Requires="x14">
            <control shapeId="112644" r:id="rId7" name="Check Box 4">
              <controlPr defaultSize="0" autoFill="0" autoLine="0" autoPict="0">
                <anchor moveWithCells="1">
                  <from>
                    <xdr:col>0</xdr:col>
                    <xdr:colOff>619125</xdr:colOff>
                    <xdr:row>21</xdr:row>
                    <xdr:rowOff>161925</xdr:rowOff>
                  </from>
                  <to>
                    <xdr:col>0</xdr:col>
                    <xdr:colOff>962025</xdr:colOff>
                    <xdr:row>23</xdr:row>
                    <xdr:rowOff>38100</xdr:rowOff>
                  </to>
                </anchor>
              </controlPr>
            </control>
          </mc:Choice>
        </mc:AlternateContent>
        <mc:AlternateContent xmlns:mc="http://schemas.openxmlformats.org/markup-compatibility/2006">
          <mc:Choice Requires="x14">
            <control shapeId="112646" r:id="rId8" name="Check Box 6">
              <controlPr defaultSize="0" autoFill="0" autoLine="0" autoPict="0">
                <anchor moveWithCells="1">
                  <from>
                    <xdr:col>0</xdr:col>
                    <xdr:colOff>647700</xdr:colOff>
                    <xdr:row>27</xdr:row>
                    <xdr:rowOff>0</xdr:rowOff>
                  </from>
                  <to>
                    <xdr:col>0</xdr:col>
                    <xdr:colOff>990600</xdr:colOff>
                    <xdr:row>28</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D54AF-825C-4600-86B8-C90721FE27E3}">
  <sheetPr codeName="Sheet39">
    <tabColor rgb="FF00FF00"/>
  </sheetPr>
  <dimension ref="A2:H25"/>
  <sheetViews>
    <sheetView view="pageLayout" zoomScaleNormal="100" workbookViewId="0">
      <selection activeCell="C16" sqref="C16"/>
    </sheetView>
  </sheetViews>
  <sheetFormatPr defaultRowHeight="14.25"/>
  <cols>
    <col min="1" max="1" width="17.42578125" style="317" customWidth="1"/>
    <col min="2" max="2" width="46.28515625" style="317" customWidth="1"/>
    <col min="3" max="3" width="9.140625" style="317"/>
    <col min="4" max="4" width="9.42578125" style="317" bestFit="1" customWidth="1"/>
    <col min="5" max="6" width="9.140625" style="317" customWidth="1"/>
    <col min="7" max="7" width="9.140625" style="317"/>
    <col min="8" max="8" width="9.42578125" style="317" bestFit="1" customWidth="1"/>
    <col min="9" max="16384" width="9.140625" style="317"/>
  </cols>
  <sheetData>
    <row r="2" spans="1:8">
      <c r="B2" s="317" t="s">
        <v>920</v>
      </c>
    </row>
    <row r="3" spans="1:8">
      <c r="B3" s="317" t="s">
        <v>921</v>
      </c>
    </row>
    <row r="4" spans="1:8">
      <c r="B4" s="317" t="s">
        <v>922</v>
      </c>
    </row>
    <row r="5" spans="1:8" ht="15" thickBot="1"/>
    <row r="6" spans="1:8" ht="15">
      <c r="B6" s="688" t="s">
        <v>928</v>
      </c>
      <c r="C6" s="689"/>
    </row>
    <row r="7" spans="1:8">
      <c r="B7" s="324" t="s">
        <v>927</v>
      </c>
      <c r="C7" s="318">
        <f>20*8760</f>
        <v>175200</v>
      </c>
    </row>
    <row r="8" spans="1:8">
      <c r="B8" s="324" t="s">
        <v>929</v>
      </c>
      <c r="C8" s="325">
        <f>50000</f>
        <v>50000</v>
      </c>
    </row>
    <row r="9" spans="1:8">
      <c r="B9" s="324" t="s">
        <v>930</v>
      </c>
      <c r="C9" s="325">
        <f>5000</f>
        <v>5000</v>
      </c>
    </row>
    <row r="11" spans="1:8" ht="15" thickBot="1"/>
    <row r="12" spans="1:8" ht="15" thickBot="1">
      <c r="C12" s="690" t="s">
        <v>940</v>
      </c>
      <c r="D12" s="691"/>
      <c r="E12" s="690" t="s">
        <v>941</v>
      </c>
      <c r="F12" s="692"/>
      <c r="G12" s="690" t="s">
        <v>943</v>
      </c>
      <c r="H12" s="692"/>
    </row>
    <row r="13" spans="1:8">
      <c r="A13" s="319"/>
      <c r="B13" s="327" t="s">
        <v>923</v>
      </c>
      <c r="D13" s="329">
        <f>C8</f>
        <v>50000</v>
      </c>
      <c r="F13" s="321">
        <f>75000</f>
        <v>75000</v>
      </c>
      <c r="H13" s="321">
        <f>150000</f>
        <v>150000</v>
      </c>
    </row>
    <row r="14" spans="1:8">
      <c r="A14" s="322"/>
      <c r="B14" s="326" t="s">
        <v>924</v>
      </c>
      <c r="C14" s="322">
        <f>0.0005</f>
        <v>5.0000000000000001E-4</v>
      </c>
      <c r="E14" s="322">
        <f>0.0001</f>
        <v>1E-4</v>
      </c>
      <c r="G14" s="322">
        <f>0.00001</f>
        <v>1.0000000000000001E-5</v>
      </c>
    </row>
    <row r="15" spans="1:8">
      <c r="B15" s="326" t="s">
        <v>925</v>
      </c>
      <c r="C15" s="323">
        <f>1/EXP(C14*8760)</f>
        <v>1.2525358621074387E-2</v>
      </c>
      <c r="E15" s="323">
        <f>1/EXP(E14*8760)</f>
        <v>0.41644536602038007</v>
      </c>
      <c r="G15" s="323">
        <f>1/EXP(G14*8760)</f>
        <v>0.91612725434465414</v>
      </c>
    </row>
    <row r="16" spans="1:8">
      <c r="B16" s="326" t="s">
        <v>926</v>
      </c>
      <c r="C16" s="317">
        <f>C14*C7</f>
        <v>87.600000000000009</v>
      </c>
      <c r="E16" s="317">
        <f>E14*C7</f>
        <v>17.52</v>
      </c>
      <c r="G16" s="317">
        <f>G14*C7</f>
        <v>1.7520000000000002</v>
      </c>
    </row>
    <row r="17" spans="2:8">
      <c r="B17" s="326" t="s">
        <v>931</v>
      </c>
      <c r="D17" s="330">
        <f>C9*C16</f>
        <v>438000.00000000006</v>
      </c>
      <c r="F17" s="330">
        <f>C9*E16</f>
        <v>87600</v>
      </c>
      <c r="H17" s="330">
        <f>G16*C9</f>
        <v>8760.0000000000018</v>
      </c>
    </row>
    <row r="18" spans="2:8">
      <c r="B18" s="326" t="s">
        <v>932</v>
      </c>
      <c r="C18" s="322" t="s">
        <v>933</v>
      </c>
      <c r="E18" s="322" t="s">
        <v>942</v>
      </c>
      <c r="G18" s="322" t="s">
        <v>942</v>
      </c>
    </row>
    <row r="19" spans="2:8">
      <c r="B19" s="326" t="s">
        <v>934</v>
      </c>
      <c r="C19" s="321">
        <f>10000</f>
        <v>10000</v>
      </c>
      <c r="E19" s="321">
        <f>20000</f>
        <v>20000</v>
      </c>
      <c r="G19" s="321">
        <f>45000</f>
        <v>45000</v>
      </c>
    </row>
    <row r="20" spans="2:8">
      <c r="B20" s="326" t="s">
        <v>935</v>
      </c>
      <c r="C20" s="322">
        <f>3</f>
        <v>3</v>
      </c>
      <c r="D20" s="331">
        <f>C20*C19</f>
        <v>30000</v>
      </c>
      <c r="E20" s="322">
        <f>1</f>
        <v>1</v>
      </c>
      <c r="F20" s="331">
        <f>E20*E19</f>
        <v>20000</v>
      </c>
      <c r="G20" s="322">
        <f>1</f>
        <v>1</v>
      </c>
      <c r="H20" s="331">
        <f>G20*G19</f>
        <v>45000</v>
      </c>
    </row>
    <row r="21" spans="2:8">
      <c r="B21" s="327" t="s">
        <v>936</v>
      </c>
      <c r="C21" s="321">
        <f>1</f>
        <v>1</v>
      </c>
      <c r="E21" s="332">
        <f>0.9</f>
        <v>0.9</v>
      </c>
      <c r="G21" s="332">
        <f>0.9</f>
        <v>0.9</v>
      </c>
    </row>
    <row r="22" spans="2:8">
      <c r="B22" s="317" t="s">
        <v>937</v>
      </c>
      <c r="D22" s="331">
        <f>C21*C7</f>
        <v>175200</v>
      </c>
      <c r="F22" s="331">
        <f>E21*C7</f>
        <v>157680</v>
      </c>
      <c r="H22" s="331">
        <f>G21*C7</f>
        <v>157680</v>
      </c>
    </row>
    <row r="23" spans="2:8">
      <c r="B23" s="317" t="s">
        <v>938</v>
      </c>
      <c r="D23" s="330">
        <f>5000</f>
        <v>5000</v>
      </c>
      <c r="F23" s="330">
        <f>5000</f>
        <v>5000</v>
      </c>
      <c r="H23" s="330">
        <f>5000</f>
        <v>5000</v>
      </c>
    </row>
    <row r="25" spans="2:8" ht="29.25" thickBot="1">
      <c r="B25" s="320" t="s">
        <v>939</v>
      </c>
      <c r="D25" s="328">
        <f>SUM(SystemA)</f>
        <v>698200</v>
      </c>
      <c r="F25" s="328">
        <f>SUM(SystemB)</f>
        <v>345280</v>
      </c>
      <c r="H25" s="328">
        <f>SUM(SystemC)</f>
        <v>366440</v>
      </c>
    </row>
  </sheetData>
  <mergeCells count="4">
    <mergeCell ref="B6:C6"/>
    <mergeCell ref="C12:D12"/>
    <mergeCell ref="E12:F12"/>
    <mergeCell ref="G12:H12"/>
  </mergeCells>
  <pageMargins left="0.7" right="0.7" top="0.75" bottom="0.75" header="0.3" footer="0.3"/>
  <pageSetup orientation="portrait" r:id="rId1"/>
  <headerFooter>
    <oddHeader>&amp;CLife Time Costs</oddHeader>
    <oddFooter>&amp;CLife Time Costs</oddFooter>
  </headerFooter>
  <ignoredErrors>
    <ignoredError sqref="D20:G2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1">
              <controlPr defaultSize="0" autoFill="0" autoLine="0" autoPict="0">
                <anchor moveWithCells="1">
                  <from>
                    <xdr:col>0</xdr:col>
                    <xdr:colOff>504825</xdr:colOff>
                    <xdr:row>11</xdr:row>
                    <xdr:rowOff>171450</xdr:rowOff>
                  </from>
                  <to>
                    <xdr:col>0</xdr:col>
                    <xdr:colOff>847725</xdr:colOff>
                    <xdr:row>13</xdr:row>
                    <xdr:rowOff>19050</xdr:rowOff>
                  </to>
                </anchor>
              </controlPr>
            </control>
          </mc:Choice>
        </mc:AlternateContent>
        <mc:AlternateContent xmlns:mc="http://schemas.openxmlformats.org/markup-compatibility/2006">
          <mc:Choice Requires="x14">
            <control shapeId="83970" r:id="rId5" name="Check Box 2">
              <controlPr defaultSize="0" autoFill="0" autoLine="0" autoPict="0">
                <anchor moveWithCells="1">
                  <from>
                    <xdr:col>0</xdr:col>
                    <xdr:colOff>581025</xdr:colOff>
                    <xdr:row>15</xdr:row>
                    <xdr:rowOff>161925</xdr:rowOff>
                  </from>
                  <to>
                    <xdr:col>0</xdr:col>
                    <xdr:colOff>923925</xdr:colOff>
                    <xdr:row>17</xdr:row>
                    <xdr:rowOff>19050</xdr:rowOff>
                  </to>
                </anchor>
              </controlPr>
            </control>
          </mc:Choice>
        </mc:AlternateContent>
        <mc:AlternateContent xmlns:mc="http://schemas.openxmlformats.org/markup-compatibility/2006">
          <mc:Choice Requires="x14">
            <control shapeId="83971" r:id="rId6" name="Check Box 3">
              <controlPr defaultSize="0" autoFill="0" autoLine="0" autoPict="0">
                <anchor moveWithCells="1">
                  <from>
                    <xdr:col>0</xdr:col>
                    <xdr:colOff>600075</xdr:colOff>
                    <xdr:row>18</xdr:row>
                    <xdr:rowOff>161925</xdr:rowOff>
                  </from>
                  <to>
                    <xdr:col>0</xdr:col>
                    <xdr:colOff>942975</xdr:colOff>
                    <xdr:row>20</xdr:row>
                    <xdr:rowOff>19050</xdr:rowOff>
                  </to>
                </anchor>
              </controlPr>
            </control>
          </mc:Choice>
        </mc:AlternateContent>
        <mc:AlternateContent xmlns:mc="http://schemas.openxmlformats.org/markup-compatibility/2006">
          <mc:Choice Requires="x14">
            <control shapeId="83977" r:id="rId7" name="Check Box 9">
              <controlPr defaultSize="0" autoFill="0" autoLine="0" autoPict="0">
                <anchor moveWithCells="1">
                  <from>
                    <xdr:col>0</xdr:col>
                    <xdr:colOff>619125</xdr:colOff>
                    <xdr:row>20</xdr:row>
                    <xdr:rowOff>161925</xdr:rowOff>
                  </from>
                  <to>
                    <xdr:col>0</xdr:col>
                    <xdr:colOff>962025</xdr:colOff>
                    <xdr:row>22</xdr:row>
                    <xdr:rowOff>19050</xdr:rowOff>
                  </to>
                </anchor>
              </controlPr>
            </control>
          </mc:Choice>
        </mc:AlternateContent>
        <mc:AlternateContent xmlns:mc="http://schemas.openxmlformats.org/markup-compatibility/2006">
          <mc:Choice Requires="x14">
            <control shapeId="83978" r:id="rId8" name="Check Box 10">
              <controlPr defaultSize="0" autoFill="0" autoLine="0" autoPict="0">
                <anchor moveWithCells="1">
                  <from>
                    <xdr:col>0</xdr:col>
                    <xdr:colOff>619125</xdr:colOff>
                    <xdr:row>21</xdr:row>
                    <xdr:rowOff>180975</xdr:rowOff>
                  </from>
                  <to>
                    <xdr:col>0</xdr:col>
                    <xdr:colOff>962025</xdr:colOff>
                    <xdr:row>23</xdr:row>
                    <xdr:rowOff>38100</xdr:rowOff>
                  </to>
                </anchor>
              </controlPr>
            </control>
          </mc:Choice>
        </mc:AlternateContent>
        <mc:AlternateContent xmlns:mc="http://schemas.openxmlformats.org/markup-compatibility/2006">
          <mc:Choice Requires="x14">
            <control shapeId="83979" r:id="rId9" name="Check Box 11">
              <controlPr defaultSize="0" autoFill="0" autoLine="0" autoPict="0">
                <anchor moveWithCells="1">
                  <from>
                    <xdr:col>0</xdr:col>
                    <xdr:colOff>647700</xdr:colOff>
                    <xdr:row>23</xdr:row>
                    <xdr:rowOff>161925</xdr:rowOff>
                  </from>
                  <to>
                    <xdr:col>0</xdr:col>
                    <xdr:colOff>990600</xdr:colOff>
                    <xdr:row>24</xdr:row>
                    <xdr:rowOff>209550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E499A-4F5C-42F6-AAD5-F0C36D8BD318}">
  <sheetPr codeName="Sheet40">
    <tabColor rgb="FF0000E1"/>
  </sheetPr>
  <dimension ref="B2:J36"/>
  <sheetViews>
    <sheetView view="pageLayout" topLeftCell="A13" zoomScaleNormal="100" workbookViewId="0">
      <selection activeCell="F22" sqref="F22"/>
    </sheetView>
  </sheetViews>
  <sheetFormatPr defaultRowHeight="14.25"/>
  <cols>
    <col min="1" max="3" width="9.140625" style="24"/>
    <col min="4" max="4" width="16" style="24" customWidth="1"/>
    <col min="5" max="5" width="18.7109375" style="24" customWidth="1"/>
    <col min="6" max="6" width="11.5703125" style="24" bestFit="1" customWidth="1"/>
    <col min="7" max="9" width="9.140625" style="24"/>
    <col min="10" max="10" width="11.5703125" style="24" bestFit="1" customWidth="1"/>
    <col min="11" max="16384" width="9.140625" style="24"/>
  </cols>
  <sheetData>
    <row r="2" spans="2:10" ht="15">
      <c r="B2" s="248"/>
      <c r="C2" s="248"/>
      <c r="D2" s="248" t="s">
        <v>874</v>
      </c>
      <c r="E2" s="248"/>
    </row>
    <row r="3" spans="2:10" ht="30">
      <c r="B3" s="304" t="s">
        <v>871</v>
      </c>
      <c r="C3" s="304" t="s">
        <v>288</v>
      </c>
      <c r="D3" s="304" t="s">
        <v>872</v>
      </c>
      <c r="E3" s="304" t="s">
        <v>873</v>
      </c>
    </row>
    <row r="4" spans="2:10">
      <c r="B4" s="3">
        <v>1</v>
      </c>
      <c r="C4" s="3">
        <v>7.23</v>
      </c>
      <c r="D4" s="305">
        <v>2890000</v>
      </c>
      <c r="E4" s="305">
        <f>D4*_xlfn.GAMMA(1+1/C4)</f>
        <v>2707928.0836680704</v>
      </c>
    </row>
    <row r="5" spans="2:10">
      <c r="B5" s="3">
        <v>2</v>
      </c>
      <c r="C5" s="3">
        <v>2.31</v>
      </c>
      <c r="D5" s="305">
        <v>2620000</v>
      </c>
      <c r="E5" s="305">
        <f>D5*_xlfn.GAMMA(1+1/C5)</f>
        <v>2321215.531917945</v>
      </c>
    </row>
    <row r="7" spans="2:10" ht="15">
      <c r="D7" s="248" t="s">
        <v>874</v>
      </c>
    </row>
    <row r="8" spans="2:10" ht="15">
      <c r="D8" s="248" t="s">
        <v>875</v>
      </c>
    </row>
    <row r="9" spans="2:10" ht="30">
      <c r="B9" s="304" t="s">
        <v>871</v>
      </c>
      <c r="C9" s="304" t="s">
        <v>288</v>
      </c>
      <c r="D9" s="304" t="s">
        <v>872</v>
      </c>
      <c r="E9" s="304" t="s">
        <v>873</v>
      </c>
    </row>
    <row r="10" spans="2:10">
      <c r="B10" s="3">
        <v>1</v>
      </c>
      <c r="C10" s="3">
        <v>7.23</v>
      </c>
      <c r="D10" s="305">
        <f>1910000</f>
        <v>1910000</v>
      </c>
      <c r="E10" s="305">
        <f>D10*_xlfn.GAMMA(1+1/C10)</f>
        <v>1789668.7334968906</v>
      </c>
    </row>
    <row r="11" spans="2:10">
      <c r="B11" s="3">
        <v>2</v>
      </c>
      <c r="C11" s="3">
        <v>2.31</v>
      </c>
      <c r="D11" s="305">
        <f>716000</f>
        <v>716000</v>
      </c>
      <c r="E11" s="305">
        <f>D11*_xlfn.GAMMA(1+1/C11)</f>
        <v>634347.45070734678</v>
      </c>
    </row>
    <row r="12" spans="2:10" ht="15" thickBot="1"/>
    <row r="13" spans="2:10">
      <c r="B13" s="700" t="s">
        <v>876</v>
      </c>
      <c r="C13" s="701"/>
      <c r="D13" s="701"/>
      <c r="E13" s="701"/>
      <c r="F13" s="702"/>
      <c r="I13" s="306" t="s">
        <v>244</v>
      </c>
      <c r="J13" s="307">
        <v>612163.12339002418</v>
      </c>
    </row>
    <row r="14" spans="2:10" ht="15" thickBot="1">
      <c r="B14" s="703"/>
      <c r="C14" s="704"/>
      <c r="D14" s="704"/>
      <c r="E14" s="704"/>
      <c r="F14" s="705"/>
      <c r="I14" s="306" t="s">
        <v>843</v>
      </c>
      <c r="J14" s="307">
        <v>1545108.7065583016</v>
      </c>
    </row>
    <row r="15" spans="2:10" ht="15" thickBot="1">
      <c r="B15" s="706" t="s">
        <v>877</v>
      </c>
      <c r="C15" s="707"/>
      <c r="D15" s="707"/>
      <c r="E15" s="707"/>
      <c r="F15" s="708"/>
    </row>
    <row r="16" spans="2:10" ht="15" thickBot="1">
      <c r="B16" s="699" t="s">
        <v>878</v>
      </c>
      <c r="C16" s="699"/>
      <c r="D16" s="699"/>
      <c r="E16" s="308"/>
      <c r="F16" s="308">
        <v>100000</v>
      </c>
    </row>
    <row r="17" spans="2:6" ht="15" thickBot="1">
      <c r="B17" s="706" t="s">
        <v>879</v>
      </c>
      <c r="C17" s="707"/>
      <c r="D17" s="707"/>
      <c r="E17" s="707"/>
      <c r="F17" s="708"/>
    </row>
    <row r="18" spans="2:6" ht="15" thickBot="1">
      <c r="B18" s="309" t="s">
        <v>880</v>
      </c>
      <c r="C18" s="309"/>
      <c r="D18" s="309"/>
      <c r="E18" s="306">
        <v>0.40809778110935702</v>
      </c>
      <c r="F18" s="310"/>
    </row>
    <row r="19" spans="2:6" ht="15" thickBot="1">
      <c r="B19" s="694" t="s">
        <v>881</v>
      </c>
      <c r="C19" s="695"/>
      <c r="D19" s="695"/>
      <c r="E19" s="696"/>
      <c r="F19" s="709"/>
    </row>
    <row r="20" spans="2:6" ht="15" thickBot="1">
      <c r="B20" s="693" t="s">
        <v>882</v>
      </c>
      <c r="C20" s="693"/>
      <c r="D20" s="693"/>
      <c r="E20" s="311">
        <v>2040.4889055467852</v>
      </c>
      <c r="F20" s="310"/>
    </row>
    <row r="21" spans="2:6" ht="15" thickBot="1">
      <c r="B21" s="694" t="s">
        <v>883</v>
      </c>
      <c r="C21" s="695"/>
      <c r="D21" s="695"/>
      <c r="E21" s="696"/>
      <c r="F21" s="697"/>
    </row>
    <row r="22" spans="2:6">
      <c r="B22" s="693" t="s">
        <v>884</v>
      </c>
      <c r="C22" s="693"/>
      <c r="D22" s="693"/>
      <c r="E22" s="310"/>
      <c r="F22" s="312">
        <v>510122.22638669627</v>
      </c>
    </row>
    <row r="23" spans="2:6" ht="15" thickBot="1">
      <c r="B23" s="698" t="s">
        <v>885</v>
      </c>
      <c r="C23" s="698"/>
      <c r="D23" s="698"/>
      <c r="E23" s="310"/>
      <c r="F23" s="313">
        <v>612163.12339002418</v>
      </c>
    </row>
    <row r="24" spans="2:6" ht="15" thickTop="1"/>
    <row r="25" spans="2:6" ht="15" thickBot="1"/>
    <row r="26" spans="2:6">
      <c r="B26" s="700" t="s">
        <v>876</v>
      </c>
      <c r="C26" s="701"/>
      <c r="D26" s="701"/>
      <c r="E26" s="701"/>
      <c r="F26" s="702"/>
    </row>
    <row r="27" spans="2:6" ht="15" thickBot="1">
      <c r="B27" s="703"/>
      <c r="C27" s="704"/>
      <c r="D27" s="704"/>
      <c r="E27" s="704"/>
      <c r="F27" s="705"/>
    </row>
    <row r="28" spans="2:6" ht="15" thickBot="1">
      <c r="B28" s="706" t="s">
        <v>877</v>
      </c>
      <c r="C28" s="707"/>
      <c r="D28" s="707"/>
      <c r="E28" s="707"/>
      <c r="F28" s="708"/>
    </row>
    <row r="29" spans="2:6" ht="15" thickBot="1">
      <c r="B29" s="699" t="s">
        <v>878</v>
      </c>
      <c r="C29" s="699"/>
      <c r="D29" s="699"/>
      <c r="E29" s="308"/>
      <c r="F29" s="308">
        <v>100000</v>
      </c>
    </row>
    <row r="30" spans="2:6" ht="15" thickBot="1">
      <c r="B30" s="706" t="s">
        <v>879</v>
      </c>
      <c r="C30" s="707"/>
      <c r="D30" s="707"/>
      <c r="E30" s="707"/>
      <c r="F30" s="708"/>
    </row>
    <row r="31" spans="2:6" ht="15" thickBot="1">
      <c r="B31" s="309" t="s">
        <v>886</v>
      </c>
      <c r="C31" s="309"/>
      <c r="D31" s="309"/>
      <c r="E31" s="306">
        <v>1.1514801235682692</v>
      </c>
      <c r="F31" s="310"/>
    </row>
    <row r="32" spans="2:6" ht="15" thickBot="1">
      <c r="B32" s="694" t="s">
        <v>881</v>
      </c>
      <c r="C32" s="695"/>
      <c r="D32" s="695"/>
      <c r="E32" s="696"/>
      <c r="F32" s="709"/>
    </row>
    <row r="33" spans="2:6" ht="15" thickBot="1">
      <c r="B33" s="693" t="s">
        <v>887</v>
      </c>
      <c r="C33" s="693"/>
      <c r="D33" s="693"/>
      <c r="E33" s="311">
        <v>5757.4006178413465</v>
      </c>
      <c r="F33" s="310"/>
    </row>
    <row r="34" spans="2:6" ht="15" thickBot="1">
      <c r="B34" s="694" t="s">
        <v>883</v>
      </c>
      <c r="C34" s="695"/>
      <c r="D34" s="695"/>
      <c r="E34" s="696"/>
      <c r="F34" s="697"/>
    </row>
    <row r="35" spans="2:6">
      <c r="B35" s="693" t="s">
        <v>888</v>
      </c>
      <c r="C35" s="693"/>
      <c r="D35" s="693"/>
      <c r="E35" s="310"/>
      <c r="F35" s="312">
        <v>1439350.1544603365</v>
      </c>
    </row>
    <row r="36" spans="2:6" ht="15" thickBot="1">
      <c r="B36" s="698" t="s">
        <v>885</v>
      </c>
      <c r="C36" s="698"/>
      <c r="D36" s="698"/>
      <c r="E36" s="310"/>
      <c r="F36" s="313">
        <v>1545108.7065583016</v>
      </c>
    </row>
  </sheetData>
  <mergeCells count="18">
    <mergeCell ref="B16:D16"/>
    <mergeCell ref="B13:F14"/>
    <mergeCell ref="B15:F15"/>
    <mergeCell ref="B17:F17"/>
    <mergeCell ref="B19:F19"/>
    <mergeCell ref="B20:D20"/>
    <mergeCell ref="B21:F21"/>
    <mergeCell ref="B22:D22"/>
    <mergeCell ref="B35:D35"/>
    <mergeCell ref="B36:D36"/>
    <mergeCell ref="B23:D23"/>
    <mergeCell ref="B29:D29"/>
    <mergeCell ref="B26:F27"/>
    <mergeCell ref="B28:F28"/>
    <mergeCell ref="B30:F30"/>
    <mergeCell ref="B32:F32"/>
    <mergeCell ref="B33:D33"/>
    <mergeCell ref="B34:F34"/>
  </mergeCells>
  <pageMargins left="0.7" right="0.7" top="0.75" bottom="0.75" header="0.3" footer="0.3"/>
  <pageSetup orientation="portrait" r:id="rId1"/>
  <headerFooter>
    <oddHeader>&amp;CFinancial imapct of Reliability on Supplier and Maintenance Planning
Reliability Edge Volume 9 Issue 2</oddHeader>
    <oddFooter>&amp;CFinancial imapct of Reliability on Supplier and Maintenance Planning
Reliability Edge Volume 9 Issue 2</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CBF5E-4655-4841-8D5E-9DD8406B84E6}">
  <sheetPr codeName="Sheet41">
    <tabColor rgb="FF92D050"/>
  </sheetPr>
  <dimension ref="B2:J31"/>
  <sheetViews>
    <sheetView view="pageLayout" topLeftCell="A7" zoomScaleNormal="100" workbookViewId="0">
      <selection activeCell="I14" sqref="I14"/>
    </sheetView>
  </sheetViews>
  <sheetFormatPr defaultRowHeight="21.75" customHeight="1"/>
  <cols>
    <col min="1" max="1" width="9.140625" style="397"/>
    <col min="2" max="2" width="25.42578125" style="397" customWidth="1"/>
    <col min="3" max="3" width="17" style="397" customWidth="1"/>
    <col min="4" max="4" width="15.5703125" style="397" customWidth="1"/>
    <col min="5" max="16384" width="9.140625" style="397"/>
  </cols>
  <sheetData>
    <row r="2" spans="2:10" ht="21.75" customHeight="1">
      <c r="B2" s="397" t="s">
        <v>1200</v>
      </c>
    </row>
    <row r="3" spans="2:10" ht="21.75" customHeight="1">
      <c r="B3" s="397" t="s">
        <v>1201</v>
      </c>
    </row>
    <row r="4" spans="2:10" ht="21.75" customHeight="1">
      <c r="B4" s="397" t="s">
        <v>1202</v>
      </c>
    </row>
    <row r="6" spans="2:10" ht="19.5" customHeight="1">
      <c r="B6" s="427" t="s">
        <v>895</v>
      </c>
      <c r="C6" s="423">
        <f>50000</f>
        <v>50000</v>
      </c>
    </row>
    <row r="7" spans="2:10" ht="21.75" customHeight="1">
      <c r="B7" s="427" t="s">
        <v>896</v>
      </c>
      <c r="C7" s="428">
        <f>250</f>
        <v>250</v>
      </c>
    </row>
    <row r="8" spans="2:10" ht="21.75" customHeight="1">
      <c r="B8" s="427" t="s">
        <v>897</v>
      </c>
      <c r="C8" s="398">
        <f>8</f>
        <v>8</v>
      </c>
    </row>
    <row r="9" spans="2:10" ht="21.75" customHeight="1">
      <c r="B9" s="491" t="s">
        <v>898</v>
      </c>
      <c r="C9" s="423">
        <f>850</f>
        <v>850</v>
      </c>
    </row>
    <row r="10" spans="2:10" ht="21.75" customHeight="1">
      <c r="B10" s="492" t="s">
        <v>899</v>
      </c>
      <c r="C10" s="493">
        <f>0.3</f>
        <v>0.3</v>
      </c>
    </row>
    <row r="11" spans="2:10" ht="21.75" customHeight="1">
      <c r="B11" s="492" t="s">
        <v>900</v>
      </c>
      <c r="C11" s="493">
        <f>0.1</f>
        <v>0.1</v>
      </c>
    </row>
    <row r="12" spans="2:10" ht="21.75" customHeight="1">
      <c r="B12" s="492" t="s">
        <v>901</v>
      </c>
      <c r="C12" s="493">
        <f>0.1</f>
        <v>0.1</v>
      </c>
    </row>
    <row r="13" spans="2:10" ht="21.75" customHeight="1">
      <c r="B13" s="492" t="s">
        <v>1203</v>
      </c>
      <c r="C13" s="398">
        <f>5.335</f>
        <v>5.335</v>
      </c>
    </row>
    <row r="14" spans="2:10" ht="21.75" customHeight="1" thickBot="1"/>
    <row r="15" spans="2:10" ht="21.75" customHeight="1">
      <c r="B15" s="494" t="s">
        <v>903</v>
      </c>
      <c r="C15" s="495"/>
      <c r="D15" s="495"/>
      <c r="E15" s="495"/>
      <c r="F15" s="495"/>
      <c r="G15" s="495"/>
      <c r="H15" s="495"/>
      <c r="I15" s="496"/>
      <c r="J15" s="497"/>
    </row>
    <row r="16" spans="2:10" ht="21.75" customHeight="1" thickBot="1">
      <c r="B16" s="498" t="s">
        <v>902</v>
      </c>
      <c r="C16" s="487">
        <f>(C7*C9)/(C6*(1+C10)*(1+C11))</f>
        <v>2.9720279720279721</v>
      </c>
      <c r="D16" s="499" t="str">
        <f ca="1">_xlfn.FORMULATEXT(C16)</f>
        <v>=(C7*C9)/(C6*(1+C10)*(1+C11))</v>
      </c>
      <c r="E16" s="499"/>
      <c r="F16" s="499"/>
      <c r="G16" s="499" t="s">
        <v>1204</v>
      </c>
      <c r="H16" s="499"/>
      <c r="I16" s="500"/>
      <c r="J16" s="497"/>
    </row>
    <row r="17" spans="2:6" ht="21.75" customHeight="1" thickBot="1"/>
    <row r="18" spans="2:6" ht="21.75" customHeight="1">
      <c r="B18" s="494" t="s">
        <v>904</v>
      </c>
      <c r="C18" s="495"/>
      <c r="D18" s="495"/>
      <c r="E18" s="495"/>
      <c r="F18" s="496"/>
    </row>
    <row r="19" spans="2:6" ht="21.75" customHeight="1" thickBot="1">
      <c r="B19" s="498" t="s">
        <v>905</v>
      </c>
      <c r="C19" s="488">
        <f>1/C16</f>
        <v>0.33647058823529413</v>
      </c>
      <c r="D19" s="400" t="s">
        <v>906</v>
      </c>
      <c r="E19" s="499" t="str">
        <f ca="1">_xlfn.FORMULATEXT(C19)</f>
        <v>=1/C16</v>
      </c>
      <c r="F19" s="500" t="s">
        <v>907</v>
      </c>
    </row>
    <row r="20" spans="2:6" ht="21.75" customHeight="1" thickBot="1"/>
    <row r="21" spans="2:6" ht="21.75" customHeight="1">
      <c r="B21" s="494" t="s">
        <v>909</v>
      </c>
      <c r="C21" s="495"/>
      <c r="D21" s="495"/>
      <c r="E21" s="496"/>
    </row>
    <row r="22" spans="2:6" ht="21.75" customHeight="1" thickBot="1">
      <c r="B22" s="498" t="s">
        <v>908</v>
      </c>
      <c r="C22" s="400" t="s">
        <v>948</v>
      </c>
      <c r="D22" s="487">
        <f>C16*C8</f>
        <v>23.776223776223777</v>
      </c>
      <c r="E22" s="500" t="str">
        <f ca="1">_xlfn.FORMULATEXT(D22)</f>
        <v>=C16*C8</v>
      </c>
    </row>
    <row r="23" spans="2:6" ht="21.75" customHeight="1" thickBot="1"/>
    <row r="24" spans="2:6" ht="21.75" customHeight="1">
      <c r="B24" s="494" t="s">
        <v>910</v>
      </c>
      <c r="C24" s="495"/>
      <c r="D24" s="496"/>
    </row>
    <row r="25" spans="2:6" ht="21.75" customHeight="1" thickBot="1">
      <c r="B25" s="498" t="s">
        <v>911</v>
      </c>
      <c r="C25" s="400" t="s">
        <v>1205</v>
      </c>
      <c r="D25" s="489">
        <f>C13*C16</f>
        <v>15.855769230769232</v>
      </c>
    </row>
    <row r="26" spans="2:6" ht="21.75" customHeight="1" thickBot="1"/>
    <row r="27" spans="2:6" ht="21.75" customHeight="1">
      <c r="B27" s="494" t="s">
        <v>912</v>
      </c>
      <c r="C27" s="495"/>
      <c r="D27" s="496"/>
    </row>
    <row r="28" spans="2:6" ht="21.75" customHeight="1" thickBot="1">
      <c r="B28" s="501" t="s">
        <v>913</v>
      </c>
      <c r="C28" s="400" t="s">
        <v>1206</v>
      </c>
      <c r="D28" s="502">
        <f>D22*C6-C6</f>
        <v>1138811.1888111888</v>
      </c>
    </row>
    <row r="29" spans="2:6" ht="21.75" customHeight="1" thickBot="1"/>
    <row r="30" spans="2:6" ht="21.75" customHeight="1">
      <c r="B30" s="494" t="s">
        <v>914</v>
      </c>
      <c r="C30" s="495"/>
      <c r="D30" s="496"/>
    </row>
    <row r="31" spans="2:6" ht="21.75" customHeight="1" thickBot="1">
      <c r="B31" s="501" t="s">
        <v>915</v>
      </c>
      <c r="C31" s="499" t="s">
        <v>1207</v>
      </c>
      <c r="D31" s="490">
        <f>(D25*C6)-C6</f>
        <v>742788.46153846162</v>
      </c>
    </row>
  </sheetData>
  <pageMargins left="0.7" right="0.7" top="0.75" bottom="0.75" header="0.3" footer="0.3"/>
  <pageSetup orientation="portrait" r:id="rId1"/>
  <headerFooter>
    <oddHeader>&amp;CReliability Capital Investment</oddHeader>
    <oddFooter>&amp;CReliability Capital Investment</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538EC-F346-4532-93BF-3DAFF7876A6C}">
  <sheetPr codeName="Sheet42">
    <tabColor rgb="FFFFFF00"/>
  </sheetPr>
  <dimension ref="B2:C10"/>
  <sheetViews>
    <sheetView view="pageLayout" zoomScaleNormal="100" workbookViewId="0">
      <selection activeCell="F5" sqref="F5"/>
    </sheetView>
  </sheetViews>
  <sheetFormatPr defaultRowHeight="14.25"/>
  <cols>
    <col min="1" max="1" width="9.140625" style="1"/>
    <col min="2" max="2" width="17.7109375" style="1" customWidth="1"/>
    <col min="3" max="3" width="23.140625" style="1" customWidth="1"/>
    <col min="4" max="16384" width="9.140625" style="1"/>
  </cols>
  <sheetData>
    <row r="2" spans="2:3" ht="27.75" customHeight="1">
      <c r="B2" s="315" t="s">
        <v>916</v>
      </c>
      <c r="C2" s="315" t="s">
        <v>917</v>
      </c>
    </row>
    <row r="3" spans="2:3">
      <c r="B3" s="314">
        <f>0</f>
        <v>0</v>
      </c>
      <c r="C3" s="314"/>
    </row>
    <row r="4" spans="2:3">
      <c r="B4" s="316">
        <f>0.018</f>
        <v>1.7999999999999999E-2</v>
      </c>
      <c r="C4" s="314">
        <f>0.9</f>
        <v>0.9</v>
      </c>
    </row>
    <row r="5" spans="2:3">
      <c r="B5" s="314">
        <f>0.02</f>
        <v>0.02</v>
      </c>
      <c r="C5" s="314">
        <f>0.8</f>
        <v>0.8</v>
      </c>
    </row>
    <row r="6" spans="2:3">
      <c r="B6" s="316">
        <f>0.022</f>
        <v>2.1999999999999999E-2</v>
      </c>
      <c r="C6" s="314">
        <f>0.7</f>
        <v>0.7</v>
      </c>
    </row>
    <row r="7" spans="2:3">
      <c r="B7" s="314">
        <f>0.03</f>
        <v>0.03</v>
      </c>
      <c r="C7" s="314">
        <f>0.5</f>
        <v>0.5</v>
      </c>
    </row>
    <row r="8" spans="2:3">
      <c r="B8" s="314">
        <f>0.04</f>
        <v>0.04</v>
      </c>
      <c r="C8" s="314">
        <f>0.4</f>
        <v>0.4</v>
      </c>
    </row>
    <row r="9" spans="2:3">
      <c r="B9" s="316">
        <f>0.048</f>
        <v>4.8000000000000001E-2</v>
      </c>
      <c r="C9" s="314">
        <f>0.3</f>
        <v>0.3</v>
      </c>
    </row>
    <row r="10" spans="2:3">
      <c r="B10" s="314">
        <f>0.06</f>
        <v>0.06</v>
      </c>
      <c r="C10" s="314">
        <f>0.1</f>
        <v>0.1</v>
      </c>
    </row>
  </sheetData>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D67A6-9C7F-42FB-B771-F95FE61D67E5}">
  <sheetPr codeName="Sheet43">
    <tabColor rgb="FFFF0000"/>
  </sheetPr>
  <dimension ref="B1:G23"/>
  <sheetViews>
    <sheetView view="pageLayout" zoomScaleNormal="90" workbookViewId="0">
      <selection activeCell="F15" sqref="F15"/>
    </sheetView>
  </sheetViews>
  <sheetFormatPr defaultColWidth="12.28515625" defaultRowHeight="12.75"/>
  <cols>
    <col min="1" max="5" width="12.28515625" style="478"/>
    <col min="6" max="6" width="25.5703125" style="478" bestFit="1" customWidth="1"/>
    <col min="7" max="7" width="13.85546875" style="478" bestFit="1" customWidth="1"/>
    <col min="8" max="16384" width="12.28515625" style="478"/>
  </cols>
  <sheetData>
    <row r="1" spans="2:7" ht="13.5" thickBot="1"/>
    <row r="2" spans="2:7">
      <c r="B2" s="710" t="s">
        <v>944</v>
      </c>
      <c r="C2" s="711"/>
      <c r="D2" s="712"/>
      <c r="F2" s="479" t="s">
        <v>949</v>
      </c>
      <c r="G2" s="480" t="s">
        <v>950</v>
      </c>
    </row>
    <row r="3" spans="2:7">
      <c r="B3" s="481" t="s">
        <v>945</v>
      </c>
      <c r="C3" s="481" t="s">
        <v>946</v>
      </c>
      <c r="D3" s="482" t="s">
        <v>947</v>
      </c>
      <c r="F3" s="713" t="s">
        <v>951</v>
      </c>
      <c r="G3" s="714"/>
    </row>
    <row r="4" spans="2:7">
      <c r="B4" s="483">
        <v>1006.3</v>
      </c>
      <c r="C4" s="483">
        <v>1950.9</v>
      </c>
      <c r="D4" s="483">
        <v>619.1</v>
      </c>
      <c r="F4" s="479" t="s">
        <v>588</v>
      </c>
      <c r="G4" s="480" t="s">
        <v>952</v>
      </c>
    </row>
    <row r="5" spans="2:7">
      <c r="B5" s="483">
        <v>2261.1999999999998</v>
      </c>
      <c r="C5" s="483">
        <v>3259.6</v>
      </c>
      <c r="D5" s="483">
        <v>1519.1</v>
      </c>
      <c r="F5" s="479" t="s">
        <v>953</v>
      </c>
      <c r="G5" s="480" t="s">
        <v>954</v>
      </c>
    </row>
    <row r="6" spans="2:7">
      <c r="B6" s="483">
        <v>2367</v>
      </c>
      <c r="C6" s="483">
        <v>4733.8999999999996</v>
      </c>
      <c r="D6" s="483">
        <v>2956.6</v>
      </c>
      <c r="F6" s="479" t="s">
        <v>955</v>
      </c>
      <c r="G6" s="484">
        <v>43419</v>
      </c>
    </row>
    <row r="7" spans="2:7">
      <c r="B7" s="483">
        <v>2615.5</v>
      </c>
      <c r="C7" s="483">
        <v>5105.1000000000004</v>
      </c>
      <c r="D7" s="483">
        <v>3114.8</v>
      </c>
      <c r="F7" s="713" t="s">
        <v>166</v>
      </c>
      <c r="G7" s="714"/>
    </row>
    <row r="8" spans="2:7">
      <c r="B8" s="483">
        <v>2848.1</v>
      </c>
      <c r="C8" s="483">
        <v>5624.1</v>
      </c>
      <c r="D8" s="483">
        <v>3657.9</v>
      </c>
      <c r="F8" s="479" t="s">
        <v>956</v>
      </c>
      <c r="G8" s="480">
        <v>1</v>
      </c>
    </row>
    <row r="9" spans="2:7">
      <c r="B9" s="483">
        <v>4073</v>
      </c>
      <c r="C9" s="483">
        <v>5806.3</v>
      </c>
      <c r="D9" s="483">
        <v>4268.8999999999996</v>
      </c>
      <c r="F9" s="479" t="s">
        <v>957</v>
      </c>
      <c r="G9" s="480">
        <v>4</v>
      </c>
    </row>
    <row r="10" spans="2:7">
      <c r="B10" s="483">
        <v>5708.1</v>
      </c>
      <c r="C10" s="483">
        <v>5855.6</v>
      </c>
      <c r="D10" s="483">
        <v>6690.2</v>
      </c>
      <c r="F10" s="713" t="s">
        <v>958</v>
      </c>
      <c r="G10" s="714"/>
    </row>
    <row r="11" spans="2:7" ht="13.5" thickBot="1">
      <c r="B11" s="483">
        <v>6464.1</v>
      </c>
      <c r="C11" s="483">
        <v>6325.2</v>
      </c>
      <c r="D11" s="483">
        <v>6803.1</v>
      </c>
      <c r="F11" s="485" t="s">
        <v>959</v>
      </c>
      <c r="G11" s="486">
        <v>5861.6670000000004</v>
      </c>
    </row>
    <row r="12" spans="2:7">
      <c r="B12" s="483">
        <v>6519.7</v>
      </c>
      <c r="C12" s="483">
        <v>6999.4</v>
      </c>
      <c r="D12" s="483">
        <v>7232.9</v>
      </c>
    </row>
    <row r="13" spans="2:7">
      <c r="B13" s="483">
        <v>6799.1</v>
      </c>
      <c r="C13" s="483">
        <v>7084.4</v>
      </c>
      <c r="D13" s="483">
        <v>7501.4</v>
      </c>
    </row>
    <row r="14" spans="2:7">
      <c r="B14" s="483">
        <v>7342.9</v>
      </c>
      <c r="C14" s="483">
        <v>7105.9</v>
      </c>
      <c r="D14" s="483">
        <v>7641.2</v>
      </c>
    </row>
    <row r="15" spans="2:7">
      <c r="B15" s="483">
        <v>7736</v>
      </c>
      <c r="C15" s="483">
        <v>7290.9</v>
      </c>
      <c r="D15" s="483">
        <v>7851.6</v>
      </c>
    </row>
    <row r="16" spans="2:7">
      <c r="B16" s="483">
        <v>8246.1</v>
      </c>
      <c r="C16" s="483">
        <v>7614.2</v>
      </c>
      <c r="D16" s="483">
        <v>8147.6</v>
      </c>
    </row>
    <row r="17" spans="3:4">
      <c r="C17" s="483">
        <v>8332.1</v>
      </c>
      <c r="D17" s="483">
        <v>8221.9</v>
      </c>
    </row>
    <row r="18" spans="3:4">
      <c r="C18" s="483">
        <v>8368.5</v>
      </c>
      <c r="D18" s="483">
        <v>9560.5</v>
      </c>
    </row>
    <row r="19" spans="3:4">
      <c r="C19" s="483">
        <v>8947.9</v>
      </c>
      <c r="D19" s="483">
        <v>9575.4</v>
      </c>
    </row>
    <row r="20" spans="3:4">
      <c r="C20" s="483">
        <v>9012.2999999999993</v>
      </c>
    </row>
    <row r="21" spans="3:4">
      <c r="C21" s="483">
        <v>9135.9</v>
      </c>
    </row>
    <row r="22" spans="3:4">
      <c r="C22" s="483">
        <v>9147.5</v>
      </c>
    </row>
    <row r="23" spans="3:4">
      <c r="C23" s="483">
        <v>9601</v>
      </c>
    </row>
  </sheetData>
  <mergeCells count="4">
    <mergeCell ref="B2:D2"/>
    <mergeCell ref="F3:G3"/>
    <mergeCell ref="F7:G7"/>
    <mergeCell ref="F10:G10"/>
  </mergeCells>
  <pageMargins left="0.7" right="0.7" top="0.75" bottom="0.75" header="0.3" footer="0.3"/>
  <pageSetup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A7EED-DA9E-4F48-AAC5-D529DDC29A5F}">
  <sheetPr codeName="Sheet44">
    <tabColor rgb="FF0000FF"/>
  </sheetPr>
  <dimension ref="B1:H13"/>
  <sheetViews>
    <sheetView view="pageLayout" zoomScaleNormal="100" workbookViewId="0">
      <selection activeCell="L15" sqref="L15"/>
    </sheetView>
  </sheetViews>
  <sheetFormatPr defaultRowHeight="12.75"/>
  <cols>
    <col min="1" max="2" width="9.140625" style="333"/>
    <col min="3" max="3" width="21.85546875" style="333" customWidth="1"/>
    <col min="4" max="4" width="9.28515625" style="333" bestFit="1" customWidth="1"/>
    <col min="5" max="5" width="10.5703125" style="333" bestFit="1" customWidth="1"/>
    <col min="6" max="6" width="24" style="333" customWidth="1"/>
    <col min="7" max="8" width="9.140625" style="333"/>
    <col min="9" max="9" width="18.7109375" style="333" customWidth="1"/>
    <col min="10" max="16384" width="9.140625" style="333"/>
  </cols>
  <sheetData>
    <row r="1" spans="2:8" ht="13.5" thickBot="1"/>
    <row r="2" spans="2:8">
      <c r="B2" s="334" t="s">
        <v>960</v>
      </c>
      <c r="C2" s="335"/>
      <c r="D2" s="335"/>
      <c r="E2" s="335"/>
      <c r="F2" s="335"/>
      <c r="G2" s="335"/>
      <c r="H2" s="336"/>
    </row>
    <row r="3" spans="2:8">
      <c r="B3" s="337" t="s">
        <v>961</v>
      </c>
      <c r="C3" s="338"/>
      <c r="D3" s="338"/>
      <c r="E3" s="338"/>
      <c r="F3" s="338"/>
      <c r="G3" s="338"/>
      <c r="H3" s="339"/>
    </row>
    <row r="4" spans="2:8">
      <c r="B4" s="337"/>
      <c r="C4" s="338"/>
      <c r="D4" s="338"/>
      <c r="E4" s="338"/>
      <c r="F4" s="338"/>
      <c r="G4" s="338"/>
      <c r="H4" s="339"/>
    </row>
    <row r="5" spans="2:8">
      <c r="B5" s="340" t="s">
        <v>962</v>
      </c>
      <c r="C5" s="338"/>
      <c r="D5" s="338"/>
      <c r="E5" s="338"/>
      <c r="F5" s="338"/>
      <c r="G5" s="338"/>
      <c r="H5" s="339"/>
    </row>
    <row r="6" spans="2:8">
      <c r="B6" s="337" t="s">
        <v>963</v>
      </c>
      <c r="C6" s="338"/>
      <c r="D6" s="338"/>
      <c r="E6" s="338"/>
      <c r="F6" s="338"/>
      <c r="G6" s="338"/>
      <c r="H6" s="339"/>
    </row>
    <row r="7" spans="2:8">
      <c r="B7" s="337"/>
      <c r="C7" s="338"/>
      <c r="D7" s="338"/>
      <c r="E7" s="338"/>
      <c r="F7" s="338"/>
      <c r="G7" s="338"/>
      <c r="H7" s="339"/>
    </row>
    <row r="8" spans="2:8">
      <c r="B8" s="337"/>
      <c r="C8" s="341" t="s">
        <v>964</v>
      </c>
      <c r="D8" s="342">
        <f>500000/10^6</f>
        <v>0.5</v>
      </c>
      <c r="E8" s="338"/>
      <c r="F8" s="338"/>
      <c r="G8" s="338"/>
      <c r="H8" s="339"/>
    </row>
    <row r="9" spans="2:8">
      <c r="B9" s="337"/>
      <c r="C9" s="341" t="s">
        <v>965</v>
      </c>
      <c r="D9" s="342">
        <f>1-D8</f>
        <v>0.5</v>
      </c>
      <c r="E9" s="338"/>
      <c r="F9" s="338"/>
      <c r="G9" s="338"/>
      <c r="H9" s="339"/>
    </row>
    <row r="10" spans="2:8">
      <c r="B10" s="340" t="s">
        <v>962</v>
      </c>
      <c r="C10" s="338"/>
      <c r="D10" s="338"/>
      <c r="E10" s="338"/>
      <c r="F10" s="338"/>
      <c r="G10" s="338"/>
      <c r="H10" s="339"/>
    </row>
    <row r="11" spans="2:8">
      <c r="B11" s="337" t="s">
        <v>966</v>
      </c>
      <c r="C11" s="338"/>
      <c r="D11" s="338"/>
      <c r="E11" s="338"/>
      <c r="F11" s="338"/>
      <c r="G11" s="338"/>
      <c r="H11" s="339"/>
    </row>
    <row r="12" spans="2:8">
      <c r="B12" s="337"/>
      <c r="C12" s="342" t="s">
        <v>967</v>
      </c>
      <c r="D12" s="342">
        <f>0.5</f>
        <v>0.5</v>
      </c>
      <c r="E12" s="343">
        <f>-LN(D12)/(4300)</f>
        <v>1.6119701873487099E-4</v>
      </c>
      <c r="F12" s="338"/>
      <c r="G12" s="338"/>
      <c r="H12" s="339"/>
    </row>
    <row r="13" spans="2:8" ht="13.5" thickBot="1">
      <c r="B13" s="344"/>
      <c r="C13" s="345"/>
      <c r="D13" s="345"/>
      <c r="E13" s="346">
        <f>E12*100000</f>
        <v>16.119701873487099</v>
      </c>
      <c r="F13" s="341" t="s">
        <v>968</v>
      </c>
      <c r="G13" s="347"/>
      <c r="H13" s="348"/>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3B22-CFFA-4539-8BA7-B61ACD594260}">
  <sheetPr codeName="Sheet45">
    <tabColor rgb="FF00FF00"/>
  </sheetPr>
  <dimension ref="B2:D30"/>
  <sheetViews>
    <sheetView view="pageLayout" topLeftCell="B4" zoomScaleNormal="100" workbookViewId="0">
      <selection activeCell="R20" sqref="R20"/>
    </sheetView>
  </sheetViews>
  <sheetFormatPr defaultRowHeight="14.25"/>
  <cols>
    <col min="1" max="16384" width="9.140625" style="355"/>
  </cols>
  <sheetData>
    <row r="2" spans="2:3">
      <c r="B2" s="355" t="s">
        <v>969</v>
      </c>
    </row>
    <row r="3" spans="2:3" ht="16.5">
      <c r="B3" s="355" t="s">
        <v>1081</v>
      </c>
    </row>
    <row r="5" spans="2:3" ht="15" thickBot="1">
      <c r="B5" s="400" t="s">
        <v>970</v>
      </c>
      <c r="C5" s="400" t="s">
        <v>971</v>
      </c>
    </row>
    <row r="6" spans="2:3">
      <c r="B6" s="401">
        <f>0</f>
        <v>0</v>
      </c>
      <c r="C6" s="401">
        <v>10</v>
      </c>
    </row>
    <row r="7" spans="2:3">
      <c r="B7" s="401">
        <f>B6+1</f>
        <v>1</v>
      </c>
      <c r="C7" s="401">
        <v>6.0650000000000004</v>
      </c>
    </row>
    <row r="8" spans="2:3">
      <c r="B8" s="401">
        <f t="shared" ref="B8:B16" si="0">B7+1</f>
        <v>2</v>
      </c>
      <c r="C8" s="401">
        <v>3.6789999999999998</v>
      </c>
    </row>
    <row r="9" spans="2:3">
      <c r="B9" s="401">
        <f t="shared" si="0"/>
        <v>3</v>
      </c>
      <c r="C9" s="401">
        <v>2.2309999999999999</v>
      </c>
    </row>
    <row r="10" spans="2:3">
      <c r="B10" s="401">
        <f t="shared" si="0"/>
        <v>4</v>
      </c>
      <c r="C10" s="401">
        <v>1.353</v>
      </c>
    </row>
    <row r="11" spans="2:3">
      <c r="B11" s="401">
        <f t="shared" si="0"/>
        <v>5</v>
      </c>
      <c r="C11" s="401">
        <v>0.82099999999999995</v>
      </c>
    </row>
    <row r="12" spans="2:3">
      <c r="B12" s="401">
        <f t="shared" si="0"/>
        <v>6</v>
      </c>
      <c r="C12" s="401">
        <v>0.498</v>
      </c>
    </row>
    <row r="13" spans="2:3">
      <c r="B13" s="401">
        <f t="shared" si="0"/>
        <v>7</v>
      </c>
      <c r="C13" s="401">
        <v>0.30199999999999999</v>
      </c>
    </row>
    <row r="14" spans="2:3">
      <c r="B14" s="401">
        <f t="shared" si="0"/>
        <v>8</v>
      </c>
      <c r="C14" s="401">
        <v>0.183</v>
      </c>
    </row>
    <row r="15" spans="2:3">
      <c r="B15" s="401">
        <f t="shared" si="0"/>
        <v>9</v>
      </c>
      <c r="C15" s="401">
        <v>0.111</v>
      </c>
    </row>
    <row r="16" spans="2:3">
      <c r="B16" s="401">
        <f t="shared" si="0"/>
        <v>10</v>
      </c>
      <c r="C16" s="401">
        <v>6.7000000000000004E-2</v>
      </c>
    </row>
    <row r="19" spans="2:4" ht="15" thickBot="1">
      <c r="B19" s="400" t="s">
        <v>972</v>
      </c>
      <c r="C19" s="400" t="s">
        <v>973</v>
      </c>
      <c r="D19" s="400" t="s">
        <v>974</v>
      </c>
    </row>
    <row r="20" spans="2:4">
      <c r="B20" s="368">
        <f>0</f>
        <v>0</v>
      </c>
      <c r="C20" s="368">
        <f>4*(3.14)*($B20)^2</f>
        <v>0</v>
      </c>
      <c r="D20" s="368">
        <f>4/3*3.14*($B20)^3</f>
        <v>0</v>
      </c>
    </row>
    <row r="21" spans="2:4">
      <c r="B21" s="368">
        <f>B20+1</f>
        <v>1</v>
      </c>
      <c r="C21" s="368">
        <f t="shared" ref="C21:C30" si="1">4*(3.14)*($B21)^2</f>
        <v>12.56</v>
      </c>
      <c r="D21" s="368">
        <f t="shared" ref="D21:D30" si="2">4/3*3.14*($B21)^3</f>
        <v>4.1866666666666665</v>
      </c>
    </row>
    <row r="22" spans="2:4">
      <c r="B22" s="368">
        <f t="shared" ref="B22:B30" si="3">B21+1</f>
        <v>2</v>
      </c>
      <c r="C22" s="368">
        <f t="shared" si="1"/>
        <v>50.24</v>
      </c>
      <c r="D22" s="368">
        <f t="shared" si="2"/>
        <v>33.493333333333332</v>
      </c>
    </row>
    <row r="23" spans="2:4">
      <c r="B23" s="368">
        <f t="shared" si="3"/>
        <v>3</v>
      </c>
      <c r="C23" s="368">
        <f t="shared" si="1"/>
        <v>113.04</v>
      </c>
      <c r="D23" s="368">
        <f t="shared" si="2"/>
        <v>113.03999999999999</v>
      </c>
    </row>
    <row r="24" spans="2:4">
      <c r="B24" s="368">
        <f t="shared" si="3"/>
        <v>4</v>
      </c>
      <c r="C24" s="368">
        <f t="shared" si="1"/>
        <v>200.96</v>
      </c>
      <c r="D24" s="368">
        <f t="shared" si="2"/>
        <v>267.94666666666666</v>
      </c>
    </row>
    <row r="25" spans="2:4">
      <c r="B25" s="368">
        <f t="shared" si="3"/>
        <v>5</v>
      </c>
      <c r="C25" s="368">
        <f t="shared" si="1"/>
        <v>314</v>
      </c>
      <c r="D25" s="368">
        <f t="shared" si="2"/>
        <v>523.33333333333337</v>
      </c>
    </row>
    <row r="26" spans="2:4">
      <c r="B26" s="368">
        <f t="shared" si="3"/>
        <v>6</v>
      </c>
      <c r="C26" s="368">
        <f t="shared" si="1"/>
        <v>452.16</v>
      </c>
      <c r="D26" s="368">
        <f t="shared" si="2"/>
        <v>904.31999999999994</v>
      </c>
    </row>
    <row r="27" spans="2:4">
      <c r="B27" s="368">
        <f t="shared" si="3"/>
        <v>7</v>
      </c>
      <c r="C27" s="368">
        <f t="shared" si="1"/>
        <v>615.44000000000005</v>
      </c>
      <c r="D27" s="368">
        <f t="shared" si="2"/>
        <v>1436.0266666666666</v>
      </c>
    </row>
    <row r="28" spans="2:4">
      <c r="B28" s="368">
        <f t="shared" si="3"/>
        <v>8</v>
      </c>
      <c r="C28" s="368">
        <f t="shared" si="1"/>
        <v>803.84</v>
      </c>
      <c r="D28" s="368">
        <f t="shared" si="2"/>
        <v>2143.5733333333333</v>
      </c>
    </row>
    <row r="29" spans="2:4">
      <c r="B29" s="368">
        <f t="shared" si="3"/>
        <v>9</v>
      </c>
      <c r="C29" s="368">
        <f t="shared" si="1"/>
        <v>1017.36</v>
      </c>
      <c r="D29" s="368">
        <f t="shared" si="2"/>
        <v>3052.08</v>
      </c>
    </row>
    <row r="30" spans="2:4">
      <c r="B30" s="368">
        <f t="shared" si="3"/>
        <v>10</v>
      </c>
      <c r="C30" s="368">
        <f t="shared" si="1"/>
        <v>1256</v>
      </c>
      <c r="D30" s="368">
        <f t="shared" si="2"/>
        <v>4186.666666666667</v>
      </c>
    </row>
  </sheetData>
  <pageMargins left="0.7" right="0.7" top="0.75" bottom="0.75" header="0.3" footer="0.3"/>
  <pageSetup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44ADB-CCB5-4C77-A65F-C79DFFAD2D8C}">
  <sheetPr codeName="Sheet46">
    <tabColor theme="5" tint="-0.249977111117893"/>
  </sheetPr>
  <dimension ref="B2:O24"/>
  <sheetViews>
    <sheetView zoomScaleNormal="100" workbookViewId="0">
      <selection activeCell="C9" sqref="C9"/>
    </sheetView>
  </sheetViews>
  <sheetFormatPr defaultRowHeight="15"/>
  <cols>
    <col min="1" max="16384" width="9.140625" style="591"/>
  </cols>
  <sheetData>
    <row r="2" spans="2:15">
      <c r="B2" s="605" t="s">
        <v>975</v>
      </c>
      <c r="C2" s="605"/>
      <c r="D2" s="605"/>
      <c r="E2" s="605"/>
      <c r="F2" s="605"/>
      <c r="G2" s="605"/>
      <c r="H2" s="605"/>
      <c r="I2" s="605"/>
      <c r="J2" s="605"/>
      <c r="K2" s="605"/>
      <c r="L2" s="605"/>
      <c r="M2" s="605"/>
      <c r="N2" s="605"/>
      <c r="O2" s="605"/>
    </row>
    <row r="3" spans="2:15">
      <c r="B3" s="605" t="s">
        <v>976</v>
      </c>
      <c r="C3" s="605"/>
      <c r="D3" s="605"/>
      <c r="E3" s="605"/>
      <c r="F3" s="605"/>
      <c r="G3" s="605"/>
      <c r="H3" s="605"/>
      <c r="I3" s="605"/>
      <c r="J3" s="605"/>
      <c r="K3" s="605"/>
      <c r="L3" s="605"/>
      <c r="M3" s="605"/>
      <c r="N3" s="605"/>
      <c r="O3" s="605"/>
    </row>
    <row r="4" spans="2:15">
      <c r="B4" s="605" t="s">
        <v>977</v>
      </c>
      <c r="C4" s="605"/>
      <c r="D4" s="605"/>
      <c r="E4" s="605"/>
      <c r="F4" s="605"/>
      <c r="G4" s="605"/>
      <c r="H4" s="605"/>
      <c r="I4" s="605"/>
      <c r="J4" s="605"/>
      <c r="K4" s="605"/>
      <c r="L4" s="605"/>
      <c r="M4" s="605"/>
      <c r="N4" s="605"/>
      <c r="O4" s="605"/>
    </row>
    <row r="5" spans="2:15">
      <c r="B5" s="606" t="s">
        <v>978</v>
      </c>
    </row>
    <row r="6" spans="2:15">
      <c r="B6" s="591" t="s">
        <v>979</v>
      </c>
    </row>
    <row r="7" spans="2:15">
      <c r="B7" s="591" t="s">
        <v>980</v>
      </c>
    </row>
    <row r="8" spans="2:15">
      <c r="B8" s="591" t="s">
        <v>981</v>
      </c>
    </row>
    <row r="9" spans="2:15">
      <c r="B9" s="591" t="s">
        <v>982</v>
      </c>
    </row>
    <row r="10" spans="2:15">
      <c r="B10" s="606" t="s">
        <v>983</v>
      </c>
    </row>
    <row r="11" spans="2:15">
      <c r="B11" s="591" t="s">
        <v>984</v>
      </c>
    </row>
    <row r="12" spans="2:15">
      <c r="B12" s="591" t="s">
        <v>985</v>
      </c>
    </row>
    <row r="13" spans="2:15">
      <c r="B13" s="591" t="s">
        <v>986</v>
      </c>
    </row>
    <row r="14" spans="2:15">
      <c r="B14" s="591" t="s">
        <v>987</v>
      </c>
    </row>
    <row r="15" spans="2:15">
      <c r="B15" s="591" t="s">
        <v>988</v>
      </c>
    </row>
    <row r="16" spans="2:15">
      <c r="B16" s="591" t="s">
        <v>1080</v>
      </c>
    </row>
    <row r="17" spans="2:2">
      <c r="B17" s="606" t="s">
        <v>989</v>
      </c>
    </row>
    <row r="18" spans="2:2">
      <c r="B18" s="591" t="s">
        <v>990</v>
      </c>
    </row>
    <row r="19" spans="2:2">
      <c r="B19" s="591" t="s">
        <v>991</v>
      </c>
    </row>
    <row r="20" spans="2:2">
      <c r="B20" s="591" t="s">
        <v>992</v>
      </c>
    </row>
    <row r="21" spans="2:2">
      <c r="B21" s="591" t="s">
        <v>993</v>
      </c>
    </row>
    <row r="22" spans="2:2">
      <c r="B22" s="591" t="s">
        <v>1237</v>
      </c>
    </row>
    <row r="23" spans="2:2">
      <c r="B23" s="591" t="s">
        <v>994</v>
      </c>
    </row>
    <row r="24" spans="2:2">
      <c r="B24" s="591" t="s">
        <v>995</v>
      </c>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05CCD-872E-43E0-8EF6-D51F3D5CB8E3}">
  <sheetPr codeName="Sheet48">
    <tabColor rgb="FFC00000"/>
  </sheetPr>
  <dimension ref="B2:L22"/>
  <sheetViews>
    <sheetView view="pageLayout" topLeftCell="A4" zoomScaleNormal="100" workbookViewId="0">
      <selection activeCell="D4" sqref="D4"/>
    </sheetView>
  </sheetViews>
  <sheetFormatPr defaultRowHeight="15"/>
  <cols>
    <col min="1" max="4" width="9.140625" style="591"/>
    <col min="5" max="5" width="26.140625" style="591" customWidth="1"/>
    <col min="6" max="11" width="9.140625" style="596"/>
    <col min="12" max="16384" width="9.140625" style="591"/>
  </cols>
  <sheetData>
    <row r="2" spans="2:11" s="595" customFormat="1">
      <c r="B2" s="595" t="s">
        <v>996</v>
      </c>
      <c r="K2" s="596"/>
    </row>
    <row r="4" spans="2:11" s="596" customFormat="1" ht="15.75" thickBot="1">
      <c r="B4" s="597" t="s">
        <v>997</v>
      </c>
      <c r="C4" s="597"/>
      <c r="D4" s="597"/>
      <c r="E4" s="597"/>
      <c r="F4" s="597" t="s">
        <v>781</v>
      </c>
      <c r="G4" s="597" t="s">
        <v>998</v>
      </c>
      <c r="H4" s="597" t="s">
        <v>1007</v>
      </c>
      <c r="I4" s="597" t="s">
        <v>999</v>
      </c>
      <c r="J4" s="597" t="s">
        <v>1000</v>
      </c>
      <c r="K4" s="597" t="s">
        <v>1001</v>
      </c>
    </row>
    <row r="5" spans="2:11" ht="15.75" thickTop="1">
      <c r="B5" s="591" t="s">
        <v>1002</v>
      </c>
      <c r="G5" s="598"/>
    </row>
    <row r="7" spans="2:11">
      <c r="B7" s="591" t="s">
        <v>1003</v>
      </c>
    </row>
    <row r="8" spans="2:11">
      <c r="B8" s="591" t="s">
        <v>1004</v>
      </c>
      <c r="F8" s="599">
        <f>100000</f>
        <v>100000</v>
      </c>
      <c r="G8" s="599">
        <f>120000</f>
        <v>120000</v>
      </c>
      <c r="H8" s="599">
        <f>144000</f>
        <v>144000</v>
      </c>
      <c r="I8" s="599">
        <v>173000</v>
      </c>
      <c r="J8" s="599">
        <f>207000</f>
        <v>207000</v>
      </c>
      <c r="K8" s="599">
        <f>248000</f>
        <v>248000</v>
      </c>
    </row>
    <row r="9" spans="2:11">
      <c r="B9" s="591" t="s">
        <v>1005</v>
      </c>
      <c r="F9" s="600">
        <f>1</f>
        <v>1</v>
      </c>
      <c r="G9" s="600">
        <f>1</f>
        <v>1</v>
      </c>
      <c r="H9" s="600">
        <f>1</f>
        <v>1</v>
      </c>
      <c r="I9" s="600">
        <f>1</f>
        <v>1</v>
      </c>
      <c r="J9" s="600">
        <f>1</f>
        <v>1</v>
      </c>
      <c r="K9" s="600">
        <f>1</f>
        <v>1</v>
      </c>
    </row>
    <row r="10" spans="2:11">
      <c r="B10" s="591" t="s">
        <v>1006</v>
      </c>
      <c r="F10" s="599">
        <f>1000</f>
        <v>1000</v>
      </c>
      <c r="G10" s="599">
        <f>1200</f>
        <v>1200</v>
      </c>
      <c r="H10" s="599">
        <f>1440</f>
        <v>1440</v>
      </c>
      <c r="I10" s="599">
        <f>1730</f>
        <v>1730</v>
      </c>
      <c r="J10" s="599">
        <f>2070</f>
        <v>2070</v>
      </c>
      <c r="K10" s="599">
        <f>2480</f>
        <v>2480</v>
      </c>
    </row>
    <row r="11" spans="2:11">
      <c r="B11" s="591" t="s">
        <v>1008</v>
      </c>
      <c r="F11" s="596">
        <f>100</f>
        <v>100</v>
      </c>
      <c r="G11" s="596">
        <f>105</f>
        <v>105</v>
      </c>
      <c r="H11" s="596">
        <f>110</f>
        <v>110</v>
      </c>
      <c r="I11" s="596">
        <f>116</f>
        <v>116</v>
      </c>
      <c r="J11" s="596">
        <f>122</f>
        <v>122</v>
      </c>
      <c r="K11" s="596">
        <f>128</f>
        <v>128</v>
      </c>
    </row>
    <row r="12" spans="2:11">
      <c r="B12" s="591" t="s">
        <v>1009</v>
      </c>
      <c r="F12" s="596">
        <f>10</f>
        <v>10</v>
      </c>
      <c r="G12" s="596">
        <f>11</f>
        <v>11</v>
      </c>
      <c r="H12" s="596">
        <f>13</f>
        <v>13</v>
      </c>
      <c r="I12" s="596">
        <f>15</f>
        <v>15</v>
      </c>
      <c r="J12" s="596">
        <f>17</f>
        <v>17</v>
      </c>
      <c r="K12" s="596">
        <f>19</f>
        <v>19</v>
      </c>
    </row>
    <row r="14" spans="2:11">
      <c r="B14" s="591" t="s">
        <v>1010</v>
      </c>
    </row>
    <row r="15" spans="2:11">
      <c r="B15" s="591" t="s">
        <v>1011</v>
      </c>
      <c r="F15" s="596">
        <f>10</f>
        <v>10</v>
      </c>
      <c r="G15" s="596">
        <f>10</f>
        <v>10</v>
      </c>
      <c r="H15" s="596">
        <f>10</f>
        <v>10</v>
      </c>
      <c r="I15" s="596">
        <f>10</f>
        <v>10</v>
      </c>
      <c r="J15" s="596">
        <f>10</f>
        <v>10</v>
      </c>
      <c r="K15" s="596">
        <f>10</f>
        <v>10</v>
      </c>
    </row>
    <row r="16" spans="2:11">
      <c r="B16" s="591" t="s">
        <v>1008</v>
      </c>
      <c r="F16" s="596">
        <f t="shared" ref="F16:K16" si="0">F11</f>
        <v>100</v>
      </c>
      <c r="G16" s="596">
        <f t="shared" si="0"/>
        <v>105</v>
      </c>
      <c r="H16" s="596">
        <f t="shared" si="0"/>
        <v>110</v>
      </c>
      <c r="I16" s="596">
        <f t="shared" si="0"/>
        <v>116</v>
      </c>
      <c r="J16" s="596">
        <f t="shared" si="0"/>
        <v>122</v>
      </c>
      <c r="K16" s="596">
        <f t="shared" si="0"/>
        <v>128</v>
      </c>
    </row>
    <row r="17" spans="2:12">
      <c r="B17" s="591" t="s">
        <v>1012</v>
      </c>
      <c r="F17" s="599">
        <f t="shared" ref="F17:K17" si="1">PRODUCT(F15:F16)</f>
        <v>1000</v>
      </c>
      <c r="G17" s="599">
        <f t="shared" si="1"/>
        <v>1050</v>
      </c>
      <c r="H17" s="599">
        <f t="shared" si="1"/>
        <v>1100</v>
      </c>
      <c r="I17" s="599">
        <f t="shared" si="1"/>
        <v>1160</v>
      </c>
      <c r="J17" s="599">
        <f t="shared" si="1"/>
        <v>1220</v>
      </c>
      <c r="K17" s="599">
        <f t="shared" si="1"/>
        <v>1280</v>
      </c>
    </row>
    <row r="18" spans="2:12">
      <c r="B18" s="591" t="s">
        <v>1013</v>
      </c>
      <c r="F18" s="600">
        <f>1</f>
        <v>1</v>
      </c>
      <c r="G18" s="600">
        <f>0.875</f>
        <v>0.875</v>
      </c>
      <c r="H18" s="600">
        <f>76.4/100</f>
        <v>0.76400000000000001</v>
      </c>
      <c r="I18" s="600">
        <f>67.1/100</f>
        <v>0.67099999999999993</v>
      </c>
      <c r="J18" s="600">
        <f>59/100</f>
        <v>0.59</v>
      </c>
      <c r="K18" s="600">
        <f>51.6/100</f>
        <v>0.51600000000000001</v>
      </c>
      <c r="L18" s="601"/>
    </row>
    <row r="19" spans="2:12">
      <c r="B19" s="591" t="s">
        <v>1014</v>
      </c>
      <c r="F19" s="602">
        <f>F9-F18</f>
        <v>0</v>
      </c>
      <c r="G19" s="602">
        <f>(F18-G18)/F18</f>
        <v>0.125</v>
      </c>
      <c r="H19" s="603">
        <f>(G18-H18)/G18</f>
        <v>0.12685714285714284</v>
      </c>
      <c r="I19" s="603">
        <f>(H18-I18)/H18</f>
        <v>0.12172774869109958</v>
      </c>
      <c r="J19" s="603">
        <f>(I18-J18)/I18</f>
        <v>0.1207153502235469</v>
      </c>
      <c r="K19" s="603">
        <f>(J18-K18)/J18</f>
        <v>0.12542372881355926</v>
      </c>
    </row>
    <row r="20" spans="2:12">
      <c r="H20" s="604"/>
    </row>
    <row r="22" spans="2:12">
      <c r="F22" s="596" t="s">
        <v>1015</v>
      </c>
    </row>
  </sheetData>
  <pageMargins left="0.7" right="0.7" top="0.75" bottom="0.75" header="0.3" footer="0.3"/>
  <pageSetup orientation="portrait" r:id="rId1"/>
  <ignoredErrors>
    <ignoredError sqref="H19" formula="1"/>
  </ignoredError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29A27-BC2B-4E75-839A-F729D07946DA}">
  <sheetPr codeName="Sheet47">
    <tabColor rgb="FF00FF00"/>
  </sheetPr>
  <dimension ref="B1:D19"/>
  <sheetViews>
    <sheetView topLeftCell="A7" workbookViewId="0">
      <selection activeCell="D23" sqref="D23"/>
    </sheetView>
  </sheetViews>
  <sheetFormatPr defaultRowHeight="14.25"/>
  <cols>
    <col min="1" max="1" width="9.140625" style="355"/>
    <col min="2" max="2" width="41.5703125" style="355" customWidth="1"/>
    <col min="3" max="3" width="37" style="434" customWidth="1"/>
    <col min="4" max="4" width="59.85546875" style="355" customWidth="1"/>
    <col min="5" max="16384" width="9.140625" style="355"/>
  </cols>
  <sheetData>
    <row r="1" spans="2:4" ht="15" thickBot="1"/>
    <row r="2" spans="2:4" ht="24.75" customHeight="1" thickBot="1">
      <c r="B2" s="356" t="s">
        <v>1026</v>
      </c>
      <c r="C2" s="356" t="s">
        <v>1027</v>
      </c>
      <c r="D2" s="356" t="s">
        <v>1028</v>
      </c>
    </row>
    <row r="3" spans="2:4" ht="29.25" thickBot="1">
      <c r="B3" s="721" t="s">
        <v>1029</v>
      </c>
      <c r="C3" s="507" t="s">
        <v>1030</v>
      </c>
      <c r="D3" s="357" t="s">
        <v>1032</v>
      </c>
    </row>
    <row r="4" spans="2:4" ht="29.25" thickBot="1">
      <c r="B4" s="722"/>
      <c r="C4" s="507" t="s">
        <v>1031</v>
      </c>
      <c r="D4" s="358" t="s">
        <v>1033</v>
      </c>
    </row>
    <row r="5" spans="2:4" ht="29.25" thickBot="1">
      <c r="B5" s="725" t="s">
        <v>1034</v>
      </c>
      <c r="C5" s="510" t="s">
        <v>1030</v>
      </c>
      <c r="D5" s="358" t="s">
        <v>1035</v>
      </c>
    </row>
    <row r="6" spans="2:4" ht="37.5" customHeight="1" thickBot="1">
      <c r="B6" s="726"/>
      <c r="C6" s="507" t="s">
        <v>1031</v>
      </c>
      <c r="D6" s="359" t="s">
        <v>1036</v>
      </c>
    </row>
    <row r="7" spans="2:4" ht="30" customHeight="1">
      <c r="B7" s="726"/>
      <c r="C7" s="508" t="s">
        <v>1037</v>
      </c>
      <c r="D7" s="723" t="s">
        <v>1039</v>
      </c>
    </row>
    <row r="8" spans="2:4" ht="15" thickBot="1">
      <c r="B8" s="727"/>
      <c r="C8" s="509" t="s">
        <v>1038</v>
      </c>
      <c r="D8" s="724"/>
    </row>
    <row r="9" spans="2:4" ht="19.5" customHeight="1" thickBot="1">
      <c r="B9" s="360" t="s">
        <v>1040</v>
      </c>
      <c r="C9" s="728" t="s">
        <v>1047</v>
      </c>
      <c r="D9" s="721" t="s">
        <v>1048</v>
      </c>
    </row>
    <row r="10" spans="2:4" ht="24" customHeight="1" thickBot="1">
      <c r="B10" s="360" t="s">
        <v>1041</v>
      </c>
      <c r="C10" s="729"/>
      <c r="D10" s="722"/>
    </row>
    <row r="11" spans="2:4">
      <c r="B11" s="361" t="s">
        <v>1042</v>
      </c>
      <c r="C11" s="715" t="s">
        <v>1037</v>
      </c>
      <c r="D11" s="718" t="s">
        <v>1049</v>
      </c>
    </row>
    <row r="12" spans="2:4">
      <c r="B12" s="362" t="s">
        <v>1043</v>
      </c>
      <c r="C12" s="716"/>
      <c r="D12" s="719"/>
    </row>
    <row r="13" spans="2:4" ht="18.75" customHeight="1" thickBot="1">
      <c r="B13" s="363" t="s">
        <v>1044</v>
      </c>
      <c r="C13" s="717"/>
      <c r="D13" s="720"/>
    </row>
    <row r="14" spans="2:4" ht="23.25" customHeight="1" thickBot="1">
      <c r="B14" s="360" t="s">
        <v>1045</v>
      </c>
      <c r="C14" s="715" t="s">
        <v>1038</v>
      </c>
      <c r="D14" s="730" t="s">
        <v>1050</v>
      </c>
    </row>
    <row r="15" spans="2:4" ht="42.75" customHeight="1" thickBot="1">
      <c r="B15" s="360" t="s">
        <v>1046</v>
      </c>
      <c r="C15" s="717"/>
      <c r="D15" s="731"/>
    </row>
    <row r="16" spans="2:4" ht="28.5" customHeight="1" thickBot="1">
      <c r="B16" s="736" t="s">
        <v>1051</v>
      </c>
      <c r="C16" s="732" t="s">
        <v>1052</v>
      </c>
      <c r="D16" s="364" t="s">
        <v>1053</v>
      </c>
    </row>
    <row r="17" spans="2:4" ht="43.5" thickBot="1">
      <c r="B17" s="737"/>
      <c r="C17" s="733"/>
      <c r="D17" s="357" t="s">
        <v>1054</v>
      </c>
    </row>
    <row r="18" spans="2:4" ht="33" customHeight="1" thickBot="1">
      <c r="B18" s="737"/>
      <c r="C18" s="734" t="s">
        <v>1055</v>
      </c>
      <c r="D18" s="365" t="s">
        <v>1056</v>
      </c>
    </row>
    <row r="19" spans="2:4" ht="29.25" thickBot="1">
      <c r="B19" s="738"/>
      <c r="C19" s="735"/>
      <c r="D19" s="366" t="s">
        <v>1057</v>
      </c>
    </row>
  </sheetData>
  <mergeCells count="12">
    <mergeCell ref="C14:C15"/>
    <mergeCell ref="D14:D15"/>
    <mergeCell ref="C16:C17"/>
    <mergeCell ref="C18:C19"/>
    <mergeCell ref="B16:B19"/>
    <mergeCell ref="C11:C13"/>
    <mergeCell ref="D11:D13"/>
    <mergeCell ref="B3:B4"/>
    <mergeCell ref="D7:D8"/>
    <mergeCell ref="B5:B8"/>
    <mergeCell ref="C9:C10"/>
    <mergeCell ref="D9:D10"/>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76F4C-CF9B-4058-A637-9A9274A474FE}">
  <sheetPr codeName="Sheet50">
    <tabColor theme="5" tint="-0.249977111117893"/>
  </sheetPr>
  <dimension ref="B2:K29"/>
  <sheetViews>
    <sheetView topLeftCell="D15" workbookViewId="0">
      <selection activeCell="E21" sqref="E21"/>
    </sheetView>
  </sheetViews>
  <sheetFormatPr defaultRowHeight="15"/>
  <cols>
    <col min="1" max="1" width="9.140625" style="591"/>
    <col min="2" max="2" width="9.85546875" style="591" customWidth="1"/>
    <col min="3" max="3" width="19" style="591" customWidth="1"/>
    <col min="4" max="4" width="13.7109375" style="591" customWidth="1"/>
    <col min="5" max="5" width="9.140625" style="591"/>
    <col min="6" max="6" width="15" style="591" customWidth="1"/>
    <col min="7" max="7" width="13.5703125" style="591" customWidth="1"/>
    <col min="8" max="8" width="13" style="591" customWidth="1"/>
    <col min="9" max="9" width="9.140625" style="591"/>
    <col min="10" max="10" width="16.7109375" style="591" customWidth="1"/>
    <col min="11" max="11" width="18.42578125" style="591" customWidth="1"/>
    <col min="12" max="16384" width="9.140625" style="591"/>
  </cols>
  <sheetData>
    <row r="2" spans="2:11" s="588" customFormat="1" ht="32.25" customHeight="1">
      <c r="B2" s="586" t="s">
        <v>1079</v>
      </c>
      <c r="C2" s="586" t="s">
        <v>1076</v>
      </c>
      <c r="D2" s="586" t="s">
        <v>1231</v>
      </c>
      <c r="E2" s="587"/>
      <c r="F2" s="586" t="s">
        <v>1079</v>
      </c>
      <c r="G2" s="586" t="s">
        <v>1232</v>
      </c>
      <c r="H2" s="586" t="s">
        <v>1233</v>
      </c>
      <c r="I2" s="587"/>
      <c r="J2" s="586" t="s">
        <v>1233</v>
      </c>
      <c r="K2" s="586" t="s">
        <v>1231</v>
      </c>
    </row>
    <row r="3" spans="2:11">
      <c r="B3" s="589">
        <f>0</f>
        <v>0</v>
      </c>
      <c r="C3" s="589">
        <f>6</f>
        <v>6</v>
      </c>
      <c r="D3" s="590">
        <f>$C$20*EXP($C$19*$B3)</f>
        <v>0.3982</v>
      </c>
      <c r="F3" s="589">
        <f>B3</f>
        <v>0</v>
      </c>
      <c r="G3" s="592">
        <f t="shared" ref="G3:G13" si="0">LN(C3)</f>
        <v>1.791759469228055</v>
      </c>
      <c r="H3" s="590">
        <f>$C$24*$F3^$C$23</f>
        <v>0</v>
      </c>
      <c r="J3" s="590">
        <f>$C$24*$F3^$C$23</f>
        <v>0</v>
      </c>
      <c r="K3" s="590">
        <f>$C$20*EXP($C$19*$B3)</f>
        <v>0.3982</v>
      </c>
    </row>
    <row r="4" spans="2:11">
      <c r="B4" s="589">
        <f>B3+1</f>
        <v>1</v>
      </c>
      <c r="C4" s="589">
        <f>9</f>
        <v>9</v>
      </c>
      <c r="D4" s="590">
        <f t="shared" ref="D4:D13" si="1">$C$20*EXP($C$19*$B4)</f>
        <v>179.68388502147832</v>
      </c>
      <c r="F4" s="589">
        <f t="shared" ref="F4:F13" si="2">B4</f>
        <v>1</v>
      </c>
      <c r="G4" s="592">
        <f t="shared" si="0"/>
        <v>2.1972245773362196</v>
      </c>
      <c r="H4" s="590">
        <f t="shared" ref="H4:J13" si="3">$C$24*$F4^$C$23</f>
        <v>5.4889999999999999</v>
      </c>
      <c r="J4" s="590">
        <f t="shared" si="3"/>
        <v>5.4889999999999999</v>
      </c>
      <c r="K4" s="590">
        <f t="shared" ref="K4:K13" si="4">$C$20*EXP($C$19*$B4)</f>
        <v>179.68388502147832</v>
      </c>
    </row>
    <row r="5" spans="2:11">
      <c r="B5" s="589">
        <f t="shared" ref="B5:B13" si="5">B4+1</f>
        <v>2</v>
      </c>
      <c r="C5" s="589">
        <f>15</f>
        <v>15</v>
      </c>
      <c r="D5" s="590">
        <f t="shared" si="1"/>
        <v>81080.609081898132</v>
      </c>
      <c r="F5" s="589">
        <f t="shared" si="2"/>
        <v>2</v>
      </c>
      <c r="G5" s="592">
        <f t="shared" si="0"/>
        <v>2.7080502011022101</v>
      </c>
      <c r="H5" s="590">
        <f t="shared" si="3"/>
        <v>15.84376540023737</v>
      </c>
      <c r="J5" s="590">
        <f t="shared" si="3"/>
        <v>15.84376540023737</v>
      </c>
      <c r="K5" s="590">
        <f t="shared" si="4"/>
        <v>81080.609081898132</v>
      </c>
    </row>
    <row r="6" spans="2:11">
      <c r="B6" s="589">
        <f t="shared" si="5"/>
        <v>3</v>
      </c>
      <c r="C6" s="589">
        <f>19</f>
        <v>19</v>
      </c>
      <c r="D6" s="590">
        <f t="shared" si="1"/>
        <v>36586837.86977195</v>
      </c>
      <c r="F6" s="589">
        <f t="shared" si="2"/>
        <v>3</v>
      </c>
      <c r="G6" s="592">
        <f t="shared" si="0"/>
        <v>2.9444389791664403</v>
      </c>
      <c r="H6" s="590">
        <f t="shared" si="3"/>
        <v>29.454710978773686</v>
      </c>
      <c r="J6" s="590">
        <f t="shared" si="3"/>
        <v>29.454710978773686</v>
      </c>
      <c r="K6" s="590">
        <f t="shared" si="4"/>
        <v>36586837.86977195</v>
      </c>
    </row>
    <row r="7" spans="2:11">
      <c r="B7" s="589">
        <f t="shared" si="5"/>
        <v>4</v>
      </c>
      <c r="C7" s="589">
        <f>32</f>
        <v>32</v>
      </c>
      <c r="D7" s="590">
        <f t="shared" si="1"/>
        <v>16509455472.354551</v>
      </c>
      <c r="F7" s="589">
        <f t="shared" si="2"/>
        <v>4</v>
      </c>
      <c r="G7" s="592">
        <f t="shared" si="0"/>
        <v>3.4657359027997265</v>
      </c>
      <c r="H7" s="590">
        <f t="shared" si="3"/>
        <v>45.732355995219315</v>
      </c>
      <c r="J7" s="590">
        <f t="shared" si="3"/>
        <v>45.732355995219315</v>
      </c>
      <c r="K7" s="590">
        <f t="shared" si="4"/>
        <v>16509455472.354551</v>
      </c>
    </row>
    <row r="8" spans="2:11">
      <c r="B8" s="589">
        <f t="shared" si="5"/>
        <v>5</v>
      </c>
      <c r="C8" s="589">
        <f>42</f>
        <v>42</v>
      </c>
      <c r="D8" s="590">
        <f t="shared" si="1"/>
        <v>7449731539080.3027</v>
      </c>
      <c r="F8" s="589">
        <f t="shared" si="2"/>
        <v>5</v>
      </c>
      <c r="G8" s="592">
        <f t="shared" si="0"/>
        <v>3.7376696182833684</v>
      </c>
      <c r="H8" s="590">
        <f t="shared" si="3"/>
        <v>64.332148891428204</v>
      </c>
      <c r="J8" s="590">
        <f t="shared" si="3"/>
        <v>64.332148891428204</v>
      </c>
      <c r="K8" s="590">
        <f t="shared" si="4"/>
        <v>7449731539080.3027</v>
      </c>
    </row>
    <row r="9" spans="2:11">
      <c r="B9" s="589">
        <f t="shared" si="5"/>
        <v>6</v>
      </c>
      <c r="C9" s="589">
        <f>63</f>
        <v>63</v>
      </c>
      <c r="D9" s="590">
        <f t="shared" si="1"/>
        <v>3361619048992914.5</v>
      </c>
      <c r="F9" s="589">
        <f t="shared" si="2"/>
        <v>6</v>
      </c>
      <c r="G9" s="592">
        <f t="shared" si="0"/>
        <v>4.1431347263915326</v>
      </c>
      <c r="H9" s="590">
        <f t="shared" si="3"/>
        <v>85.019772395606893</v>
      </c>
      <c r="J9" s="590">
        <f t="shared" si="3"/>
        <v>85.019772395606893</v>
      </c>
      <c r="K9" s="590">
        <f t="shared" si="4"/>
        <v>3361619048992914.5</v>
      </c>
    </row>
    <row r="10" spans="2:11">
      <c r="B10" s="589">
        <f t="shared" si="5"/>
        <v>7</v>
      </c>
      <c r="C10" s="589">
        <f>102</f>
        <v>102</v>
      </c>
      <c r="D10" s="590">
        <f t="shared" si="1"/>
        <v>1.5168979675671903E+18</v>
      </c>
      <c r="F10" s="589">
        <f t="shared" si="2"/>
        <v>7</v>
      </c>
      <c r="G10" s="592">
        <f t="shared" si="0"/>
        <v>4.6249728132842707</v>
      </c>
      <c r="H10" s="590">
        <f t="shared" si="3"/>
        <v>107.62214988775104</v>
      </c>
      <c r="J10" s="590">
        <f t="shared" si="3"/>
        <v>107.62214988775104</v>
      </c>
      <c r="K10" s="590">
        <f t="shared" si="4"/>
        <v>1.5168979675671903E+18</v>
      </c>
    </row>
    <row r="11" spans="2:11">
      <c r="B11" s="589">
        <f t="shared" si="5"/>
        <v>8</v>
      </c>
      <c r="C11" s="589">
        <f>153</f>
        <v>153</v>
      </c>
      <c r="D11" s="590">
        <f t="shared" si="1"/>
        <v>6.8448548466513727E+20</v>
      </c>
      <c r="F11" s="589">
        <f t="shared" si="2"/>
        <v>8</v>
      </c>
      <c r="G11" s="592">
        <f t="shared" si="0"/>
        <v>5.0304379213924353</v>
      </c>
      <c r="H11" s="590">
        <f t="shared" si="3"/>
        <v>132.00450347757217</v>
      </c>
      <c r="J11" s="590">
        <f t="shared" si="3"/>
        <v>132.00450347757217</v>
      </c>
      <c r="K11" s="590">
        <f t="shared" si="4"/>
        <v>6.8448548466513727E+20</v>
      </c>
    </row>
    <row r="12" spans="2:11">
      <c r="B12" s="589">
        <f t="shared" si="5"/>
        <v>9</v>
      </c>
      <c r="C12" s="589">
        <f>220</f>
        <v>220</v>
      </c>
      <c r="D12" s="590">
        <f t="shared" si="1"/>
        <v>3.0886743125424813E+23</v>
      </c>
      <c r="F12" s="589">
        <f t="shared" si="2"/>
        <v>9</v>
      </c>
      <c r="G12" s="592">
        <f t="shared" si="0"/>
        <v>5.393627546352362</v>
      </c>
      <c r="H12" s="590">
        <f t="shared" si="3"/>
        <v>158.0579338391494</v>
      </c>
      <c r="J12" s="590">
        <f t="shared" si="3"/>
        <v>158.0579338391494</v>
      </c>
      <c r="K12" s="590">
        <f t="shared" si="4"/>
        <v>3.0886743125424813E+23</v>
      </c>
    </row>
    <row r="13" spans="2:11">
      <c r="B13" s="589">
        <f t="shared" si="5"/>
        <v>10</v>
      </c>
      <c r="C13" s="589">
        <f>328</f>
        <v>328</v>
      </c>
      <c r="D13" s="590">
        <f t="shared" si="1"/>
        <v>1.3937343044793515E+26</v>
      </c>
      <c r="F13" s="589">
        <f t="shared" si="2"/>
        <v>10</v>
      </c>
      <c r="G13" s="592">
        <f t="shared" si="0"/>
        <v>5.7930136083841441</v>
      </c>
      <c r="H13" s="590">
        <f t="shared" si="3"/>
        <v>185.69201580049727</v>
      </c>
      <c r="J13" s="590">
        <f t="shared" si="3"/>
        <v>185.69201580049727</v>
      </c>
      <c r="K13" s="590">
        <f t="shared" si="4"/>
        <v>1.3937343044793515E+26</v>
      </c>
    </row>
    <row r="15" spans="2:11" ht="18">
      <c r="B15" s="591" t="s">
        <v>1234</v>
      </c>
    </row>
    <row r="16" spans="2:11" ht="18">
      <c r="B16" s="591" t="s">
        <v>1235</v>
      </c>
    </row>
    <row r="18" spans="2:7" ht="30">
      <c r="B18" s="739" t="s">
        <v>244</v>
      </c>
      <c r="C18" s="739"/>
      <c r="F18" s="593" t="s">
        <v>1077</v>
      </c>
      <c r="G18" s="593" t="s">
        <v>1236</v>
      </c>
    </row>
    <row r="19" spans="2:7">
      <c r="B19" s="589" t="s">
        <v>249</v>
      </c>
      <c r="C19" s="589">
        <f>6.112</f>
        <v>6.1120000000000001</v>
      </c>
      <c r="F19" s="594" t="e">
        <f>LN(B3)</f>
        <v>#NUM!</v>
      </c>
      <c r="G19" s="592">
        <v>1.791759469228055</v>
      </c>
    </row>
    <row r="20" spans="2:7">
      <c r="B20" s="589" t="s">
        <v>1078</v>
      </c>
      <c r="C20" s="589">
        <f>0.3982</f>
        <v>0.3982</v>
      </c>
      <c r="F20" s="594">
        <f t="shared" ref="F20:F29" si="6">LN(B4)</f>
        <v>0</v>
      </c>
      <c r="G20" s="592">
        <v>2.1972245773362196</v>
      </c>
    </row>
    <row r="21" spans="2:7">
      <c r="F21" s="594">
        <f t="shared" si="6"/>
        <v>0.69314718055994529</v>
      </c>
      <c r="G21" s="592">
        <v>2.7080502011022101</v>
      </c>
    </row>
    <row r="22" spans="2:7">
      <c r="B22" s="739" t="s">
        <v>843</v>
      </c>
      <c r="C22" s="739"/>
      <c r="F22" s="594">
        <f t="shared" si="6"/>
        <v>1.0986122886681098</v>
      </c>
      <c r="G22" s="592">
        <v>2.9444389791664403</v>
      </c>
    </row>
    <row r="23" spans="2:7">
      <c r="B23" s="589" t="s">
        <v>249</v>
      </c>
      <c r="C23" s="589">
        <f>1.5293</f>
        <v>1.5293000000000001</v>
      </c>
      <c r="F23" s="594">
        <f t="shared" si="6"/>
        <v>1.3862943611198906</v>
      </c>
      <c r="G23" s="592">
        <v>3.4657359027997265</v>
      </c>
    </row>
    <row r="24" spans="2:7">
      <c r="B24" s="589" t="s">
        <v>1078</v>
      </c>
      <c r="C24" s="589">
        <f>5.489</f>
        <v>5.4889999999999999</v>
      </c>
      <c r="F24" s="594">
        <f t="shared" si="6"/>
        <v>1.6094379124341003</v>
      </c>
      <c r="G24" s="592">
        <v>3.7376696182833684</v>
      </c>
    </row>
    <row r="25" spans="2:7">
      <c r="F25" s="594">
        <f t="shared" si="6"/>
        <v>1.791759469228055</v>
      </c>
      <c r="G25" s="592">
        <v>4.1431347263915326</v>
      </c>
    </row>
    <row r="26" spans="2:7">
      <c r="F26" s="594">
        <f t="shared" si="6"/>
        <v>1.9459101490553132</v>
      </c>
      <c r="G26" s="592">
        <v>4.6249728132842707</v>
      </c>
    </row>
    <row r="27" spans="2:7">
      <c r="F27" s="594">
        <f t="shared" si="6"/>
        <v>2.0794415416798357</v>
      </c>
      <c r="G27" s="592">
        <v>5.0304379213924353</v>
      </c>
    </row>
    <row r="28" spans="2:7">
      <c r="F28" s="594">
        <f t="shared" si="6"/>
        <v>2.1972245773362196</v>
      </c>
      <c r="G28" s="592">
        <v>5.393627546352362</v>
      </c>
    </row>
    <row r="29" spans="2:7">
      <c r="F29" s="594">
        <f t="shared" si="6"/>
        <v>2.3025850929940459</v>
      </c>
      <c r="G29" s="592">
        <v>5.7930136083841441</v>
      </c>
    </row>
  </sheetData>
  <mergeCells count="2">
    <mergeCell ref="B18:C18"/>
    <mergeCell ref="B22:C22"/>
  </mergeCells>
  <pageMargins left="0.7" right="0.7" top="0.75" bottom="0.75" header="0.3" footer="0.3"/>
  <pageSetup orientation="portrait" r:id="rId1"/>
  <ignoredErrors>
    <ignoredError sqref="F19" evalError="1"/>
  </ignoredErrors>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D7A76-06B7-43A0-9879-DE9CD6422065}">
  <sheetPr>
    <tabColor rgb="FF0000FF"/>
    <pageSetUpPr fitToPage="1"/>
  </sheetPr>
  <dimension ref="A2:H61"/>
  <sheetViews>
    <sheetView view="pageLayout" topLeftCell="A18" zoomScaleNormal="100" workbookViewId="0">
      <selection activeCell="K30" sqref="K30"/>
    </sheetView>
  </sheetViews>
  <sheetFormatPr defaultRowHeight="12.75"/>
  <cols>
    <col min="1" max="1" width="9.140625" style="511"/>
    <col min="2" max="2" width="16" style="511" customWidth="1"/>
    <col min="3" max="7" width="9.140625" style="511"/>
    <col min="8" max="8" width="21" style="511" customWidth="1"/>
    <col min="9" max="16384" width="9.140625" style="511"/>
  </cols>
  <sheetData>
    <row r="2" spans="1:7">
      <c r="A2" s="511" t="s">
        <v>1114</v>
      </c>
    </row>
    <row r="3" spans="1:7">
      <c r="A3" s="511" t="s">
        <v>1115</v>
      </c>
    </row>
    <row r="4" spans="1:7">
      <c r="A4" s="511" t="s">
        <v>1116</v>
      </c>
    </row>
    <row r="5" spans="1:7">
      <c r="A5" s="511" t="s">
        <v>1117</v>
      </c>
    </row>
    <row r="6" spans="1:7" ht="13.5" thickBot="1"/>
    <row r="7" spans="1:7">
      <c r="B7" s="467" t="s">
        <v>1118</v>
      </c>
      <c r="C7" s="468"/>
      <c r="D7" s="468"/>
      <c r="E7" s="468"/>
      <c r="F7" s="468"/>
      <c r="G7" s="469"/>
    </row>
    <row r="8" spans="1:7">
      <c r="B8" s="470" t="s">
        <v>1119</v>
      </c>
      <c r="C8" s="471"/>
      <c r="D8" s="471"/>
      <c r="E8" s="471"/>
      <c r="F8" s="471"/>
      <c r="G8" s="472"/>
    </row>
    <row r="9" spans="1:7">
      <c r="B9" s="470" t="s">
        <v>1120</v>
      </c>
      <c r="C9" s="471"/>
      <c r="D9" s="471"/>
      <c r="E9" s="471"/>
      <c r="F9" s="471"/>
      <c r="G9" s="472"/>
    </row>
    <row r="10" spans="1:7">
      <c r="B10" s="470" t="s">
        <v>1121</v>
      </c>
      <c r="C10" s="471"/>
      <c r="D10" s="471"/>
      <c r="E10" s="471"/>
      <c r="F10" s="471"/>
      <c r="G10" s="472"/>
    </row>
    <row r="11" spans="1:7">
      <c r="B11" s="470" t="s">
        <v>1122</v>
      </c>
      <c r="C11" s="471"/>
      <c r="D11" s="471"/>
      <c r="E11" s="471"/>
      <c r="F11" s="471"/>
      <c r="G11" s="472"/>
    </row>
    <row r="12" spans="1:7">
      <c r="B12" s="470" t="s">
        <v>1123</v>
      </c>
      <c r="C12" s="471"/>
      <c r="D12" s="471"/>
      <c r="E12" s="471"/>
      <c r="F12" s="471"/>
      <c r="G12" s="472"/>
    </row>
    <row r="13" spans="1:7">
      <c r="B13" s="470" t="s">
        <v>1124</v>
      </c>
      <c r="C13" s="471"/>
      <c r="D13" s="471"/>
      <c r="E13" s="471"/>
      <c r="F13" s="471"/>
      <c r="G13" s="472"/>
    </row>
    <row r="14" spans="1:7">
      <c r="B14" s="470" t="s">
        <v>1125</v>
      </c>
      <c r="C14" s="471"/>
      <c r="D14" s="471"/>
      <c r="E14" s="471"/>
      <c r="F14" s="471"/>
      <c r="G14" s="472"/>
    </row>
    <row r="15" spans="1:7">
      <c r="B15" s="470" t="s">
        <v>1126</v>
      </c>
      <c r="C15" s="471"/>
      <c r="D15" s="471"/>
      <c r="E15" s="471"/>
      <c r="F15" s="471"/>
      <c r="G15" s="472"/>
    </row>
    <row r="16" spans="1:7" ht="13.5" thickBot="1">
      <c r="B16" s="473" t="s">
        <v>1127</v>
      </c>
      <c r="C16" s="474"/>
      <c r="D16" s="474"/>
      <c r="E16" s="474"/>
      <c r="F16" s="474"/>
      <c r="G16" s="475"/>
    </row>
    <row r="18" spans="2:8" ht="13.5" thickBot="1"/>
    <row r="19" spans="2:8" ht="30.75" customHeight="1">
      <c r="B19" s="749" t="s">
        <v>1128</v>
      </c>
      <c r="C19" s="750"/>
      <c r="D19" s="750"/>
      <c r="E19" s="750"/>
      <c r="F19" s="750"/>
      <c r="G19" s="750"/>
      <c r="H19" s="751"/>
    </row>
    <row r="20" spans="2:8" ht="36" customHeight="1">
      <c r="B20" s="741" t="s">
        <v>1129</v>
      </c>
      <c r="C20" s="742"/>
      <c r="D20" s="742"/>
      <c r="E20" s="742"/>
      <c r="F20" s="742"/>
      <c r="G20" s="742"/>
      <c r="H20" s="743"/>
    </row>
    <row r="21" spans="2:8" ht="28.5" customHeight="1">
      <c r="B21" s="741" t="s">
        <v>1130</v>
      </c>
      <c r="C21" s="742"/>
      <c r="D21" s="742"/>
      <c r="E21" s="742"/>
      <c r="F21" s="742"/>
      <c r="G21" s="742"/>
      <c r="H21" s="743"/>
    </row>
    <row r="22" spans="2:8" ht="27.75" customHeight="1">
      <c r="B22" s="741" t="s">
        <v>1131</v>
      </c>
      <c r="C22" s="742"/>
      <c r="D22" s="742"/>
      <c r="E22" s="742"/>
      <c r="F22" s="742"/>
      <c r="G22" s="742"/>
      <c r="H22" s="743"/>
    </row>
    <row r="23" spans="2:8">
      <c r="B23" s="741" t="s">
        <v>1132</v>
      </c>
      <c r="C23" s="742"/>
      <c r="D23" s="742"/>
      <c r="E23" s="742"/>
      <c r="F23" s="742"/>
      <c r="G23" s="742"/>
      <c r="H23" s="743"/>
    </row>
    <row r="24" spans="2:8" ht="27.75" customHeight="1">
      <c r="B24" s="741" t="s">
        <v>1133</v>
      </c>
      <c r="C24" s="742"/>
      <c r="D24" s="742"/>
      <c r="E24" s="742"/>
      <c r="F24" s="742"/>
      <c r="G24" s="742"/>
      <c r="H24" s="743"/>
    </row>
    <row r="25" spans="2:8" ht="26.25" customHeight="1">
      <c r="B25" s="741" t="s">
        <v>1134</v>
      </c>
      <c r="C25" s="742"/>
      <c r="D25" s="742"/>
      <c r="E25" s="742"/>
      <c r="F25" s="742"/>
      <c r="G25" s="742"/>
      <c r="H25" s="743"/>
    </row>
    <row r="26" spans="2:8" ht="27" customHeight="1">
      <c r="B26" s="741" t="s">
        <v>1135</v>
      </c>
      <c r="C26" s="742"/>
      <c r="D26" s="742"/>
      <c r="E26" s="742"/>
      <c r="F26" s="742"/>
      <c r="G26" s="742"/>
      <c r="H26" s="743"/>
    </row>
    <row r="27" spans="2:8">
      <c r="B27" s="741" t="s">
        <v>1136</v>
      </c>
      <c r="C27" s="742"/>
      <c r="D27" s="742"/>
      <c r="E27" s="742"/>
      <c r="F27" s="742"/>
      <c r="G27" s="742"/>
      <c r="H27" s="743"/>
    </row>
    <row r="28" spans="2:8" ht="20.25" customHeight="1" thickBot="1">
      <c r="B28" s="744" t="s">
        <v>1137</v>
      </c>
      <c r="C28" s="745"/>
      <c r="D28" s="745"/>
      <c r="E28" s="745"/>
      <c r="F28" s="745"/>
      <c r="G28" s="745"/>
      <c r="H28" s="746"/>
    </row>
    <row r="30" spans="2:8">
      <c r="B30" s="747" t="s">
        <v>1138</v>
      </c>
      <c r="C30" s="747"/>
      <c r="D30" s="747"/>
      <c r="E30" s="747"/>
      <c r="F30" s="747"/>
      <c r="G30" s="747"/>
      <c r="H30" s="747"/>
    </row>
    <row r="31" spans="2:8">
      <c r="B31" s="476" t="s">
        <v>1139</v>
      </c>
      <c r="C31" s="748" t="s">
        <v>1140</v>
      </c>
      <c r="D31" s="748"/>
      <c r="E31" s="748"/>
      <c r="F31" s="748"/>
      <c r="G31" s="748"/>
      <c r="H31" s="748"/>
    </row>
    <row r="32" spans="2:8">
      <c r="B32" s="477" t="s">
        <v>1141</v>
      </c>
      <c r="C32" s="740" t="s">
        <v>1142</v>
      </c>
      <c r="D32" s="740"/>
      <c r="E32" s="740"/>
      <c r="F32" s="740"/>
      <c r="G32" s="740"/>
      <c r="H32" s="740"/>
    </row>
    <row r="33" spans="2:8">
      <c r="B33" s="477" t="s">
        <v>1143</v>
      </c>
      <c r="C33" s="740" t="s">
        <v>1144</v>
      </c>
      <c r="D33" s="740"/>
      <c r="E33" s="740"/>
      <c r="F33" s="740"/>
      <c r="G33" s="740"/>
      <c r="H33" s="740"/>
    </row>
    <row r="34" spans="2:8" ht="25.5">
      <c r="B34" s="477" t="s">
        <v>1145</v>
      </c>
      <c r="C34" s="740" t="s">
        <v>1146</v>
      </c>
      <c r="D34" s="740"/>
      <c r="E34" s="740"/>
      <c r="F34" s="740"/>
      <c r="G34" s="740"/>
      <c r="H34" s="740"/>
    </row>
    <row r="35" spans="2:8">
      <c r="B35" s="477" t="s">
        <v>1147</v>
      </c>
      <c r="C35" s="740" t="s">
        <v>1148</v>
      </c>
      <c r="D35" s="740"/>
      <c r="E35" s="740"/>
      <c r="F35" s="740"/>
      <c r="G35" s="740"/>
      <c r="H35" s="740"/>
    </row>
    <row r="36" spans="2:8">
      <c r="B36" s="477" t="s">
        <v>1149</v>
      </c>
      <c r="C36" s="740" t="s">
        <v>1150</v>
      </c>
      <c r="D36" s="740"/>
      <c r="E36" s="740"/>
      <c r="F36" s="740"/>
      <c r="G36" s="740"/>
      <c r="H36" s="740"/>
    </row>
    <row r="37" spans="2:8">
      <c r="B37" s="477" t="s">
        <v>1151</v>
      </c>
      <c r="C37" s="740" t="s">
        <v>1152</v>
      </c>
      <c r="D37" s="740"/>
      <c r="E37" s="740"/>
      <c r="F37" s="740"/>
      <c r="G37" s="740"/>
      <c r="H37" s="740"/>
    </row>
    <row r="38" spans="2:8">
      <c r="B38" s="477" t="s">
        <v>1153</v>
      </c>
      <c r="C38" s="740" t="s">
        <v>1154</v>
      </c>
      <c r="D38" s="740"/>
      <c r="E38" s="740"/>
      <c r="F38" s="740"/>
      <c r="G38" s="740"/>
      <c r="H38" s="740"/>
    </row>
    <row r="39" spans="2:8">
      <c r="B39" s="477" t="s">
        <v>1155</v>
      </c>
      <c r="C39" s="740" t="s">
        <v>1156</v>
      </c>
      <c r="D39" s="740"/>
      <c r="E39" s="740"/>
      <c r="F39" s="740"/>
      <c r="G39" s="740"/>
      <c r="H39" s="740"/>
    </row>
    <row r="40" spans="2:8">
      <c r="B40" s="477" t="s">
        <v>1157</v>
      </c>
      <c r="C40" s="740" t="s">
        <v>1158</v>
      </c>
      <c r="D40" s="740"/>
      <c r="E40" s="740"/>
      <c r="F40" s="740"/>
      <c r="G40" s="740"/>
      <c r="H40" s="740"/>
    </row>
    <row r="41" spans="2:8">
      <c r="B41" s="477" t="s">
        <v>1159</v>
      </c>
      <c r="C41" s="740" t="s">
        <v>1160</v>
      </c>
      <c r="D41" s="740"/>
      <c r="E41" s="740"/>
      <c r="F41" s="740"/>
      <c r="G41" s="740"/>
      <c r="H41" s="740"/>
    </row>
    <row r="42" spans="2:8" ht="25.5">
      <c r="B42" s="477" t="s">
        <v>1161</v>
      </c>
      <c r="C42" s="740" t="s">
        <v>1162</v>
      </c>
      <c r="D42" s="740"/>
      <c r="E42" s="740"/>
      <c r="F42" s="740"/>
      <c r="G42" s="740"/>
      <c r="H42" s="740"/>
    </row>
    <row r="43" spans="2:8" ht="25.5">
      <c r="B43" s="477" t="s">
        <v>1163</v>
      </c>
      <c r="C43" s="740" t="s">
        <v>1164</v>
      </c>
      <c r="D43" s="740"/>
      <c r="E43" s="740"/>
      <c r="F43" s="740"/>
      <c r="G43" s="740"/>
      <c r="H43" s="740"/>
    </row>
    <row r="44" spans="2:8">
      <c r="B44" s="477" t="s">
        <v>1165</v>
      </c>
      <c r="C44" s="740" t="s">
        <v>1166</v>
      </c>
      <c r="D44" s="740"/>
      <c r="E44" s="740"/>
      <c r="F44" s="740"/>
      <c r="G44" s="740"/>
      <c r="H44" s="740"/>
    </row>
    <row r="45" spans="2:8">
      <c r="B45" s="477" t="s">
        <v>1167</v>
      </c>
      <c r="C45" s="740" t="s">
        <v>1168</v>
      </c>
      <c r="D45" s="740"/>
      <c r="E45" s="740"/>
      <c r="F45" s="740"/>
      <c r="G45" s="740"/>
      <c r="H45" s="740"/>
    </row>
    <row r="46" spans="2:8">
      <c r="B46" s="477" t="s">
        <v>1169</v>
      </c>
      <c r="C46" s="740" t="s">
        <v>1170</v>
      </c>
      <c r="D46" s="740"/>
      <c r="E46" s="740"/>
      <c r="F46" s="740"/>
      <c r="G46" s="740"/>
      <c r="H46" s="740"/>
    </row>
    <row r="47" spans="2:8">
      <c r="B47" s="477" t="s">
        <v>1171</v>
      </c>
      <c r="C47" s="740" t="s">
        <v>1172</v>
      </c>
      <c r="D47" s="740"/>
      <c r="E47" s="740"/>
      <c r="F47" s="740"/>
      <c r="G47" s="740"/>
      <c r="H47" s="740"/>
    </row>
    <row r="48" spans="2:8">
      <c r="B48" s="477" t="s">
        <v>1173</v>
      </c>
      <c r="C48" s="740" t="s">
        <v>1174</v>
      </c>
      <c r="D48" s="740"/>
      <c r="E48" s="740"/>
      <c r="F48" s="740"/>
      <c r="G48" s="740"/>
      <c r="H48" s="740"/>
    </row>
    <row r="49" spans="2:8">
      <c r="B49" s="477" t="s">
        <v>1175</v>
      </c>
      <c r="C49" s="740" t="s">
        <v>1176</v>
      </c>
      <c r="D49" s="740"/>
      <c r="E49" s="740"/>
      <c r="F49" s="740"/>
      <c r="G49" s="740"/>
      <c r="H49" s="740"/>
    </row>
    <row r="50" spans="2:8">
      <c r="B50" s="477" t="s">
        <v>1177</v>
      </c>
      <c r="C50" s="740" t="s">
        <v>1178</v>
      </c>
      <c r="D50" s="740"/>
      <c r="E50" s="740"/>
      <c r="F50" s="740"/>
      <c r="G50" s="740"/>
      <c r="H50" s="740"/>
    </row>
    <row r="51" spans="2:8">
      <c r="B51" s="477" t="s">
        <v>546</v>
      </c>
      <c r="C51" s="740" t="s">
        <v>1179</v>
      </c>
      <c r="D51" s="740"/>
      <c r="E51" s="740"/>
      <c r="F51" s="740"/>
      <c r="G51" s="740"/>
      <c r="H51" s="740"/>
    </row>
    <row r="52" spans="2:8">
      <c r="B52" s="477" t="s">
        <v>1180</v>
      </c>
      <c r="C52" s="740" t="s">
        <v>1181</v>
      </c>
      <c r="D52" s="740"/>
      <c r="E52" s="740"/>
      <c r="F52" s="740"/>
      <c r="G52" s="740"/>
      <c r="H52" s="740"/>
    </row>
    <row r="53" spans="2:8">
      <c r="B53" s="477" t="s">
        <v>1182</v>
      </c>
      <c r="C53" s="740" t="s">
        <v>1183</v>
      </c>
      <c r="D53" s="740"/>
      <c r="E53" s="740"/>
      <c r="F53" s="740"/>
      <c r="G53" s="740"/>
      <c r="H53" s="740"/>
    </row>
    <row r="54" spans="2:8">
      <c r="B54" s="477" t="s">
        <v>1184</v>
      </c>
      <c r="C54" s="740" t="s">
        <v>1185</v>
      </c>
      <c r="D54" s="740"/>
      <c r="E54" s="740"/>
      <c r="F54" s="740"/>
      <c r="G54" s="740"/>
      <c r="H54" s="740"/>
    </row>
    <row r="55" spans="2:8">
      <c r="B55" s="477" t="s">
        <v>1186</v>
      </c>
      <c r="C55" s="740" t="s">
        <v>1187</v>
      </c>
      <c r="D55" s="740"/>
      <c r="E55" s="740"/>
      <c r="F55" s="740"/>
      <c r="G55" s="740"/>
      <c r="H55" s="740"/>
    </row>
    <row r="56" spans="2:8">
      <c r="B56" s="477" t="s">
        <v>1188</v>
      </c>
      <c r="C56" s="740" t="s">
        <v>1189</v>
      </c>
      <c r="D56" s="740"/>
      <c r="E56" s="740"/>
      <c r="F56" s="740"/>
      <c r="G56" s="740"/>
      <c r="H56" s="740"/>
    </row>
    <row r="57" spans="2:8">
      <c r="B57" s="477" t="s">
        <v>1190</v>
      </c>
      <c r="C57" s="740" t="s">
        <v>1191</v>
      </c>
      <c r="D57" s="740"/>
      <c r="E57" s="740"/>
      <c r="F57" s="740"/>
      <c r="G57" s="740"/>
      <c r="H57" s="740"/>
    </row>
    <row r="58" spans="2:8">
      <c r="B58" s="477" t="s">
        <v>1192</v>
      </c>
      <c r="C58" s="740" t="s">
        <v>1193</v>
      </c>
      <c r="D58" s="740"/>
      <c r="E58" s="740"/>
      <c r="F58" s="740"/>
      <c r="G58" s="740"/>
      <c r="H58" s="740"/>
    </row>
    <row r="59" spans="2:8">
      <c r="B59" s="477" t="s">
        <v>1194</v>
      </c>
      <c r="C59" s="740" t="s">
        <v>1195</v>
      </c>
      <c r="D59" s="740"/>
      <c r="E59" s="740"/>
      <c r="F59" s="740"/>
      <c r="G59" s="740"/>
      <c r="H59" s="740"/>
    </row>
    <row r="60" spans="2:8">
      <c r="B60" s="477" t="s">
        <v>1196</v>
      </c>
      <c r="C60" s="740" t="s">
        <v>1197</v>
      </c>
      <c r="D60" s="740"/>
      <c r="E60" s="740"/>
      <c r="F60" s="740"/>
      <c r="G60" s="740"/>
      <c r="H60" s="740"/>
    </row>
    <row r="61" spans="2:8">
      <c r="B61" s="477" t="s">
        <v>1198</v>
      </c>
      <c r="C61" s="740" t="s">
        <v>1199</v>
      </c>
      <c r="D61" s="740"/>
      <c r="E61" s="740"/>
      <c r="F61" s="740"/>
      <c r="G61" s="740"/>
      <c r="H61" s="740"/>
    </row>
  </sheetData>
  <mergeCells count="42">
    <mergeCell ref="B24:H24"/>
    <mergeCell ref="B19:H19"/>
    <mergeCell ref="B20:H20"/>
    <mergeCell ref="B21:H21"/>
    <mergeCell ref="B22:H22"/>
    <mergeCell ref="B23:H23"/>
    <mergeCell ref="C37:H37"/>
    <mergeCell ref="B25:H25"/>
    <mergeCell ref="B26:H26"/>
    <mergeCell ref="B27:H27"/>
    <mergeCell ref="B28:H28"/>
    <mergeCell ref="B30:H30"/>
    <mergeCell ref="C31:H31"/>
    <mergeCell ref="C32:H32"/>
    <mergeCell ref="C33:H33"/>
    <mergeCell ref="C34:H34"/>
    <mergeCell ref="C35:H35"/>
    <mergeCell ref="C36:H36"/>
    <mergeCell ref="C49:H49"/>
    <mergeCell ref="C38:H38"/>
    <mergeCell ref="C39:H39"/>
    <mergeCell ref="C40:H40"/>
    <mergeCell ref="C41:H41"/>
    <mergeCell ref="C42:H42"/>
    <mergeCell ref="C43:H43"/>
    <mergeCell ref="C44:H44"/>
    <mergeCell ref="C45:H45"/>
    <mergeCell ref="C46:H46"/>
    <mergeCell ref="C47:H47"/>
    <mergeCell ref="C48:H48"/>
    <mergeCell ref="C61:H61"/>
    <mergeCell ref="C50:H50"/>
    <mergeCell ref="C51:H51"/>
    <mergeCell ref="C52:H52"/>
    <mergeCell ref="C53:H53"/>
    <mergeCell ref="C54:H54"/>
    <mergeCell ref="C55:H55"/>
    <mergeCell ref="C56:H56"/>
    <mergeCell ref="C57:H57"/>
    <mergeCell ref="C58:H58"/>
    <mergeCell ref="C59:H59"/>
    <mergeCell ref="C60:H60"/>
  </mergeCells>
  <pageMargins left="0.7" right="0.7" top="0.75" bottom="0.75" header="0.3" footer="0.3"/>
  <pageSetup scale="55" orientation="landscape" r:id="rId1"/>
  <headerFooter>
    <oddHeader>&amp;C&amp;"Arial,Regular"&amp;14Reliability Critical Items List</oddHead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56887-94F0-4A24-8842-4A74BE7F2F53}">
  <sheetPr>
    <tabColor rgb="FF373737"/>
  </sheetPr>
  <dimension ref="B2:E13"/>
  <sheetViews>
    <sheetView view="pageLayout" zoomScaleNormal="100" workbookViewId="0">
      <selection activeCell="I10" sqref="I10"/>
    </sheetView>
  </sheetViews>
  <sheetFormatPr defaultRowHeight="14.25"/>
  <cols>
    <col min="1" max="1" width="9.140625" style="355"/>
    <col min="2" max="2" width="29.28515625" style="355" customWidth="1"/>
    <col min="3" max="3" width="24.5703125" style="355" customWidth="1"/>
    <col min="4" max="4" width="13.7109375" style="355" customWidth="1"/>
    <col min="5" max="5" width="20.28515625" style="355" customWidth="1"/>
    <col min="6" max="16384" width="9.140625" style="355"/>
  </cols>
  <sheetData>
    <row r="2" spans="2:5" ht="28.5">
      <c r="B2" s="503" t="s">
        <v>1208</v>
      </c>
      <c r="C2" s="503" t="s">
        <v>1209</v>
      </c>
      <c r="D2" s="504" t="s">
        <v>1210</v>
      </c>
      <c r="E2" s="503" t="s">
        <v>1211</v>
      </c>
    </row>
    <row r="3" spans="2:5">
      <c r="B3" s="424" t="s">
        <v>1212</v>
      </c>
      <c r="C3" s="398">
        <f>0.0025</f>
        <v>2.5000000000000001E-3</v>
      </c>
      <c r="D3" s="398">
        <f>1</f>
        <v>1</v>
      </c>
      <c r="E3" s="398">
        <f>C3*D3</f>
        <v>2.5000000000000001E-3</v>
      </c>
    </row>
    <row r="4" spans="2:5">
      <c r="B4" s="424" t="s">
        <v>1213</v>
      </c>
      <c r="C4" s="398">
        <f>0.00009</f>
        <v>9.0000000000000006E-5</v>
      </c>
      <c r="D4" s="398">
        <f>1</f>
        <v>1</v>
      </c>
      <c r="E4" s="398">
        <f t="shared" ref="E4:E12" si="0">C4*D4</f>
        <v>9.0000000000000006E-5</v>
      </c>
    </row>
    <row r="5" spans="2:5">
      <c r="B5" s="424" t="s">
        <v>1214</v>
      </c>
      <c r="C5" s="398">
        <f>0.00009</f>
        <v>9.0000000000000006E-5</v>
      </c>
      <c r="D5" s="398">
        <f>1</f>
        <v>1</v>
      </c>
      <c r="E5" s="398">
        <f t="shared" si="0"/>
        <v>9.0000000000000006E-5</v>
      </c>
    </row>
    <row r="6" spans="2:5">
      <c r="B6" s="424" t="s">
        <v>1215</v>
      </c>
      <c r="C6" s="398">
        <f>0.0025</f>
        <v>2.5000000000000001E-3</v>
      </c>
      <c r="D6" s="398">
        <f>3</f>
        <v>3</v>
      </c>
      <c r="E6" s="398">
        <f t="shared" si="0"/>
        <v>7.4999999999999997E-3</v>
      </c>
    </row>
    <row r="7" spans="2:5">
      <c r="B7" s="424" t="s">
        <v>1216</v>
      </c>
      <c r="C7" s="398">
        <f>0.00022</f>
        <v>2.2000000000000001E-4</v>
      </c>
      <c r="D7" s="398">
        <f>3</f>
        <v>3</v>
      </c>
      <c r="E7" s="398">
        <f t="shared" si="0"/>
        <v>6.6E-4</v>
      </c>
    </row>
    <row r="8" spans="2:5">
      <c r="B8" s="424" t="s">
        <v>1217</v>
      </c>
      <c r="C8" s="398">
        <f>0.00017</f>
        <v>1.7000000000000001E-4</v>
      </c>
      <c r="D8" s="398">
        <f>3</f>
        <v>3</v>
      </c>
      <c r="E8" s="398">
        <f t="shared" si="0"/>
        <v>5.1000000000000004E-4</v>
      </c>
    </row>
    <row r="9" spans="2:5">
      <c r="B9" s="424" t="s">
        <v>1218</v>
      </c>
      <c r="C9" s="398">
        <f>0.00017</f>
        <v>1.7000000000000001E-4</v>
      </c>
      <c r="D9" s="398">
        <f>1</f>
        <v>1</v>
      </c>
      <c r="E9" s="398">
        <f t="shared" si="0"/>
        <v>1.7000000000000001E-4</v>
      </c>
    </row>
    <row r="10" spans="2:5">
      <c r="B10" s="424" t="s">
        <v>1219</v>
      </c>
      <c r="C10" s="398">
        <f>0.00017</f>
        <v>1.7000000000000001E-4</v>
      </c>
      <c r="D10" s="398">
        <f>1</f>
        <v>1</v>
      </c>
      <c r="E10" s="398">
        <f t="shared" si="0"/>
        <v>1.7000000000000001E-4</v>
      </c>
    </row>
    <row r="11" spans="2:5">
      <c r="B11" s="424" t="s">
        <v>1220</v>
      </c>
      <c r="C11" s="398">
        <f>0.0025</f>
        <v>2.5000000000000001E-3</v>
      </c>
      <c r="D11" s="398">
        <f>1</f>
        <v>1</v>
      </c>
      <c r="E11" s="398">
        <f t="shared" si="0"/>
        <v>2.5000000000000001E-3</v>
      </c>
    </row>
    <row r="12" spans="2:5">
      <c r="B12" s="424" t="s">
        <v>1221</v>
      </c>
      <c r="C12" s="398">
        <f>0.00025</f>
        <v>2.5000000000000001E-4</v>
      </c>
      <c r="D12" s="398">
        <f>1</f>
        <v>1</v>
      </c>
      <c r="E12" s="398">
        <f t="shared" si="0"/>
        <v>2.5000000000000001E-4</v>
      </c>
    </row>
    <row r="13" spans="2:5" ht="15" thickBot="1">
      <c r="D13" s="368" t="s">
        <v>385</v>
      </c>
      <c r="E13" s="505">
        <f>SUM(E3:E12)</f>
        <v>1.444E-2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52</vt:i4>
      </vt:variant>
      <vt:variant>
        <vt:lpstr>Named Ranges</vt:lpstr>
      </vt:variant>
      <vt:variant>
        <vt:i4>6</vt:i4>
      </vt:variant>
    </vt:vector>
  </HeadingPairs>
  <TitlesOfParts>
    <vt:vector size="58" baseType="lpstr">
      <vt:lpstr>DFR Responsibilties  (2)</vt:lpstr>
      <vt:lpstr>DFR Responsibilties </vt:lpstr>
      <vt:lpstr>Reliasoft</vt:lpstr>
      <vt:lpstr>Fractional Failures</vt:lpstr>
      <vt:lpstr>Simulation worksheet</vt:lpstr>
      <vt:lpstr>XFMEA</vt:lpstr>
      <vt:lpstr>LCC</vt:lpstr>
      <vt:lpstr>Generating random numbers</vt:lpstr>
      <vt:lpstr>Median Rank Calculations</vt:lpstr>
      <vt:lpstr>Analyze data wo suspension</vt:lpstr>
      <vt:lpstr>RGA</vt:lpstr>
      <vt:lpstr>Benefit of HALT</vt:lpstr>
      <vt:lpstr>Lambda Predict</vt:lpstr>
      <vt:lpstr>Equation Fit Solver</vt:lpstr>
      <vt:lpstr>ANOVA</vt:lpstr>
      <vt:lpstr>Elements of Reliability</vt:lpstr>
      <vt:lpstr>Reliability Physics Approach</vt:lpstr>
      <vt:lpstr>Reliability allocation 338</vt:lpstr>
      <vt:lpstr>Reliability cost Model</vt:lpstr>
      <vt:lpstr>Relaibility allocation Feasibil</vt:lpstr>
      <vt:lpstr>Straight line statistics</vt:lpstr>
      <vt:lpstr>Straight line Fit</vt:lpstr>
      <vt:lpstr>Reliasoft DOE</vt:lpstr>
      <vt:lpstr>PSRT</vt:lpstr>
      <vt:lpstr>Answer Report 2</vt:lpstr>
      <vt:lpstr>Non-Linear Optimization </vt:lpstr>
      <vt:lpstr>Answer Report 1</vt:lpstr>
      <vt:lpstr>Linear Optimization</vt:lpstr>
      <vt:lpstr>Answer Report 3</vt:lpstr>
      <vt:lpstr>Non-linear optimization II</vt:lpstr>
      <vt:lpstr>Benefits reliability prediction</vt:lpstr>
      <vt:lpstr>Matrix Operations</vt:lpstr>
      <vt:lpstr>Binomial Distribution model</vt:lpstr>
      <vt:lpstr>Active Standby Model</vt:lpstr>
      <vt:lpstr>Life Cycle</vt:lpstr>
      <vt:lpstr>Medical Device LCC</vt:lpstr>
      <vt:lpstr>Medical Device LCC (2)</vt:lpstr>
      <vt:lpstr>IRR</vt:lpstr>
      <vt:lpstr>Reliability Model &amp; Costs (2)</vt:lpstr>
      <vt:lpstr>Reliability Model &amp; Costs</vt:lpstr>
      <vt:lpstr>Financial Impact of Supplier</vt:lpstr>
      <vt:lpstr>Reliability Capital Investment</vt:lpstr>
      <vt:lpstr>DFR Survey Score</vt:lpstr>
      <vt:lpstr>Optimum overhaul</vt:lpstr>
      <vt:lpstr>Non-failure rate DPMO</vt:lpstr>
      <vt:lpstr>Logarithmic Plot</vt:lpstr>
      <vt:lpstr>Supplier Qualification Matrix</vt:lpstr>
      <vt:lpstr>Reliability Improvement Program</vt:lpstr>
      <vt:lpstr>Risk Management Activity</vt:lpstr>
      <vt:lpstr>Bacteria concentration</vt:lpstr>
      <vt:lpstr>Reliability critical items list</vt:lpstr>
      <vt:lpstr>Wind Turbine Failure Rate</vt:lpstr>
      <vt:lpstr>'Reliability Model &amp; Costs (2)'!SystemA</vt:lpstr>
      <vt:lpstr>SystemA</vt:lpstr>
      <vt:lpstr>'Reliability Model &amp; Costs (2)'!SystemB</vt:lpstr>
      <vt:lpstr>SystemB</vt:lpstr>
      <vt:lpstr>'Reliability Model &amp; Costs (2)'!SystemC</vt:lpstr>
      <vt:lpstr>SystemC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Kashif (GE Oil &amp; Gas)</dc:creator>
  <cp:lastModifiedBy>Kashif</cp:lastModifiedBy>
  <cp:lastPrinted>2019-03-14T20:17:11Z</cp:lastPrinted>
  <dcterms:created xsi:type="dcterms:W3CDTF">2016-12-13T14:06:30Z</dcterms:created>
  <dcterms:modified xsi:type="dcterms:W3CDTF">2021-02-10T04:19:36Z</dcterms:modified>
</cp:coreProperties>
</file>