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kota/Documents/apps/AutomaticCalfFeeder/"/>
    </mc:Choice>
  </mc:AlternateContent>
  <bookViews>
    <workbookView xWindow="-35500" yWindow="1040" windowWidth="24960" windowHeight="14740" tabRatio="500" activeTab="1"/>
  </bookViews>
  <sheets>
    <sheet name="survey_data" sheetId="1" r:id="rId1"/>
    <sheet name="question_key" sheetId="2" r:id="rId2"/>
  </sheets>
  <externalReferences>
    <externalReference r:id="rId3"/>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D3" i="1" l="1"/>
  <c r="BA3" i="1"/>
  <c r="AS3" i="1"/>
  <c r="AX3" i="1"/>
  <c r="AJ46" i="1"/>
  <c r="AX46" i="1"/>
  <c r="AY46" i="1"/>
  <c r="AZ46" i="1"/>
  <c r="BA46" i="1"/>
  <c r="BB46" i="1"/>
  <c r="AO46" i="1"/>
  <c r="BC46" i="1"/>
  <c r="BD46" i="1"/>
  <c r="BE46" i="1"/>
  <c r="BF46" i="1"/>
  <c r="BG46" i="1"/>
  <c r="AV46" i="1"/>
  <c r="AU46" i="1"/>
  <c r="AT46" i="1"/>
  <c r="AS46" i="1"/>
  <c r="AA46" i="1"/>
  <c r="Q46" i="1"/>
  <c r="C46" i="1"/>
  <c r="D46" i="1"/>
  <c r="B46" i="1"/>
  <c r="AX45" i="1"/>
  <c r="AY45" i="1"/>
  <c r="AZ45" i="1"/>
  <c r="BA45" i="1"/>
  <c r="BB45" i="1"/>
  <c r="BC45" i="1"/>
  <c r="BD45" i="1"/>
  <c r="BE45" i="1"/>
  <c r="BF45" i="1"/>
  <c r="BG45" i="1"/>
  <c r="AV45" i="1"/>
  <c r="AU45" i="1"/>
  <c r="AT45" i="1"/>
  <c r="AS45" i="1"/>
  <c r="C45" i="1"/>
  <c r="D45" i="1"/>
  <c r="B45" i="1"/>
  <c r="BI44" i="1"/>
  <c r="AX44" i="1"/>
  <c r="AY44" i="1"/>
  <c r="AZ44" i="1"/>
  <c r="BA44" i="1"/>
  <c r="BB44" i="1"/>
  <c r="BC44" i="1"/>
  <c r="BD44" i="1"/>
  <c r="BE44" i="1"/>
  <c r="BF44" i="1"/>
  <c r="BG44" i="1"/>
  <c r="AV44" i="1"/>
  <c r="AU44" i="1"/>
  <c r="AT44" i="1"/>
  <c r="AS44" i="1"/>
  <c r="C44" i="1"/>
  <c r="D44" i="1"/>
  <c r="B44" i="1"/>
  <c r="AJ43" i="1"/>
  <c r="AX43" i="1"/>
  <c r="AK43" i="1"/>
  <c r="AY43" i="1"/>
  <c r="AL43" i="1"/>
  <c r="AZ43" i="1"/>
  <c r="AM43" i="1"/>
  <c r="BA43" i="1"/>
  <c r="AN43" i="1"/>
  <c r="BB43" i="1"/>
  <c r="AO43" i="1"/>
  <c r="BC43" i="1"/>
  <c r="AP43" i="1"/>
  <c r="BD43" i="1"/>
  <c r="AQ43" i="1"/>
  <c r="BE43" i="1"/>
  <c r="AR43" i="1"/>
  <c r="BF43" i="1"/>
  <c r="BG43" i="1"/>
  <c r="AV43" i="1"/>
  <c r="AU43" i="1"/>
  <c r="AT43" i="1"/>
  <c r="AS43" i="1"/>
  <c r="AA43" i="1"/>
  <c r="O43" i="1"/>
  <c r="C43" i="1"/>
  <c r="D43" i="1"/>
  <c r="B43" i="1"/>
  <c r="AX42" i="1"/>
  <c r="AY42" i="1"/>
  <c r="AZ42" i="1"/>
  <c r="BA42" i="1"/>
  <c r="BB42" i="1"/>
  <c r="BC42" i="1"/>
  <c r="BD42" i="1"/>
  <c r="BE42" i="1"/>
  <c r="BF42" i="1"/>
  <c r="BG42" i="1"/>
  <c r="AV42" i="1"/>
  <c r="AU42" i="1"/>
  <c r="AT42" i="1"/>
  <c r="AS42" i="1"/>
  <c r="C42" i="1"/>
  <c r="D42" i="1"/>
  <c r="B42" i="1"/>
  <c r="AJ41" i="1"/>
  <c r="AX41" i="1"/>
  <c r="AK41" i="1"/>
  <c r="AY41" i="1"/>
  <c r="AL41" i="1"/>
  <c r="AZ41" i="1"/>
  <c r="BA41" i="1"/>
  <c r="BB41" i="1"/>
  <c r="AO41" i="1"/>
  <c r="BC41" i="1"/>
  <c r="BD41" i="1"/>
  <c r="BE41" i="1"/>
  <c r="BF41" i="1"/>
  <c r="BG41" i="1"/>
  <c r="AV41" i="1"/>
  <c r="AU41" i="1"/>
  <c r="AT41" i="1"/>
  <c r="AS41" i="1"/>
  <c r="C41" i="1"/>
  <c r="D41" i="1"/>
  <c r="B41" i="1"/>
  <c r="AJ40" i="1"/>
  <c r="AX40" i="1"/>
  <c r="AY40" i="1"/>
  <c r="AL40" i="1"/>
  <c r="AZ40" i="1"/>
  <c r="BA40" i="1"/>
  <c r="AN40" i="1"/>
  <c r="BB40" i="1"/>
  <c r="AO40" i="1"/>
  <c r="BC40" i="1"/>
  <c r="AP40" i="1"/>
  <c r="BD40" i="1"/>
  <c r="BE40" i="1"/>
  <c r="AR40" i="1"/>
  <c r="BF40" i="1"/>
  <c r="BG40" i="1"/>
  <c r="AV40" i="1"/>
  <c r="AU40" i="1"/>
  <c r="AT40" i="1"/>
  <c r="AS40" i="1"/>
  <c r="C40" i="1"/>
  <c r="D40" i="1"/>
  <c r="B40" i="1"/>
  <c r="AX39" i="1"/>
  <c r="AY39" i="1"/>
  <c r="AZ39" i="1"/>
  <c r="BA39" i="1"/>
  <c r="BB39" i="1"/>
  <c r="BC39" i="1"/>
  <c r="BD39" i="1"/>
  <c r="BE39" i="1"/>
  <c r="BF39" i="1"/>
  <c r="BG39" i="1"/>
  <c r="AV39" i="1"/>
  <c r="AU39" i="1"/>
  <c r="AT39" i="1"/>
  <c r="AS39" i="1"/>
  <c r="AB39" i="1"/>
  <c r="AA39" i="1"/>
  <c r="C39" i="1"/>
  <c r="D39" i="1"/>
  <c r="B39" i="1"/>
  <c r="C38" i="1"/>
  <c r="D38" i="1"/>
  <c r="B38" i="1"/>
  <c r="C37" i="1"/>
  <c r="D37" i="1"/>
  <c r="B37" i="1"/>
  <c r="AJ36" i="1"/>
  <c r="AX36" i="1"/>
  <c r="AY36" i="1"/>
  <c r="C36" i="1"/>
  <c r="D36" i="1"/>
  <c r="AL36" i="1"/>
  <c r="AZ36" i="1"/>
  <c r="BG36" i="1"/>
  <c r="BF36" i="1"/>
  <c r="BE36" i="1"/>
  <c r="BD36" i="1"/>
  <c r="AO36" i="1"/>
  <c r="BC36" i="1"/>
  <c r="BB36" i="1"/>
  <c r="BA36" i="1"/>
  <c r="AV36" i="1"/>
  <c r="AU36" i="1"/>
  <c r="AT36" i="1"/>
  <c r="AS36" i="1"/>
  <c r="AA36" i="1"/>
  <c r="Q36" i="1"/>
  <c r="B36" i="1"/>
  <c r="AJ35" i="1"/>
  <c r="AX35" i="1"/>
  <c r="AY35" i="1"/>
  <c r="AL35" i="1"/>
  <c r="AZ35" i="1"/>
  <c r="BA35" i="1"/>
  <c r="BB35" i="1"/>
  <c r="AO35" i="1"/>
  <c r="BC35" i="1"/>
  <c r="AP35" i="1"/>
  <c r="BD35" i="1"/>
  <c r="BE35" i="1"/>
  <c r="BF35" i="1"/>
  <c r="BG35" i="1"/>
  <c r="AV35" i="1"/>
  <c r="AU35" i="1"/>
  <c r="AT35" i="1"/>
  <c r="AS35" i="1"/>
  <c r="C35" i="1"/>
  <c r="D35" i="1"/>
  <c r="B35" i="1"/>
  <c r="AJ34" i="1"/>
  <c r="AX34" i="1"/>
  <c r="AY34" i="1"/>
  <c r="AZ34" i="1"/>
  <c r="BA34" i="1"/>
  <c r="BB34" i="1"/>
  <c r="AO34" i="1"/>
  <c r="BC34" i="1"/>
  <c r="BD34" i="1"/>
  <c r="BE34" i="1"/>
  <c r="AR34" i="1"/>
  <c r="BF34" i="1"/>
  <c r="BG34" i="1"/>
  <c r="AV34" i="1"/>
  <c r="AU34" i="1"/>
  <c r="AT34" i="1"/>
  <c r="AS34" i="1"/>
  <c r="D34" i="1"/>
  <c r="AX33" i="1"/>
  <c r="AY33" i="1"/>
  <c r="AZ33" i="1"/>
  <c r="BA33" i="1"/>
  <c r="BB33" i="1"/>
  <c r="BC33" i="1"/>
  <c r="BD33" i="1"/>
  <c r="BE33" i="1"/>
  <c r="BF33" i="1"/>
  <c r="BG33" i="1"/>
  <c r="AV33" i="1"/>
  <c r="AU33" i="1"/>
  <c r="AT33" i="1"/>
  <c r="AS33" i="1"/>
  <c r="Q33" i="1"/>
  <c r="O33" i="1"/>
  <c r="C33" i="1"/>
  <c r="D33" i="1"/>
  <c r="B33" i="1"/>
  <c r="AX32" i="1"/>
  <c r="AY32" i="1"/>
  <c r="AZ32" i="1"/>
  <c r="BA32" i="1"/>
  <c r="BB32" i="1"/>
  <c r="AO32" i="1"/>
  <c r="BC32" i="1"/>
  <c r="BD32" i="1"/>
  <c r="BE32" i="1"/>
  <c r="AR32" i="1"/>
  <c r="BF32" i="1"/>
  <c r="BG32" i="1"/>
  <c r="AV32" i="1"/>
  <c r="AU32" i="1"/>
  <c r="AT32" i="1"/>
  <c r="AS32" i="1"/>
  <c r="AA32" i="1"/>
  <c r="O32" i="1"/>
  <c r="C32" i="1"/>
  <c r="D32" i="1"/>
  <c r="B32" i="1"/>
  <c r="AX31" i="1"/>
  <c r="AY31" i="1"/>
  <c r="AZ31" i="1"/>
  <c r="BA31" i="1"/>
  <c r="BB31" i="1"/>
  <c r="BC31" i="1"/>
  <c r="BD31" i="1"/>
  <c r="BE31" i="1"/>
  <c r="BF31" i="1"/>
  <c r="BG31" i="1"/>
  <c r="AV31" i="1"/>
  <c r="AU31" i="1"/>
  <c r="AT31" i="1"/>
  <c r="AS31" i="1"/>
  <c r="C31" i="1"/>
  <c r="D31" i="1"/>
  <c r="B31" i="1"/>
  <c r="AJ30" i="1"/>
  <c r="AX30" i="1"/>
  <c r="AY30" i="1"/>
  <c r="AZ30" i="1"/>
  <c r="BA30" i="1"/>
  <c r="AN30" i="1"/>
  <c r="BB30" i="1"/>
  <c r="BC30" i="1"/>
  <c r="BD30" i="1"/>
  <c r="AQ30" i="1"/>
  <c r="BE30" i="1"/>
  <c r="BF30" i="1"/>
  <c r="BG30" i="1"/>
  <c r="AV30" i="1"/>
  <c r="AU30" i="1"/>
  <c r="AT30" i="1"/>
  <c r="AS30" i="1"/>
  <c r="AA30" i="1"/>
  <c r="C30" i="1"/>
  <c r="D30" i="1"/>
  <c r="B30" i="1"/>
  <c r="AJ29" i="1"/>
  <c r="AX29" i="1"/>
  <c r="AK29" i="1"/>
  <c r="AY29" i="1"/>
  <c r="AZ29" i="1"/>
  <c r="BA29" i="1"/>
  <c r="BB29" i="1"/>
  <c r="AO29" i="1"/>
  <c r="BC29" i="1"/>
  <c r="BD29" i="1"/>
  <c r="BE29" i="1"/>
  <c r="BF29" i="1"/>
  <c r="BG29" i="1"/>
  <c r="AV29" i="1"/>
  <c r="AU29" i="1"/>
  <c r="AT29" i="1"/>
  <c r="AS29" i="1"/>
  <c r="Y29" i="1"/>
  <c r="C29" i="1"/>
  <c r="D29" i="1"/>
  <c r="B29" i="1"/>
  <c r="AX28" i="1"/>
  <c r="AY28" i="1"/>
  <c r="AL28" i="1"/>
  <c r="AZ28" i="1"/>
  <c r="BA28" i="1"/>
  <c r="BB28" i="1"/>
  <c r="BC28" i="1"/>
  <c r="BD28" i="1"/>
  <c r="BE28" i="1"/>
  <c r="BF28" i="1"/>
  <c r="BG28" i="1"/>
  <c r="AA28" i="1"/>
  <c r="Q28" i="1"/>
  <c r="O28" i="1"/>
  <c r="C28" i="1"/>
  <c r="D28" i="1"/>
  <c r="B28" i="1"/>
  <c r="AJ27" i="1"/>
  <c r="AX27" i="1"/>
  <c r="AK27" i="1"/>
  <c r="AY27" i="1"/>
  <c r="AL27" i="1"/>
  <c r="AZ27" i="1"/>
  <c r="AM27" i="1"/>
  <c r="BA27" i="1"/>
  <c r="AN27" i="1"/>
  <c r="BB27" i="1"/>
  <c r="AO27" i="1"/>
  <c r="BC27" i="1"/>
  <c r="AP27" i="1"/>
  <c r="BD27" i="1"/>
  <c r="AQ27" i="1"/>
  <c r="BE27" i="1"/>
  <c r="AR27" i="1"/>
  <c r="BF27" i="1"/>
  <c r="BG27" i="1"/>
  <c r="AV27" i="1"/>
  <c r="AU27" i="1"/>
  <c r="AT27" i="1"/>
  <c r="AS27" i="1"/>
  <c r="AA27" i="1"/>
  <c r="O27" i="1"/>
  <c r="C27" i="1"/>
  <c r="D27" i="1"/>
  <c r="B27" i="1"/>
  <c r="AJ26" i="1"/>
  <c r="AX26" i="1"/>
  <c r="AK26" i="1"/>
  <c r="AY26" i="1"/>
  <c r="AL26" i="1"/>
  <c r="AZ26" i="1"/>
  <c r="BA26" i="1"/>
  <c r="AN26" i="1"/>
  <c r="BB26" i="1"/>
  <c r="AO26" i="1"/>
  <c r="BC26" i="1"/>
  <c r="BD26" i="1"/>
  <c r="AQ26" i="1"/>
  <c r="BE26" i="1"/>
  <c r="AR26" i="1"/>
  <c r="BF26" i="1"/>
  <c r="BG26" i="1"/>
  <c r="AV26" i="1"/>
  <c r="AU26" i="1"/>
  <c r="AT26" i="1"/>
  <c r="AS26" i="1"/>
  <c r="C26" i="1"/>
  <c r="D26" i="1"/>
  <c r="B26" i="1"/>
  <c r="AJ25" i="1"/>
  <c r="AX25" i="1"/>
  <c r="AY25" i="1"/>
  <c r="AZ25" i="1"/>
  <c r="BA25" i="1"/>
  <c r="BB25" i="1"/>
  <c r="BC25" i="1"/>
  <c r="BD25" i="1"/>
  <c r="BE25" i="1"/>
  <c r="BF25" i="1"/>
  <c r="BG25" i="1"/>
  <c r="AV25" i="1"/>
  <c r="AU25" i="1"/>
  <c r="AT25" i="1"/>
  <c r="AS25" i="1"/>
  <c r="Q25" i="1"/>
  <c r="O25" i="1"/>
  <c r="C25" i="1"/>
  <c r="D25" i="1"/>
  <c r="B25" i="1"/>
  <c r="AJ24" i="1"/>
  <c r="AX24" i="1"/>
  <c r="AY24" i="1"/>
  <c r="AZ24" i="1"/>
  <c r="BA24" i="1"/>
  <c r="BB24" i="1"/>
  <c r="AO24" i="1"/>
  <c r="BC24" i="1"/>
  <c r="BD24" i="1"/>
  <c r="BE24" i="1"/>
  <c r="BF24" i="1"/>
  <c r="BG24" i="1"/>
  <c r="AV24" i="1"/>
  <c r="AU24" i="1"/>
  <c r="AT24" i="1"/>
  <c r="AS24" i="1"/>
  <c r="C24" i="1"/>
  <c r="D24" i="1"/>
  <c r="B24" i="1"/>
  <c r="O23" i="1"/>
  <c r="C23" i="1"/>
  <c r="D23" i="1"/>
  <c r="B23" i="1"/>
  <c r="O22" i="1"/>
  <c r="C22" i="1"/>
  <c r="D22" i="1"/>
  <c r="B22" i="1"/>
  <c r="AJ21" i="1"/>
  <c r="AX21" i="1"/>
  <c r="AY21" i="1"/>
  <c r="AZ21" i="1"/>
  <c r="BA21" i="1"/>
  <c r="BB21" i="1"/>
  <c r="AO21" i="1"/>
  <c r="BC21" i="1"/>
  <c r="BD21" i="1"/>
  <c r="BE21" i="1"/>
  <c r="AR21" i="1"/>
  <c r="BF21" i="1"/>
  <c r="BG21" i="1"/>
  <c r="AV21" i="1"/>
  <c r="AU21" i="1"/>
  <c r="AT21" i="1"/>
  <c r="AS21" i="1"/>
  <c r="AA21" i="1"/>
  <c r="C21" i="1"/>
  <c r="D21" i="1"/>
  <c r="B21" i="1"/>
  <c r="AX20" i="1"/>
  <c r="AY20" i="1"/>
  <c r="AZ20" i="1"/>
  <c r="BA20" i="1"/>
  <c r="BB20" i="1"/>
  <c r="BC20" i="1"/>
  <c r="BD20" i="1"/>
  <c r="BE20" i="1"/>
  <c r="BF20" i="1"/>
  <c r="BG20" i="1"/>
  <c r="AV20" i="1"/>
  <c r="AU20" i="1"/>
  <c r="AT20" i="1"/>
  <c r="AS20" i="1"/>
  <c r="C20" i="1"/>
  <c r="D20" i="1"/>
  <c r="B20" i="1"/>
  <c r="AJ19" i="1"/>
  <c r="AX19" i="1"/>
  <c r="AK19" i="1"/>
  <c r="AY19" i="1"/>
  <c r="AZ19" i="1"/>
  <c r="BA19" i="1"/>
  <c r="BB19" i="1"/>
  <c r="AO19" i="1"/>
  <c r="BC19" i="1"/>
  <c r="BD19" i="1"/>
  <c r="BE19" i="1"/>
  <c r="BF19" i="1"/>
  <c r="BG19" i="1"/>
  <c r="AV19" i="1"/>
  <c r="AU19" i="1"/>
  <c r="AT19" i="1"/>
  <c r="AS19" i="1"/>
  <c r="AA19" i="1"/>
  <c r="C19" i="1"/>
  <c r="D19" i="1"/>
  <c r="B19" i="1"/>
  <c r="AJ18" i="1"/>
  <c r="AX18" i="1"/>
  <c r="AK18" i="1"/>
  <c r="AY18" i="1"/>
  <c r="AL18" i="1"/>
  <c r="AZ18" i="1"/>
  <c r="BA18" i="1"/>
  <c r="AN18" i="1"/>
  <c r="BB18" i="1"/>
  <c r="AO18" i="1"/>
  <c r="BC18" i="1"/>
  <c r="BD18" i="1"/>
  <c r="AQ18" i="1"/>
  <c r="BE18" i="1"/>
  <c r="BF18" i="1"/>
  <c r="BG18" i="1"/>
  <c r="AV18" i="1"/>
  <c r="AU18" i="1"/>
  <c r="AT18" i="1"/>
  <c r="AS18" i="1"/>
  <c r="AA18" i="1"/>
  <c r="C18" i="1"/>
  <c r="D18" i="1"/>
  <c r="B18" i="1"/>
  <c r="AX17" i="1"/>
  <c r="AY17" i="1"/>
  <c r="AZ17" i="1"/>
  <c r="BA17" i="1"/>
  <c r="BB17" i="1"/>
  <c r="BC17" i="1"/>
  <c r="BD17" i="1"/>
  <c r="BE17" i="1"/>
  <c r="BF17" i="1"/>
  <c r="BG17" i="1"/>
  <c r="AV17" i="1"/>
  <c r="AU17" i="1"/>
  <c r="AT17" i="1"/>
  <c r="AS17" i="1"/>
  <c r="C17" i="1"/>
  <c r="D17" i="1"/>
  <c r="B17" i="1"/>
  <c r="AJ16" i="1"/>
  <c r="AX16" i="1"/>
  <c r="AY16" i="1"/>
  <c r="AZ16" i="1"/>
  <c r="BA16" i="1"/>
  <c r="AN16" i="1"/>
  <c r="BB16" i="1"/>
  <c r="AO16" i="1"/>
  <c r="BC16" i="1"/>
  <c r="AP16" i="1"/>
  <c r="BD16" i="1"/>
  <c r="AQ16" i="1"/>
  <c r="BE16" i="1"/>
  <c r="BF16" i="1"/>
  <c r="BG16" i="1"/>
  <c r="AV16" i="1"/>
  <c r="AU16" i="1"/>
  <c r="AT16" i="1"/>
  <c r="AS16" i="1"/>
  <c r="C16" i="1"/>
  <c r="D16" i="1"/>
  <c r="B16" i="1"/>
  <c r="AX15" i="1"/>
  <c r="AY15" i="1"/>
  <c r="AZ15" i="1"/>
  <c r="BA15" i="1"/>
  <c r="BB15" i="1"/>
  <c r="BC15" i="1"/>
  <c r="BD15" i="1"/>
  <c r="BE15" i="1"/>
  <c r="BF15" i="1"/>
  <c r="BG15" i="1"/>
  <c r="AV15" i="1"/>
  <c r="AU15" i="1"/>
  <c r="AT15" i="1"/>
  <c r="AS15" i="1"/>
  <c r="AA15" i="1"/>
  <c r="O15" i="1"/>
  <c r="C15" i="1"/>
  <c r="D15" i="1"/>
  <c r="B15" i="1"/>
  <c r="AX14" i="1"/>
  <c r="AY14" i="1"/>
  <c r="AZ14" i="1"/>
  <c r="BA14" i="1"/>
  <c r="BB14" i="1"/>
  <c r="BC14" i="1"/>
  <c r="BD14" i="1"/>
  <c r="BE14" i="1"/>
  <c r="BF14" i="1"/>
  <c r="BG14" i="1"/>
  <c r="AV14" i="1"/>
  <c r="AU14" i="1"/>
  <c r="AT14" i="1"/>
  <c r="AS14" i="1"/>
  <c r="C14" i="1"/>
  <c r="D14" i="1"/>
  <c r="B14" i="1"/>
  <c r="AX13" i="1"/>
  <c r="AY13" i="1"/>
  <c r="AZ13" i="1"/>
  <c r="BA13" i="1"/>
  <c r="BB13" i="1"/>
  <c r="BC13" i="1"/>
  <c r="BD13" i="1"/>
  <c r="BE13" i="1"/>
  <c r="BF13" i="1"/>
  <c r="BG13" i="1"/>
  <c r="AV13" i="1"/>
  <c r="AU13" i="1"/>
  <c r="AT13" i="1"/>
  <c r="AS13" i="1"/>
  <c r="C13" i="1"/>
  <c r="D13" i="1"/>
  <c r="B13" i="1"/>
  <c r="AX12" i="1"/>
  <c r="AY12" i="1"/>
  <c r="AZ12" i="1"/>
  <c r="BA12" i="1"/>
  <c r="BB12" i="1"/>
  <c r="BC12" i="1"/>
  <c r="BD12" i="1"/>
  <c r="BE12" i="1"/>
  <c r="BF12" i="1"/>
  <c r="BG12" i="1"/>
  <c r="AV12" i="1"/>
  <c r="AU12" i="1"/>
  <c r="AT12" i="1"/>
  <c r="AS12" i="1"/>
  <c r="O12" i="1"/>
  <c r="C12" i="1"/>
  <c r="D12" i="1"/>
  <c r="B12" i="1"/>
  <c r="AJ11" i="1"/>
  <c r="AX11" i="1"/>
  <c r="C11" i="1"/>
  <c r="D11" i="1"/>
  <c r="AK11" i="1"/>
  <c r="AY11" i="1"/>
  <c r="BG11" i="1"/>
  <c r="BF11" i="1"/>
  <c r="BE11" i="1"/>
  <c r="BD11" i="1"/>
  <c r="AO11" i="1"/>
  <c r="BC11" i="1"/>
  <c r="BB11" i="1"/>
  <c r="BA11" i="1"/>
  <c r="AL11" i="1"/>
  <c r="AZ11" i="1"/>
  <c r="AV11" i="1"/>
  <c r="AU11" i="1"/>
  <c r="AT11" i="1"/>
  <c r="AS11" i="1"/>
  <c r="B11" i="1"/>
  <c r="AJ10" i="1"/>
  <c r="AX10" i="1"/>
  <c r="AY10" i="1"/>
  <c r="AZ10" i="1"/>
  <c r="BA10" i="1"/>
  <c r="BB10" i="1"/>
  <c r="BC10" i="1"/>
  <c r="BD10" i="1"/>
  <c r="BE10" i="1"/>
  <c r="BF10" i="1"/>
  <c r="BG10" i="1"/>
  <c r="AV10" i="1"/>
  <c r="AU10" i="1"/>
  <c r="AT10" i="1"/>
  <c r="AS10" i="1"/>
  <c r="C10" i="1"/>
  <c r="D10" i="1"/>
  <c r="B10" i="1"/>
  <c r="AX9" i="1"/>
  <c r="AY9" i="1"/>
  <c r="AZ9" i="1"/>
  <c r="BA9" i="1"/>
  <c r="BB9" i="1"/>
  <c r="BC9" i="1"/>
  <c r="BD9" i="1"/>
  <c r="BE9" i="1"/>
  <c r="BF9" i="1"/>
  <c r="BG9" i="1"/>
  <c r="AV9" i="1"/>
  <c r="AU9" i="1"/>
  <c r="AT9" i="1"/>
  <c r="AS9" i="1"/>
  <c r="AA9" i="1"/>
  <c r="O9" i="1"/>
  <c r="C9" i="1"/>
  <c r="D9" i="1"/>
  <c r="B9" i="1"/>
  <c r="AJ8" i="1"/>
  <c r="AX8" i="1"/>
  <c r="AY8" i="1"/>
  <c r="AL8" i="1"/>
  <c r="AZ8" i="1"/>
  <c r="BA8" i="1"/>
  <c r="AN8" i="1"/>
  <c r="BB8" i="1"/>
  <c r="AO8" i="1"/>
  <c r="BC8" i="1"/>
  <c r="AP8" i="1"/>
  <c r="BD8" i="1"/>
  <c r="BE8" i="1"/>
  <c r="AR8" i="1"/>
  <c r="BF8" i="1"/>
  <c r="BG8" i="1"/>
  <c r="AV8" i="1"/>
  <c r="AU8" i="1"/>
  <c r="AT8" i="1"/>
  <c r="AS8" i="1"/>
  <c r="C8" i="1"/>
  <c r="D8" i="1"/>
  <c r="B8" i="1"/>
  <c r="AJ7" i="1"/>
  <c r="AX7" i="1"/>
  <c r="AK7" i="1"/>
  <c r="AY7" i="1"/>
  <c r="AZ7" i="1"/>
  <c r="BA7" i="1"/>
  <c r="BB7" i="1"/>
  <c r="AO7" i="1"/>
  <c r="BC7" i="1"/>
  <c r="BD7" i="1"/>
  <c r="BE7" i="1"/>
  <c r="BF7" i="1"/>
  <c r="BG7" i="1"/>
  <c r="AV7" i="1"/>
  <c r="AU7" i="1"/>
  <c r="AT7" i="1"/>
  <c r="AS7" i="1"/>
  <c r="AA7" i="1"/>
  <c r="O7" i="1"/>
  <c r="C7" i="1"/>
  <c r="D7" i="1"/>
  <c r="B7" i="1"/>
  <c r="AX6" i="1"/>
  <c r="AY6" i="1"/>
  <c r="AL6" i="1"/>
  <c r="AZ6" i="1"/>
  <c r="AM6" i="1"/>
  <c r="H6" i="1"/>
  <c r="BA6" i="1"/>
  <c r="BB6" i="1"/>
  <c r="BC6" i="1"/>
  <c r="AP6" i="1"/>
  <c r="BD6" i="1"/>
  <c r="BE6" i="1"/>
  <c r="BF6" i="1"/>
  <c r="BG6" i="1"/>
  <c r="AV6" i="1"/>
  <c r="AU6" i="1"/>
  <c r="AT6" i="1"/>
  <c r="AS6" i="1"/>
  <c r="AD6" i="1"/>
  <c r="O6" i="1"/>
  <c r="C6" i="1"/>
  <c r="D6" i="1"/>
  <c r="B6" i="1"/>
  <c r="AJ5" i="1"/>
  <c r="AX5" i="1"/>
  <c r="AY5" i="1"/>
  <c r="AL5" i="1"/>
  <c r="AZ5" i="1"/>
  <c r="BA5" i="1"/>
  <c r="AN5" i="1"/>
  <c r="BB5" i="1"/>
  <c r="AO5" i="1"/>
  <c r="BC5" i="1"/>
  <c r="BD5" i="1"/>
  <c r="BE5" i="1"/>
  <c r="BF5" i="1"/>
  <c r="BG5" i="1"/>
  <c r="AV5" i="1"/>
  <c r="AU5" i="1"/>
  <c r="AT5" i="1"/>
  <c r="AS5" i="1"/>
  <c r="AF5" i="1"/>
  <c r="C5" i="1"/>
  <c r="D5" i="1"/>
  <c r="B5" i="1"/>
  <c r="AX4" i="1"/>
  <c r="AY4" i="1"/>
  <c r="AZ4" i="1"/>
  <c r="BA4" i="1"/>
  <c r="BB4" i="1"/>
  <c r="BC4" i="1"/>
  <c r="BD4" i="1"/>
  <c r="BE4" i="1"/>
  <c r="BF4" i="1"/>
  <c r="BG4" i="1"/>
  <c r="C4" i="1"/>
  <c r="D4" i="1"/>
  <c r="B4" i="1"/>
  <c r="AY3" i="1"/>
  <c r="AZ3" i="1"/>
  <c r="BB3" i="1"/>
  <c r="BC3" i="1"/>
  <c r="BE3" i="1"/>
  <c r="BF3" i="1"/>
  <c r="BG3" i="1"/>
  <c r="AV3" i="1"/>
  <c r="D3" i="1"/>
  <c r="AU3" i="1"/>
  <c r="AT3" i="1"/>
</calcChain>
</file>

<file path=xl/comments1.xml><?xml version="1.0" encoding="utf-8"?>
<comments xmlns="http://schemas.openxmlformats.org/spreadsheetml/2006/main">
  <authors>
    <author>William F Lazarus</author>
  </authors>
  <commentList>
    <comment ref="BI4" authorId="0">
      <text>
        <r>
          <rPr>
            <b/>
            <sz val="9"/>
            <color indexed="81"/>
            <rFont val="Tahoma"/>
            <family val="2"/>
          </rPr>
          <t>William F Lazarus:</t>
        </r>
        <r>
          <rPr>
            <sz val="9"/>
            <color indexed="81"/>
            <rFont val="Tahoma"/>
            <family val="2"/>
          </rPr>
          <t xml:space="preserve">
assumed
</t>
        </r>
      </text>
    </comment>
    <comment ref="J6" authorId="0">
      <text>
        <r>
          <rPr>
            <b/>
            <sz val="9"/>
            <color indexed="81"/>
            <rFont val="Tahoma"/>
            <family val="2"/>
          </rPr>
          <t>William F Lazarus:</t>
        </r>
        <r>
          <rPr>
            <sz val="9"/>
            <color indexed="81"/>
            <rFont val="Tahoma"/>
            <family val="2"/>
          </rPr>
          <t xml:space="preserve">
I wasn't sure what the second part of the note meant.</t>
        </r>
      </text>
    </comment>
    <comment ref="BI9" authorId="0">
      <text>
        <r>
          <rPr>
            <b/>
            <sz val="9"/>
            <color indexed="81"/>
            <rFont val="Tahoma"/>
            <family val="2"/>
          </rPr>
          <t>William F Lazarus:</t>
        </r>
        <r>
          <rPr>
            <sz val="9"/>
            <color indexed="81"/>
            <rFont val="Tahoma"/>
            <family val="2"/>
          </rPr>
          <t xml:space="preserve">
not filled out, assumed</t>
        </r>
      </text>
    </comment>
    <comment ref="BI10" authorId="0">
      <text>
        <r>
          <rPr>
            <b/>
            <sz val="9"/>
            <color indexed="81"/>
            <rFont val="Tahoma"/>
            <family val="2"/>
          </rPr>
          <t>William F Lazarus:</t>
        </r>
        <r>
          <rPr>
            <sz val="9"/>
            <color indexed="81"/>
            <rFont val="Tahoma"/>
            <family val="2"/>
          </rPr>
          <t xml:space="preserve">
not filled out, assumed</t>
        </r>
      </text>
    </comment>
    <comment ref="BI11" authorId="0">
      <text>
        <r>
          <rPr>
            <b/>
            <sz val="9"/>
            <color indexed="81"/>
            <rFont val="Tahoma"/>
            <family val="2"/>
          </rPr>
          <t>William F Lazarus:</t>
        </r>
        <r>
          <rPr>
            <sz val="9"/>
            <color indexed="81"/>
            <rFont val="Tahoma"/>
            <family val="2"/>
          </rPr>
          <t xml:space="preserve">
not filled out, assumed</t>
        </r>
      </text>
    </comment>
    <comment ref="S16" authorId="0">
      <text>
        <r>
          <rPr>
            <b/>
            <sz val="9"/>
            <color indexed="81"/>
            <rFont val="Tahoma"/>
            <family val="2"/>
          </rPr>
          <t>William F Lazarus:</t>
        </r>
        <r>
          <rPr>
            <sz val="9"/>
            <color indexed="81"/>
            <rFont val="Tahoma"/>
            <family val="2"/>
          </rPr>
          <t xml:space="preserve">
pen was in 4/12
medicator was 10/10</t>
        </r>
      </text>
    </comment>
    <comment ref="BI16" authorId="0">
      <text>
        <r>
          <rPr>
            <b/>
            <sz val="9"/>
            <color indexed="81"/>
            <rFont val="Tahoma"/>
            <family val="2"/>
          </rPr>
          <t>William F Lazarus:</t>
        </r>
        <r>
          <rPr>
            <sz val="9"/>
            <color indexed="81"/>
            <rFont val="Tahoma"/>
            <family val="2"/>
          </rPr>
          <t xml:space="preserve">
not filled out, assumed</t>
        </r>
      </text>
    </comment>
    <comment ref="S18" authorId="0">
      <text>
        <r>
          <rPr>
            <b/>
            <sz val="9"/>
            <color indexed="81"/>
            <rFont val="Tahoma"/>
            <family val="2"/>
          </rPr>
          <t>William F Lazarus:</t>
        </r>
        <r>
          <rPr>
            <sz val="9"/>
            <color indexed="81"/>
            <rFont val="Tahoma"/>
            <family val="2"/>
          </rPr>
          <t xml:space="preserve">
7/2012 &amp; 6/13</t>
        </r>
      </text>
    </comment>
    <comment ref="L24" authorId="0">
      <text>
        <r>
          <rPr>
            <b/>
            <sz val="9"/>
            <color indexed="81"/>
            <rFont val="Tahoma"/>
            <family val="2"/>
          </rPr>
          <t>William F Lazarus:</t>
        </r>
        <r>
          <rPr>
            <sz val="9"/>
            <color indexed="81"/>
            <rFont val="Tahoma"/>
            <family val="2"/>
          </rPr>
          <t xml:space="preserve">
The response was no, but they spent $540,000 for the building, so this should really be "yes".</t>
        </r>
      </text>
    </comment>
    <comment ref="AJ24" authorId="0">
      <text>
        <r>
          <rPr>
            <b/>
            <sz val="9"/>
            <color indexed="81"/>
            <rFont val="Tahoma"/>
            <family val="2"/>
          </rPr>
          <t>William F Lazarus:</t>
        </r>
        <r>
          <rPr>
            <sz val="9"/>
            <color indexed="81"/>
            <rFont val="Tahoma"/>
            <family val="2"/>
          </rPr>
          <t xml:space="preserve">
assume per calf</t>
        </r>
      </text>
    </comment>
    <comment ref="AL35" authorId="0">
      <text>
        <r>
          <rPr>
            <b/>
            <sz val="9"/>
            <color indexed="81"/>
            <rFont val="Tahoma"/>
            <family val="2"/>
          </rPr>
          <t>William F Lazarus:</t>
        </r>
        <r>
          <rPr>
            <sz val="9"/>
            <color indexed="81"/>
            <rFont val="Tahoma"/>
            <family val="2"/>
          </rPr>
          <t xml:space="preserve">
reported $25/day.  Divided by 50 calves and assumed 60 days on feeder</t>
        </r>
      </text>
    </comment>
    <comment ref="AO35" authorId="0">
      <text>
        <r>
          <rPr>
            <b/>
            <sz val="9"/>
            <color indexed="81"/>
            <rFont val="Tahoma"/>
            <family val="2"/>
          </rPr>
          <t>William F Lazarus:</t>
        </r>
        <r>
          <rPr>
            <sz val="9"/>
            <color indexed="81"/>
            <rFont val="Tahoma"/>
            <family val="2"/>
          </rPr>
          <t xml:space="preserve">
reported $25/day.  Divided by 50 calves and assumed 60 days on feeder</t>
        </r>
      </text>
    </comment>
    <comment ref="BI41" authorId="0">
      <text>
        <r>
          <rPr>
            <b/>
            <sz val="9"/>
            <color indexed="81"/>
            <rFont val="Tahoma"/>
            <family val="2"/>
          </rPr>
          <t>William F Lazarus:</t>
        </r>
        <r>
          <rPr>
            <sz val="9"/>
            <color indexed="81"/>
            <rFont val="Tahoma"/>
            <family val="2"/>
          </rPr>
          <t xml:space="preserve">
not filled out, assumed</t>
        </r>
      </text>
    </comment>
  </commentList>
</comments>
</file>

<file path=xl/sharedStrings.xml><?xml version="1.0" encoding="utf-8"?>
<sst xmlns="http://schemas.openxmlformats.org/spreadsheetml/2006/main" count="404" uniqueCount="152">
  <si>
    <t>Farm identification numbers from the questionnaires</t>
  </si>
  <si>
    <t>Days on feeder/group</t>
  </si>
  <si>
    <t>Days per turn including cleanup</t>
  </si>
  <si>
    <t>Turns/year</t>
  </si>
  <si>
    <t>What is the make and model of the feeder installed?</t>
  </si>
  <si>
    <t>How many calves are being fed with the feeder currently?</t>
  </si>
  <si>
    <t>Feeders now</t>
  </si>
  <si>
    <t>Feeders planned for the long run</t>
  </si>
  <si>
    <t>If the current number of calves is different from what you intend to feed over the long run, how many calves do you plan to feed with the feeder once those longer-run adjustments are completed?</t>
  </si>
  <si>
    <t>Did you need to make changes to a building to house the calves and feeder?</t>
  </si>
  <si>
    <t>If so, describe the changes to the building.  For example, did you remodel an existing building, or construct a new building?</t>
  </si>
  <si>
    <t>"r" = remodelled dairy barn, "n" = new building, "o" = other</t>
  </si>
  <si>
    <t>Initial investment required to get the feeder and group housing into operation</t>
  </si>
  <si>
    <t>How much did the automated calf feeder cost to purchase and install?</t>
  </si>
  <si>
    <t>How much did it cost for the building and any equipment other than the feeder itself that was required?</t>
  </si>
  <si>
    <t>Have you installed any major, additional features or add-ons to the feeder after the initial installation?</t>
  </si>
  <si>
    <t>If so, when did you install those features or add-ons?</t>
  </si>
  <si>
    <t>How much did the features or add-ons cost?</t>
  </si>
  <si>
    <t>What do you expect the useful life of the feeder to be (years)?</t>
  </si>
  <si>
    <t>If you expect the building changes to last longer than the feeder itself, what do you expect the useful life of the building to be?</t>
  </si>
  <si>
    <t>What do you expect the useful life of the features or add-ons to be, if less than the feeder itself (years)?</t>
  </si>
  <si>
    <t>Annual operating costs</t>
  </si>
  <si>
    <t>How much do routine feeder maintenance and repairs cost per year for the feeder, not including labor provided by the regular farm workforce?</t>
  </si>
  <si>
    <t>- for the building and any other equipment associated with the feeder?</t>
  </si>
  <si>
    <t>How much time does the regular farm workforce spend taking care of the calves and feeder per day? Hours</t>
  </si>
  <si>
    <t>How many hours did the farm's workers spend in the past year making repairs to feeder or doing other tasks apart from that regular daily care?</t>
  </si>
  <si>
    <t>Was last year typical of the time you have spent in previous years or that you expect to spend over the remaining years of the feeder life?  If not, how many hours do you think is typical?</t>
  </si>
  <si>
    <t>What cost or value do you place on the time spent by the farm's workers to care for the calves and the feeder including fringe benefits,  per hour?</t>
  </si>
  <si>
    <t>Value of the calves</t>
  </si>
  <si>
    <t>Mortality rate of calves while on the feeder, % of number entering</t>
  </si>
  <si>
    <t>Market value of a calf when placed on the feeder</t>
  </si>
  <si>
    <t>Market value of a calf when leaving the feeder</t>
  </si>
  <si>
    <t>Feed and supplies for the calves, apart from feeder maintenance and repairs</t>
  </si>
  <si>
    <t>Feed, $/day/hd</t>
  </si>
  <si>
    <t>Veterinary/vac., $/hd</t>
  </si>
  <si>
    <t>Supplies $/hd</t>
  </si>
  <si>
    <t>Fuel &amp; oil $/yr</t>
  </si>
  <si>
    <t>Utilities $/yr</t>
  </si>
  <si>
    <t>Bedding $/hd/day</t>
  </si>
  <si>
    <t>Building lease costs $/yr</t>
  </si>
  <si>
    <t>Farm insurance $/yr</t>
  </si>
  <si>
    <t>Miscellaneous $/yr</t>
  </si>
  <si>
    <t>Feed, $/yr</t>
  </si>
  <si>
    <t>Veterinary/vac., $/yr</t>
  </si>
  <si>
    <t>Supplies $/yr</t>
  </si>
  <si>
    <t>Bedding $/yr</t>
  </si>
  <si>
    <t>Feed, $/hd</t>
  </si>
  <si>
    <t>Fuel &amp; oil $/hd</t>
  </si>
  <si>
    <t>Utilities $/hd</t>
  </si>
  <si>
    <t>Bedding $/hd</t>
  </si>
  <si>
    <t>Building lease costs $/hd</t>
  </si>
  <si>
    <t>Farm insurance $/hd</t>
  </si>
  <si>
    <t>Miscellaneous $/hd</t>
  </si>
  <si>
    <t>Total operating costs $/hd w/o calf</t>
  </si>
  <si>
    <t>Note:  I will calculate depreciation (straight-line economic depreciation) and interest on average investment based on the useful lives entered above, and based on this interest rate.</t>
  </si>
  <si>
    <t>Urban U-40</t>
  </si>
  <si>
    <t>yes</t>
  </si>
  <si>
    <t>see q</t>
  </si>
  <si>
    <t>o</t>
  </si>
  <si>
    <t>no</t>
  </si>
  <si>
    <t>Delaval CF1000</t>
  </si>
  <si>
    <t>Lely Calm</t>
  </si>
  <si>
    <t>n</t>
  </si>
  <si>
    <t>D/CF1000</t>
  </si>
  <si>
    <t>medicator</t>
  </si>
  <si>
    <t>Lely</t>
  </si>
  <si>
    <t>Forester Technik DeLaval CF1000</t>
  </si>
  <si>
    <t>r</t>
  </si>
  <si>
    <t>DeLaval CF1000</t>
  </si>
  <si>
    <t>dry medicator</t>
  </si>
  <si>
    <t>added two more stations</t>
  </si>
  <si>
    <t>medical dispensers</t>
  </si>
  <si>
    <t>Surge</t>
  </si>
  <si>
    <t>add'l pen &amp; medicator</t>
  </si>
  <si>
    <t>milk repl ext &amp; medicator</t>
  </si>
  <si>
    <t>Westfalia Surge/Forester Tecknik</t>
  </si>
  <si>
    <t>dry/powder medicator</t>
  </si>
  <si>
    <t>powder medicator</t>
  </si>
  <si>
    <t>GEA</t>
  </si>
  <si>
    <t>Lely Combi</t>
  </si>
  <si>
    <t xml:space="preserve">n </t>
  </si>
  <si>
    <t>DeLaval 1000+</t>
  </si>
  <si>
    <t>powder supplement meter</t>
  </si>
  <si>
    <t>DeLaval CF 1000</t>
  </si>
  <si>
    <t>DeLaval CF 1000+</t>
  </si>
  <si>
    <t>small bulk tank, included with bldg above</t>
  </si>
  <si>
    <t>feeding pump</t>
  </si>
  <si>
    <t>Holm-Laue HL100</t>
  </si>
  <si>
    <t>DeLaval</t>
  </si>
  <si>
    <t>?</t>
  </si>
  <si>
    <t>computer and calf mgmt system</t>
  </si>
  <si>
    <t>1 long term</t>
  </si>
  <si>
    <t>8 long term</t>
  </si>
  <si>
    <t>11 long term</t>
  </si>
  <si>
    <t>13 long term</t>
  </si>
  <si>
    <t>40 long term</t>
  </si>
  <si>
    <t>45 long term</t>
  </si>
  <si>
    <t>61 long term</t>
  </si>
  <si>
    <t>62 long term</t>
  </si>
  <si>
    <t>When did you put the feeder into operation?   - year</t>
  </si>
  <si>
    <t>When did you put the feeder into operation?   - month</t>
  </si>
  <si>
    <t>farm_id</t>
  </si>
  <si>
    <t>days_on_feeder</t>
  </si>
  <si>
    <t>days_on_feeder_clean</t>
  </si>
  <si>
    <t>turns_year</t>
  </si>
  <si>
    <r>
      <rPr>
        <sz val="11"/>
        <color theme="1"/>
        <rFont val="Calibri"/>
        <family val="2"/>
        <scheme val="minor"/>
      </rPr>
      <t>General information</t>
    </r>
    <r>
      <rPr>
        <sz val="12"/>
        <color theme="1"/>
        <rFont val="Calibri"/>
        <family val="2"/>
        <scheme val="minor"/>
      </rPr>
      <t xml:space="preserve"> - What is the opportunity cost (interest rate) you would place on the investment you made in the feeder, building, and related equipment (%/year)</t>
    </r>
  </si>
  <si>
    <t>feeder_make</t>
  </si>
  <si>
    <t>using_since_year</t>
  </si>
  <si>
    <t>using_since_mon</t>
  </si>
  <si>
    <t>num_feeders</t>
  </si>
  <si>
    <t>feeders_planned</t>
  </si>
  <si>
    <t>num_calves_planned</t>
  </si>
  <si>
    <t>building_change</t>
  </si>
  <si>
    <t>change</t>
  </si>
  <si>
    <t>investment_ini</t>
  </si>
  <si>
    <t>building_cost</t>
  </si>
  <si>
    <t>additional_inv</t>
  </si>
  <si>
    <t>when_add_on</t>
  </si>
  <si>
    <t>cost_add_on</t>
  </si>
  <si>
    <t>life_feeder</t>
  </si>
  <si>
    <t>life_building</t>
  </si>
  <si>
    <t>life_add_on</t>
  </si>
  <si>
    <t>repair_cost_feeder</t>
  </si>
  <si>
    <t>repair_cost_building</t>
  </si>
  <si>
    <t>labor_feeder</t>
  </si>
  <si>
    <t>labor_repairs</t>
  </si>
  <si>
    <t>was_last_year_typical</t>
  </si>
  <si>
    <t>wage</t>
  </si>
  <si>
    <t>vet_hd</t>
  </si>
  <si>
    <t>feed_day_hd</t>
  </si>
  <si>
    <t>supplies_hd</t>
  </si>
  <si>
    <t>fuel_yr</t>
  </si>
  <si>
    <t>utilities_yr</t>
  </si>
  <si>
    <t>bedding_day_hd</t>
  </si>
  <si>
    <t>building_lease_yr</t>
  </si>
  <si>
    <t>farm_insurance_yr</t>
  </si>
  <si>
    <t>misc_yr</t>
  </si>
  <si>
    <t>oppo_cost</t>
  </si>
  <si>
    <t>variable</t>
  </si>
  <si>
    <t>question</t>
  </si>
  <si>
    <t>q_num</t>
  </si>
  <si>
    <t>2b</t>
  </si>
  <si>
    <t>4b</t>
  </si>
  <si>
    <t>5b</t>
  </si>
  <si>
    <t>5c</t>
  </si>
  <si>
    <t>8b</t>
  </si>
  <si>
    <t>8c</t>
  </si>
  <si>
    <t>value_calf_out</t>
  </si>
  <si>
    <t>value_calf_in</t>
  </si>
  <si>
    <t>calves_total</t>
  </si>
  <si>
    <t>mortality</t>
  </si>
  <si>
    <t>feeder_cost_total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</si>
</sst>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quot;$&quot;#,##0.00"/>
    <numFmt numFmtId="166" formatCode="0.0%"/>
  </numFmts>
  <fonts count="5" x14ac:knownFonts="1">
    <font>
      <sz val="12"/>
      <color theme="1"/>
      <name val="Calibri"/>
      <family val="2"/>
      <scheme val="minor"/>
    </font>
    <font>
      <sz val="12"/>
      <color theme="1"/>
      <name val="Calibri"/>
      <family val="2"/>
      <scheme val="minor"/>
    </font>
    <font>
      <sz val="11"/>
      <color theme="1"/>
      <name val="Calibri"/>
      <family val="2"/>
      <scheme val="minor"/>
    </font>
    <font>
      <b/>
      <sz val="9"/>
      <color indexed="81"/>
      <name val="Tahoma"/>
      <family val="2"/>
    </font>
    <font>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43" fontId="0" fillId="2" borderId="1" xfId="1" applyFont="1" applyFill="1" applyBorder="1"/>
    <xf numFmtId="165" fontId="0" fillId="2" borderId="1" xfId="0" applyNumberFormat="1" applyFill="1" applyBorder="1"/>
    <xf numFmtId="166" fontId="0" fillId="2" borderId="1" xfId="2" applyNumberFormat="1" applyFont="1" applyFill="1" applyBorder="1"/>
    <xf numFmtId="43" fontId="0" fillId="2" borderId="1" xfId="0" applyNumberFormat="1" applyFill="1" applyBorder="1" applyAlignment="1">
      <alignment wrapText="1"/>
    </xf>
    <xf numFmtId="165" fontId="0" fillId="2" borderId="1" xfId="0" applyNumberFormat="1" applyFill="1" applyBorder="1" applyAlignment="1">
      <alignment wrapText="1"/>
    </xf>
    <xf numFmtId="10" fontId="0" fillId="2" borderId="1" xfId="2" applyNumberFormat="1" applyFont="1" applyFill="1" applyBorder="1" applyAlignment="1">
      <alignment wrapText="1"/>
    </xf>
    <xf numFmtId="0" fontId="0" fillId="2" borderId="1" xfId="0" quotePrefix="1" applyFill="1" applyBorder="1"/>
    <xf numFmtId="10" fontId="0" fillId="3" borderId="1" xfId="2" applyNumberFormat="1" applyFont="1" applyFill="1" applyBorder="1" applyAlignment="1">
      <alignment wrapText="1"/>
    </xf>
    <xf numFmtId="0" fontId="0" fillId="4" borderId="1" xfId="0" applyFill="1" applyBorder="1"/>
    <xf numFmtId="10" fontId="0" fillId="5" borderId="1" xfId="2" applyNumberFormat="1" applyFont="1" applyFill="1" applyBorder="1" applyAlignment="1">
      <alignment wrapText="1"/>
    </xf>
    <xf numFmtId="0" fontId="0" fillId="2" borderId="1" xfId="0" applyFont="1" applyFill="1" applyBorder="1" applyAlignment="1">
      <alignment wrapText="1"/>
    </xf>
    <xf numFmtId="164" fontId="0" fillId="2" borderId="1" xfId="1" applyNumberFormat="1" applyFont="1" applyFill="1" applyBorder="1" applyAlignment="1">
      <alignment wrapText="1"/>
    </xf>
    <xf numFmtId="0" fontId="0" fillId="6" borderId="1" xfId="0" applyFill="1" applyBorder="1"/>
    <xf numFmtId="0" fontId="0" fillId="6" borderId="1" xfId="0" applyFill="1" applyBorder="1" applyAlignment="1">
      <alignment wrapText="1"/>
    </xf>
    <xf numFmtId="0" fontId="0" fillId="7" borderId="1" xfId="0" quotePrefix="1" applyFill="1" applyBorder="1"/>
    <xf numFmtId="0" fontId="0" fillId="7" borderId="1" xfId="0" applyFill="1" applyBorder="1" applyAlignment="1">
      <alignment wrapText="1"/>
    </xf>
    <xf numFmtId="0" fontId="0" fillId="7" borderId="1" xfId="0" applyFill="1" applyBorder="1"/>
    <xf numFmtId="165" fontId="0" fillId="7" borderId="1" xfId="0" applyNumberFormat="1" applyFill="1" applyBorder="1"/>
    <xf numFmtId="166" fontId="0" fillId="7" borderId="1" xfId="2" applyNumberFormat="1" applyFont="1" applyFill="1" applyBorder="1"/>
    <xf numFmtId="10" fontId="0" fillId="7" borderId="1" xfId="2" applyNumberFormat="1" applyFont="1" applyFill="1" applyBorder="1" applyAlignment="1">
      <alignment wrapText="1"/>
    </xf>
    <xf numFmtId="0" fontId="0" fillId="8" borderId="1" xfId="0" applyFill="1" applyBorder="1"/>
    <xf numFmtId="0" fontId="0" fillId="7" borderId="1" xfId="0" applyFont="1" applyFill="1" applyBorder="1" applyAlignment="1">
      <alignment wrapText="1"/>
    </xf>
    <xf numFmtId="0" fontId="0" fillId="2" borderId="1" xfId="0" applyFont="1" applyFill="1" applyBorder="1"/>
    <xf numFmtId="165" fontId="0" fillId="2" borderId="1" xfId="0" applyNumberFormat="1" applyFont="1" applyFill="1" applyBorder="1"/>
    <xf numFmtId="166" fontId="2" fillId="2" borderId="1" xfId="2" applyNumberFormat="1" applyFont="1" applyFill="1" applyBorder="1"/>
    <xf numFmtId="0" fontId="0" fillId="8" borderId="1" xfId="0" quotePrefix="1" applyFill="1" applyBorder="1"/>
    <xf numFmtId="0" fontId="0" fillId="8" borderId="1" xfId="0" applyFill="1" applyBorder="1" applyAlignment="1">
      <alignment wrapText="1"/>
    </xf>
    <xf numFmtId="165" fontId="0" fillId="8" borderId="1" xfId="0" applyNumberFormat="1" applyFill="1" applyBorder="1"/>
    <xf numFmtId="166" fontId="0" fillId="8" borderId="1" xfId="2" applyNumberFormat="1" applyFont="1" applyFill="1" applyBorder="1"/>
    <xf numFmtId="10" fontId="0" fillId="8" borderId="1" xfId="2" applyNumberFormat="1" applyFont="1" applyFill="1" applyBorder="1" applyAlignment="1">
      <alignment wrapText="1"/>
    </xf>
    <xf numFmtId="165" fontId="0" fillId="8" borderId="1" xfId="0" applyNumberFormat="1" applyFill="1" applyBorder="1" applyAlignment="1">
      <alignment wrapText="1"/>
    </xf>
    <xf numFmtId="0" fontId="0" fillId="0" borderId="0" xfId="0" applyAlignment="1"/>
    <xf numFmtId="10" fontId="0" fillId="0" borderId="0" xfId="2" applyNumberFormat="1" applyFont="1" applyBorder="1" applyAlignment="1">
      <alignment horizontal="left"/>
    </xf>
    <xf numFmtId="0" fontId="0" fillId="0" borderId="0" xfId="0" applyFont="1" applyBorder="1" applyAlignment="1">
      <alignment horizontal="left"/>
    </xf>
    <xf numFmtId="0" fontId="2" fillId="0" borderId="0" xfId="0" applyFont="1" applyBorder="1" applyAlignment="1">
      <alignment horizontal="left"/>
    </xf>
    <xf numFmtId="0" fontId="0" fillId="0" borderId="0" xfId="0" quotePrefix="1" applyFont="1" applyBorder="1" applyAlignment="1">
      <alignment horizontal="left"/>
    </xf>
    <xf numFmtId="0" fontId="0" fillId="0" borderId="0" xfId="0" applyFont="1" applyBorder="1" applyAlignment="1">
      <alignment horizontal="left" indent="1"/>
    </xf>
    <xf numFmtId="0" fontId="0" fillId="0" borderId="0" xfId="0" applyFont="1" applyFill="1" applyBorder="1" applyAlignment="1">
      <alignment horizontal="left"/>
    </xf>
    <xf numFmtId="0" fontId="0" fillId="0" borderId="0" xfId="0" applyFont="1" applyFill="1" applyBorder="1" applyAlignment="1">
      <alignment horizontal="left" indent="1"/>
    </xf>
    <xf numFmtId="0" fontId="2" fillId="0" borderId="0" xfId="0" applyFont="1" applyFill="1" applyBorder="1" applyAlignment="1">
      <alignment horizontal="left" indent="1"/>
    </xf>
    <xf numFmtId="0" fontId="2" fillId="0" borderId="0" xfId="0" applyFont="1" applyFill="1" applyBorder="1" applyAlignment="1">
      <alignment horizontal="left"/>
    </xf>
    <xf numFmtId="0" fontId="0" fillId="0" borderId="0" xfId="0" quotePrefix="1" applyFont="1" applyBorder="1" applyAlignment="1">
      <alignment horizontal="left" indent="2"/>
    </xf>
    <xf numFmtId="0" fontId="0" fillId="2" borderId="0" xfId="0" applyFont="1" applyFill="1" applyBorder="1" applyAlignment="1">
      <alignment horizontal="left"/>
    </xf>
    <xf numFmtId="0" fontId="0" fillId="0" borderId="0" xfId="0" applyAlignment="1">
      <alignment horizontal="right"/>
    </xf>
    <xf numFmtId="164" fontId="0" fillId="0" borderId="0" xfId="1" applyNumberFormat="1" applyFont="1" applyAlignment="1">
      <alignment horizontal="right"/>
    </xf>
  </cellXfs>
  <cellStyles count="3">
    <cellStyle name="Comma" xfId="1" builtinId="3"/>
    <cellStyle name="Normal" xfId="0" builtinId="0"/>
    <cellStyle name="Percent" xfId="2" builtinId="5"/>
  </cellStyles>
  <dxfs count="2">
    <dxf>
      <fill>
        <patternFill>
          <bgColor theme="0"/>
        </patternFill>
      </fill>
    </dxf>
    <dxf>
      <fill>
        <patternFill>
          <bgColor theme="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ota/Downloads/dairy_calf_questionnaire_database110116merg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as_is"/>
      <sheetName val="Data_avgs_for_missing"/>
      <sheetName val="Budget"/>
      <sheetName val="Transposed"/>
    </sheetNames>
    <sheetDataSet>
      <sheetData sheetId="0"/>
      <sheetData sheetId="1"/>
      <sheetData sheetId="2">
        <row r="3">
          <cell r="H3">
            <v>55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46"/>
  <sheetViews>
    <sheetView topLeftCell="D1" workbookViewId="0">
      <selection activeCell="P3" sqref="P3"/>
    </sheetView>
  </sheetViews>
  <sheetFormatPr baseColWidth="10" defaultRowHeight="16" x14ac:dyDescent="0.2"/>
  <sheetData>
    <row r="1" spans="1:61" x14ac:dyDescent="0.2">
      <c r="A1" s="37" t="s">
        <v>0</v>
      </c>
      <c r="B1" s="37" t="s">
        <v>1</v>
      </c>
      <c r="C1" s="38" t="s">
        <v>2</v>
      </c>
      <c r="D1" s="38" t="s">
        <v>3</v>
      </c>
      <c r="E1" s="37" t="s">
        <v>4</v>
      </c>
      <c r="F1" s="37" t="s">
        <v>99</v>
      </c>
      <c r="G1" s="39" t="s">
        <v>100</v>
      </c>
      <c r="H1" s="37" t="s">
        <v>5</v>
      </c>
      <c r="I1" s="37" t="s">
        <v>6</v>
      </c>
      <c r="J1" s="37" t="s">
        <v>7</v>
      </c>
      <c r="K1" s="40" t="s">
        <v>8</v>
      </c>
      <c r="L1" s="41" t="s">
        <v>9</v>
      </c>
      <c r="M1" s="42" t="s">
        <v>10</v>
      </c>
      <c r="N1" s="42" t="s">
        <v>11</v>
      </c>
      <c r="O1" s="43" t="s">
        <v>12</v>
      </c>
      <c r="P1" s="37" t="s">
        <v>13</v>
      </c>
      <c r="Q1" s="37" t="s">
        <v>14</v>
      </c>
      <c r="R1" s="41" t="s">
        <v>15</v>
      </c>
      <c r="S1" s="42" t="s">
        <v>16</v>
      </c>
      <c r="T1" s="42" t="s">
        <v>17</v>
      </c>
      <c r="U1" s="41" t="s">
        <v>18</v>
      </c>
      <c r="V1" s="42" t="s">
        <v>19</v>
      </c>
      <c r="W1" s="42" t="s">
        <v>20</v>
      </c>
      <c r="X1" s="44" t="s">
        <v>21</v>
      </c>
      <c r="Y1" s="37" t="s">
        <v>22</v>
      </c>
      <c r="Z1" s="45" t="s">
        <v>23</v>
      </c>
      <c r="AA1" s="37" t="s">
        <v>24</v>
      </c>
      <c r="AB1" s="37" t="s">
        <v>25</v>
      </c>
      <c r="AC1" s="40" t="s">
        <v>26</v>
      </c>
      <c r="AD1" s="37" t="s">
        <v>27</v>
      </c>
      <c r="AE1" s="38" t="s">
        <v>28</v>
      </c>
      <c r="AF1" s="37" t="s">
        <v>29</v>
      </c>
      <c r="AG1" s="37" t="s">
        <v>30</v>
      </c>
      <c r="AH1" s="37" t="s">
        <v>31</v>
      </c>
      <c r="AI1" s="38" t="s">
        <v>32</v>
      </c>
      <c r="AJ1" s="40" t="s">
        <v>33</v>
      </c>
      <c r="AK1" s="40" t="s">
        <v>34</v>
      </c>
      <c r="AL1" s="40" t="s">
        <v>35</v>
      </c>
      <c r="AM1" s="40" t="s">
        <v>36</v>
      </c>
      <c r="AN1" s="40" t="s">
        <v>37</v>
      </c>
      <c r="AO1" s="40" t="s">
        <v>38</v>
      </c>
      <c r="AP1" s="40" t="s">
        <v>39</v>
      </c>
      <c r="AQ1" s="40" t="s">
        <v>40</v>
      </c>
      <c r="AR1" s="40" t="s">
        <v>41</v>
      </c>
      <c r="AS1" s="40" t="s">
        <v>42</v>
      </c>
      <c r="AT1" s="40" t="s">
        <v>43</v>
      </c>
      <c r="AU1" s="40" t="s">
        <v>44</v>
      </c>
      <c r="AV1" s="40" t="s">
        <v>45</v>
      </c>
      <c r="AW1" s="40"/>
      <c r="AX1" s="40" t="s">
        <v>46</v>
      </c>
      <c r="AY1" s="40" t="s">
        <v>34</v>
      </c>
      <c r="AZ1" s="40" t="s">
        <v>35</v>
      </c>
      <c r="BA1" s="40" t="s">
        <v>47</v>
      </c>
      <c r="BB1" s="40" t="s">
        <v>48</v>
      </c>
      <c r="BC1" s="40" t="s">
        <v>49</v>
      </c>
      <c r="BD1" s="40" t="s">
        <v>50</v>
      </c>
      <c r="BE1" s="40" t="s">
        <v>51</v>
      </c>
      <c r="BF1" s="40" t="s">
        <v>52</v>
      </c>
      <c r="BG1" s="40" t="s">
        <v>53</v>
      </c>
    </row>
    <row r="2" spans="1:61" s="35" customFormat="1" x14ac:dyDescent="0.2">
      <c r="A2" t="s">
        <v>101</v>
      </c>
      <c r="B2" t="s">
        <v>102</v>
      </c>
      <c r="C2" t="s">
        <v>103</v>
      </c>
      <c r="D2" t="s">
        <v>104</v>
      </c>
      <c r="E2" t="s">
        <v>106</v>
      </c>
      <c r="F2" t="s">
        <v>107</v>
      </c>
      <c r="G2" t="s">
        <v>108</v>
      </c>
      <c r="H2" t="s">
        <v>149</v>
      </c>
      <c r="I2" t="s">
        <v>109</v>
      </c>
      <c r="J2" t="s">
        <v>110</v>
      </c>
      <c r="K2" t="s">
        <v>111</v>
      </c>
      <c r="L2" t="s">
        <v>112</v>
      </c>
      <c r="M2"/>
      <c r="N2" t="s">
        <v>113</v>
      </c>
      <c r="O2" t="s">
        <v>114</v>
      </c>
      <c r="P2" t="s">
        <v>151</v>
      </c>
      <c r="Q2" t="s">
        <v>115</v>
      </c>
      <c r="R2" t="s">
        <v>116</v>
      </c>
      <c r="S2" t="s">
        <v>117</v>
      </c>
      <c r="T2" t="s">
        <v>118</v>
      </c>
      <c r="U2" t="s">
        <v>119</v>
      </c>
      <c r="V2" t="s">
        <v>120</v>
      </c>
      <c r="W2" t="s">
        <v>121</v>
      </c>
      <c r="X2"/>
      <c r="Y2" t="s">
        <v>122</v>
      </c>
      <c r="Z2" t="s">
        <v>123</v>
      </c>
      <c r="AA2" t="s">
        <v>124</v>
      </c>
      <c r="AB2" t="s">
        <v>125</v>
      </c>
      <c r="AC2" t="s">
        <v>126</v>
      </c>
      <c r="AD2" t="s">
        <v>127</v>
      </c>
      <c r="AE2"/>
      <c r="AF2" t="s">
        <v>150</v>
      </c>
      <c r="AG2" t="s">
        <v>148</v>
      </c>
      <c r="AH2" t="s">
        <v>147</v>
      </c>
      <c r="AI2"/>
      <c r="AJ2" t="s">
        <v>129</v>
      </c>
      <c r="AK2" t="s">
        <v>128</v>
      </c>
      <c r="AL2" t="s">
        <v>130</v>
      </c>
      <c r="AM2" t="s">
        <v>131</v>
      </c>
      <c r="AN2" t="s">
        <v>132</v>
      </c>
      <c r="AO2" t="s">
        <v>133</v>
      </c>
      <c r="AP2" t="s">
        <v>134</v>
      </c>
      <c r="AQ2" t="s">
        <v>135</v>
      </c>
      <c r="AR2" t="s">
        <v>136</v>
      </c>
      <c r="AS2"/>
      <c r="AT2"/>
      <c r="AU2"/>
      <c r="AV2"/>
      <c r="AW2"/>
      <c r="AX2"/>
      <c r="AY2"/>
      <c r="AZ2"/>
      <c r="BA2"/>
      <c r="BB2"/>
      <c r="BC2"/>
      <c r="BD2"/>
      <c r="BE2"/>
      <c r="BF2"/>
      <c r="BG2"/>
      <c r="BI2" t="s">
        <v>137</v>
      </c>
    </row>
    <row r="3" spans="1:61" x14ac:dyDescent="0.2">
      <c r="A3" s="3">
        <v>1</v>
      </c>
      <c r="B3" s="3">
        <v>51</v>
      </c>
      <c r="C3" s="3">
        <v>59</v>
      </c>
      <c r="D3" s="4">
        <f>IF(C3&gt;0,365/C3,[1]Budget!$B$8)</f>
        <v>6.1864406779661021</v>
      </c>
      <c r="E3" s="2" t="s">
        <v>55</v>
      </c>
      <c r="F3" s="3">
        <v>2012</v>
      </c>
      <c r="G3" s="3">
        <v>5</v>
      </c>
      <c r="H3" s="3">
        <v>50</v>
      </c>
      <c r="I3" s="3">
        <v>1</v>
      </c>
      <c r="J3" s="3">
        <v>4</v>
      </c>
      <c r="K3" s="3">
        <v>200</v>
      </c>
      <c r="L3" s="3" t="s">
        <v>56</v>
      </c>
      <c r="M3" s="3" t="s">
        <v>57</v>
      </c>
      <c r="N3" s="3" t="s">
        <v>58</v>
      </c>
      <c r="O3" s="3">
        <v>25000</v>
      </c>
      <c r="P3" s="3">
        <v>20000</v>
      </c>
      <c r="Q3" s="3">
        <v>3000</v>
      </c>
      <c r="R3" s="3" t="s">
        <v>59</v>
      </c>
      <c r="S3" s="3"/>
      <c r="T3" s="3"/>
      <c r="U3" s="3">
        <v>10</v>
      </c>
      <c r="V3" s="3">
        <v>20</v>
      </c>
      <c r="W3" s="3"/>
      <c r="X3" s="3"/>
      <c r="Y3" s="3">
        <v>250</v>
      </c>
      <c r="Z3" s="3">
        <v>4000</v>
      </c>
      <c r="AA3" s="3">
        <v>2.5</v>
      </c>
      <c r="AB3" s="3">
        <v>5.5</v>
      </c>
      <c r="AC3" s="3" t="s">
        <v>56</v>
      </c>
      <c r="AD3" s="5">
        <v>25</v>
      </c>
      <c r="AE3" s="2"/>
      <c r="AF3" s="6">
        <v>0.02</v>
      </c>
      <c r="AG3" s="2">
        <v>200</v>
      </c>
      <c r="AH3" s="2">
        <v>400</v>
      </c>
      <c r="AI3" s="2"/>
      <c r="AJ3" s="2">
        <v>4</v>
      </c>
      <c r="AK3" s="2">
        <v>10</v>
      </c>
      <c r="AL3" s="2">
        <v>2</v>
      </c>
      <c r="AM3" s="2">
        <v>1000</v>
      </c>
      <c r="AN3" s="2">
        <v>5000</v>
      </c>
      <c r="AO3" s="2">
        <v>0.5</v>
      </c>
      <c r="AP3" s="2">
        <v>2000</v>
      </c>
      <c r="AQ3" s="2">
        <v>1000</v>
      </c>
      <c r="AR3" s="2">
        <v>0</v>
      </c>
      <c r="AS3" s="2">
        <f>AJ3*$H3*365</f>
        <v>73000</v>
      </c>
      <c r="AT3" s="7">
        <f>AK3*H3*D3</f>
        <v>3093.2203389830511</v>
      </c>
      <c r="AU3" s="7">
        <f>AL3*H3*D3</f>
        <v>618.64406779661022</v>
      </c>
      <c r="AV3" s="2">
        <f>AO3*H3*365</f>
        <v>9125</v>
      </c>
      <c r="AW3" s="2"/>
      <c r="AX3" s="8">
        <f t="shared" ref="AX3:AX21" si="0">AJ3*60</f>
        <v>240</v>
      </c>
      <c r="AY3" s="8">
        <f t="shared" ref="AY3:AY21" si="1">AK3</f>
        <v>10</v>
      </c>
      <c r="AZ3" s="8">
        <f t="shared" ref="AZ3:AZ21" si="2">AL3</f>
        <v>2</v>
      </c>
      <c r="BA3" s="8">
        <f>AM3/($H3*6)</f>
        <v>3.3333333333333335</v>
      </c>
      <c r="BB3" s="8">
        <f t="shared" ref="BB3:BB21" si="3">AN3/($H3*6)</f>
        <v>16.666666666666668</v>
      </c>
      <c r="BC3" s="8">
        <f t="shared" ref="BC3:BC21" si="4">AO3*60</f>
        <v>30</v>
      </c>
      <c r="BD3" s="8">
        <f>AP3/($H3*6)</f>
        <v>6.666666666666667</v>
      </c>
      <c r="BE3" s="8">
        <f t="shared" ref="BE3:BE21" si="5">AQ3/($H3*6)</f>
        <v>3.3333333333333335</v>
      </c>
      <c r="BF3" s="8">
        <f t="shared" ref="BF3:BF21" si="6">AR3/($H3*6)</f>
        <v>0</v>
      </c>
      <c r="BG3" s="8">
        <f t="shared" ref="BG3:BG21" si="7">SUM(AX3:BF3)</f>
        <v>312</v>
      </c>
      <c r="BH3" s="1"/>
      <c r="BI3" s="9">
        <v>0.1</v>
      </c>
    </row>
    <row r="4" spans="1:61" ht="32" x14ac:dyDescent="0.2">
      <c r="A4" s="10">
        <v>2</v>
      </c>
      <c r="B4" s="3">
        <f>[1]Budget!$H$3</f>
        <v>55</v>
      </c>
      <c r="C4" s="3">
        <f>[1]Budget!$A$8</f>
        <v>0</v>
      </c>
      <c r="D4" s="4">
        <f>IF(C4&gt;0,365/C4,[1]Budget!$B$8)</f>
        <v>0</v>
      </c>
      <c r="E4" s="2" t="s">
        <v>60</v>
      </c>
      <c r="F4" s="3">
        <v>2010</v>
      </c>
      <c r="G4" s="3">
        <v>8</v>
      </c>
      <c r="H4" s="3">
        <v>10</v>
      </c>
      <c r="I4" s="3">
        <v>1</v>
      </c>
      <c r="J4" s="3"/>
      <c r="K4" s="3"/>
      <c r="L4" s="3" t="s">
        <v>56</v>
      </c>
      <c r="M4" s="3"/>
      <c r="N4" s="3" t="s">
        <v>58</v>
      </c>
      <c r="O4" s="3">
        <v>30000</v>
      </c>
      <c r="P4" s="3">
        <v>16000</v>
      </c>
      <c r="Q4" s="3">
        <v>14000</v>
      </c>
      <c r="R4" s="3" t="s">
        <v>59</v>
      </c>
      <c r="S4" s="3"/>
      <c r="T4" s="3"/>
      <c r="U4" s="3">
        <v>10</v>
      </c>
      <c r="V4" s="3">
        <v>30</v>
      </c>
      <c r="W4" s="3"/>
      <c r="X4" s="3"/>
      <c r="Y4" s="3">
        <v>500</v>
      </c>
      <c r="Z4" s="3">
        <v>100</v>
      </c>
      <c r="AA4" s="3">
        <v>0.5</v>
      </c>
      <c r="AB4" s="3">
        <v>0</v>
      </c>
      <c r="AC4" s="3" t="s">
        <v>56</v>
      </c>
      <c r="AD4" s="5">
        <v>25</v>
      </c>
      <c r="AE4" s="2"/>
      <c r="AF4" s="6">
        <v>0</v>
      </c>
      <c r="AG4" s="2"/>
      <c r="AH4" s="2"/>
      <c r="AI4" s="2"/>
      <c r="AJ4" s="2"/>
      <c r="AK4" s="2"/>
      <c r="AL4" s="2"/>
      <c r="AM4" s="2"/>
      <c r="AN4" s="2"/>
      <c r="AO4" s="2"/>
      <c r="AP4" s="2"/>
      <c r="AQ4" s="2"/>
      <c r="AR4" s="2"/>
      <c r="AS4" s="2"/>
      <c r="AT4" s="2"/>
      <c r="AU4" s="2"/>
      <c r="AV4" s="2"/>
      <c r="AW4" s="2"/>
      <c r="AX4" s="8">
        <f t="shared" si="0"/>
        <v>0</v>
      </c>
      <c r="AY4" s="8">
        <f t="shared" si="1"/>
        <v>0</v>
      </c>
      <c r="AZ4" s="8">
        <f t="shared" si="2"/>
        <v>0</v>
      </c>
      <c r="BA4" s="8">
        <f t="shared" ref="BA4:BA21" si="8">AM4/($H4*6)</f>
        <v>0</v>
      </c>
      <c r="BB4" s="8">
        <f t="shared" si="3"/>
        <v>0</v>
      </c>
      <c r="BC4" s="8">
        <f t="shared" si="4"/>
        <v>0</v>
      </c>
      <c r="BD4" s="8">
        <f t="shared" ref="BD4:BD21" si="9">AP4/($H4*6)</f>
        <v>0</v>
      </c>
      <c r="BE4" s="8">
        <f t="shared" si="5"/>
        <v>0</v>
      </c>
      <c r="BF4" s="8">
        <f t="shared" si="6"/>
        <v>0</v>
      </c>
      <c r="BG4" s="8">
        <f t="shared" si="7"/>
        <v>0</v>
      </c>
      <c r="BH4" s="1"/>
      <c r="BI4" s="11"/>
    </row>
    <row r="5" spans="1:61" x14ac:dyDescent="0.2">
      <c r="A5" s="10">
        <v>4</v>
      </c>
      <c r="B5" s="3">
        <f>[1]Budget!$H$3</f>
        <v>55</v>
      </c>
      <c r="C5" s="3">
        <f>[1]Budget!$A$8</f>
        <v>0</v>
      </c>
      <c r="D5" s="4">
        <f>IF(C5&gt;0,365/C5,[1]Budget!$B$8)</f>
        <v>0</v>
      </c>
      <c r="E5" s="2" t="s">
        <v>61</v>
      </c>
      <c r="F5" s="3">
        <v>2010</v>
      </c>
      <c r="G5" s="3">
        <v>7</v>
      </c>
      <c r="H5" s="3">
        <v>22</v>
      </c>
      <c r="I5" s="3">
        <v>1</v>
      </c>
      <c r="J5" s="3"/>
      <c r="K5" s="3"/>
      <c r="L5" s="3" t="s">
        <v>56</v>
      </c>
      <c r="M5" s="3"/>
      <c r="N5" s="3" t="s">
        <v>62</v>
      </c>
      <c r="O5" s="3">
        <v>82000</v>
      </c>
      <c r="P5" s="3">
        <v>14500</v>
      </c>
      <c r="Q5" s="3">
        <v>67500</v>
      </c>
      <c r="R5" s="3" t="s">
        <v>59</v>
      </c>
      <c r="S5" s="3"/>
      <c r="T5" s="3"/>
      <c r="U5" s="3">
        <v>12</v>
      </c>
      <c r="V5" s="3">
        <v>30</v>
      </c>
      <c r="W5" s="3"/>
      <c r="X5" s="3"/>
      <c r="Y5" s="3">
        <v>250</v>
      </c>
      <c r="Z5" s="3">
        <v>0</v>
      </c>
      <c r="AA5" s="3">
        <v>0.75</v>
      </c>
      <c r="AB5" s="3">
        <v>2</v>
      </c>
      <c r="AC5" s="3" t="s">
        <v>56</v>
      </c>
      <c r="AD5" s="5">
        <v>22.5</v>
      </c>
      <c r="AE5" s="2"/>
      <c r="AF5" s="6">
        <f>7/(134*3.5)</f>
        <v>1.4925373134328358E-2</v>
      </c>
      <c r="AG5" s="2">
        <v>250</v>
      </c>
      <c r="AH5" s="2">
        <v>500</v>
      </c>
      <c r="AI5" s="2"/>
      <c r="AJ5" s="2">
        <f>85/60</f>
        <v>1.4166666666666667</v>
      </c>
      <c r="AK5" s="2">
        <v>4.5</v>
      </c>
      <c r="AL5" s="2">
        <f>1*60/30</f>
        <v>2</v>
      </c>
      <c r="AM5" s="2">
        <v>0</v>
      </c>
      <c r="AN5" s="2">
        <f>1*134*12</f>
        <v>1608</v>
      </c>
      <c r="AO5" s="2">
        <f>5/30</f>
        <v>0.16666666666666666</v>
      </c>
      <c r="AP5" s="2">
        <v>2733</v>
      </c>
      <c r="AQ5" s="2">
        <v>150</v>
      </c>
      <c r="AR5" s="2">
        <v>0</v>
      </c>
      <c r="AS5" s="2">
        <f t="shared" ref="AS5:AS21" si="10">AJ5*$H5*365</f>
        <v>11375.833333333334</v>
      </c>
      <c r="AT5" s="2">
        <f t="shared" ref="AT5:AT21" si="11">AK5*H5*6</f>
        <v>594</v>
      </c>
      <c r="AU5" s="2">
        <f t="shared" ref="AU5:AU21" si="12">AL5*H5*6</f>
        <v>264</v>
      </c>
      <c r="AV5" s="2">
        <f t="shared" ref="AV5:AV21" si="13">AO5*H5*365</f>
        <v>1338.3333333333333</v>
      </c>
      <c r="AW5" s="2"/>
      <c r="AX5" s="8">
        <f t="shared" si="0"/>
        <v>85</v>
      </c>
      <c r="AY5" s="8">
        <f t="shared" si="1"/>
        <v>4.5</v>
      </c>
      <c r="AZ5" s="8">
        <f t="shared" si="2"/>
        <v>2</v>
      </c>
      <c r="BA5" s="8">
        <f t="shared" si="8"/>
        <v>0</v>
      </c>
      <c r="BB5" s="8">
        <f t="shared" si="3"/>
        <v>12.181818181818182</v>
      </c>
      <c r="BC5" s="8">
        <f t="shared" si="4"/>
        <v>10</v>
      </c>
      <c r="BD5" s="8">
        <f t="shared" si="9"/>
        <v>20.704545454545453</v>
      </c>
      <c r="BE5" s="8">
        <f t="shared" si="5"/>
        <v>1.1363636363636365</v>
      </c>
      <c r="BF5" s="8">
        <f t="shared" si="6"/>
        <v>0</v>
      </c>
      <c r="BG5" s="8">
        <f t="shared" si="7"/>
        <v>135.52272727272725</v>
      </c>
      <c r="BH5" s="1"/>
      <c r="BI5" s="9">
        <v>0.05</v>
      </c>
    </row>
    <row r="6" spans="1:61" x14ac:dyDescent="0.2">
      <c r="A6" s="10">
        <v>5</v>
      </c>
      <c r="B6" s="3">
        <f>[1]Budget!$H$3</f>
        <v>55</v>
      </c>
      <c r="C6" s="3">
        <f>[1]Budget!$A$8</f>
        <v>0</v>
      </c>
      <c r="D6" s="4">
        <f>IF(C6&gt;0,365/C6,[1]Budget!$B$8)</f>
        <v>0</v>
      </c>
      <c r="E6" s="2" t="s">
        <v>63</v>
      </c>
      <c r="F6" s="3">
        <v>2007</v>
      </c>
      <c r="G6" s="3"/>
      <c r="H6" s="3">
        <f>(5+75)/2</f>
        <v>40</v>
      </c>
      <c r="I6" s="3">
        <v>1</v>
      </c>
      <c r="J6" s="12"/>
      <c r="K6" s="3"/>
      <c r="L6" s="3" t="s">
        <v>56</v>
      </c>
      <c r="M6" s="3"/>
      <c r="N6" s="3" t="s">
        <v>62</v>
      </c>
      <c r="O6" s="3">
        <f>P6+Q6</f>
        <v>184000</v>
      </c>
      <c r="P6" s="3">
        <v>24000</v>
      </c>
      <c r="Q6" s="3">
        <v>160000</v>
      </c>
      <c r="R6" s="3" t="s">
        <v>64</v>
      </c>
      <c r="S6" s="3">
        <v>2009</v>
      </c>
      <c r="T6" s="3">
        <v>750</v>
      </c>
      <c r="U6" s="3"/>
      <c r="V6" s="3">
        <v>20</v>
      </c>
      <c r="W6" s="3"/>
      <c r="X6" s="3"/>
      <c r="Y6" s="3">
        <v>500</v>
      </c>
      <c r="Z6" s="3">
        <v>200</v>
      </c>
      <c r="AA6" s="3">
        <v>0.5</v>
      </c>
      <c r="AB6" s="3">
        <v>2</v>
      </c>
      <c r="AC6" s="3"/>
      <c r="AD6" s="5">
        <f>100/8</f>
        <v>12.5</v>
      </c>
      <c r="AE6" s="2"/>
      <c r="AF6" s="6">
        <v>0.01</v>
      </c>
      <c r="AG6" s="2">
        <v>275</v>
      </c>
      <c r="AH6" s="2">
        <v>500</v>
      </c>
      <c r="AI6" s="2"/>
      <c r="AJ6" s="2"/>
      <c r="AK6" s="2"/>
      <c r="AL6" s="2">
        <f>55</f>
        <v>55</v>
      </c>
      <c r="AM6" s="2">
        <f>55</f>
        <v>55</v>
      </c>
      <c r="AN6" s="2"/>
      <c r="AO6" s="2"/>
      <c r="AP6" s="2">
        <f>1200*12</f>
        <v>14400</v>
      </c>
      <c r="AQ6" s="2"/>
      <c r="AR6" s="2"/>
      <c r="AS6" s="2">
        <f t="shared" si="10"/>
        <v>0</v>
      </c>
      <c r="AT6" s="2">
        <f t="shared" si="11"/>
        <v>0</v>
      </c>
      <c r="AU6" s="2">
        <f t="shared" si="12"/>
        <v>13200</v>
      </c>
      <c r="AV6" s="2">
        <f t="shared" si="13"/>
        <v>0</v>
      </c>
      <c r="AW6" s="2"/>
      <c r="AX6" s="8">
        <f t="shared" si="0"/>
        <v>0</v>
      </c>
      <c r="AY6" s="8">
        <f t="shared" si="1"/>
        <v>0</v>
      </c>
      <c r="AZ6" s="8">
        <f t="shared" si="2"/>
        <v>55</v>
      </c>
      <c r="BA6" s="8">
        <f t="shared" si="8"/>
        <v>0.22916666666666666</v>
      </c>
      <c r="BB6" s="8">
        <f t="shared" si="3"/>
        <v>0</v>
      </c>
      <c r="BC6" s="8">
        <f t="shared" si="4"/>
        <v>0</v>
      </c>
      <c r="BD6" s="8">
        <f t="shared" si="9"/>
        <v>60</v>
      </c>
      <c r="BE6" s="8">
        <f t="shared" si="5"/>
        <v>0</v>
      </c>
      <c r="BF6" s="8">
        <f t="shared" si="6"/>
        <v>0</v>
      </c>
      <c r="BG6" s="8">
        <f t="shared" si="7"/>
        <v>115.22916666666666</v>
      </c>
      <c r="BH6" s="1"/>
      <c r="BI6" s="9"/>
    </row>
    <row r="7" spans="1:61" x14ac:dyDescent="0.2">
      <c r="A7" s="10">
        <v>6</v>
      </c>
      <c r="B7" s="3">
        <f>[1]Budget!$H$3</f>
        <v>55</v>
      </c>
      <c r="C7" s="3">
        <f>[1]Budget!$A$8</f>
        <v>0</v>
      </c>
      <c r="D7" s="4">
        <f>IF(C7&gt;0,365/C7,[1]Budget!$B$8)</f>
        <v>0</v>
      </c>
      <c r="E7" s="2" t="s">
        <v>65</v>
      </c>
      <c r="F7" s="3">
        <v>2009</v>
      </c>
      <c r="G7" s="3">
        <v>2</v>
      </c>
      <c r="H7" s="3">
        <v>27</v>
      </c>
      <c r="I7" s="3">
        <v>1</v>
      </c>
      <c r="J7" s="3"/>
      <c r="K7" s="3"/>
      <c r="L7" s="3" t="s">
        <v>56</v>
      </c>
      <c r="M7" s="3"/>
      <c r="N7" s="3" t="s">
        <v>62</v>
      </c>
      <c r="O7" s="3">
        <f>P7+Q7</f>
        <v>74763</v>
      </c>
      <c r="P7" s="3">
        <v>14609</v>
      </c>
      <c r="Q7" s="3">
        <v>60154</v>
      </c>
      <c r="R7" s="3" t="s">
        <v>59</v>
      </c>
      <c r="S7" s="3"/>
      <c r="T7" s="3"/>
      <c r="U7" s="3">
        <v>17.5</v>
      </c>
      <c r="V7" s="3">
        <v>35</v>
      </c>
      <c r="W7" s="3"/>
      <c r="X7" s="3"/>
      <c r="Y7" s="3">
        <v>150</v>
      </c>
      <c r="Z7" s="3">
        <v>100</v>
      </c>
      <c r="AA7" s="3">
        <f>22.5/60</f>
        <v>0.375</v>
      </c>
      <c r="AB7" s="3">
        <v>3</v>
      </c>
      <c r="AC7" s="3" t="s">
        <v>56</v>
      </c>
      <c r="AD7" s="5">
        <v>13</v>
      </c>
      <c r="AE7" s="2"/>
      <c r="AF7" s="6">
        <v>0.03</v>
      </c>
      <c r="AG7" s="2">
        <v>150</v>
      </c>
      <c r="AH7" s="2">
        <v>400</v>
      </c>
      <c r="AI7" s="2"/>
      <c r="AJ7" s="2">
        <f>(18907+590+5000+181)/(27*365)</f>
        <v>2.504109589041096</v>
      </c>
      <c r="AK7" s="2">
        <f>200/(27*6)</f>
        <v>1.2345679012345678</v>
      </c>
      <c r="AL7" s="2">
        <v>0</v>
      </c>
      <c r="AM7" s="2">
        <v>0</v>
      </c>
      <c r="AN7" s="2">
        <v>1200</v>
      </c>
      <c r="AO7" s="2">
        <f>1500/(27*365)</f>
        <v>0.15220700152207001</v>
      </c>
      <c r="AP7" s="2">
        <v>0</v>
      </c>
      <c r="AQ7" s="2">
        <v>280</v>
      </c>
      <c r="AR7" s="2"/>
      <c r="AS7" s="2">
        <f t="shared" si="10"/>
        <v>24678.000000000004</v>
      </c>
      <c r="AT7" s="2">
        <f t="shared" si="11"/>
        <v>199.99999999999997</v>
      </c>
      <c r="AU7" s="2">
        <f t="shared" si="12"/>
        <v>0</v>
      </c>
      <c r="AV7" s="2">
        <f t="shared" si="13"/>
        <v>1499.9999999999998</v>
      </c>
      <c r="AW7" s="2"/>
      <c r="AX7" s="8">
        <f t="shared" si="0"/>
        <v>150.24657534246577</v>
      </c>
      <c r="AY7" s="8">
        <f t="shared" si="1"/>
        <v>1.2345679012345678</v>
      </c>
      <c r="AZ7" s="8">
        <f t="shared" si="2"/>
        <v>0</v>
      </c>
      <c r="BA7" s="8">
        <f t="shared" si="8"/>
        <v>0</v>
      </c>
      <c r="BB7" s="8">
        <f t="shared" si="3"/>
        <v>7.4074074074074074</v>
      </c>
      <c r="BC7" s="8">
        <f t="shared" si="4"/>
        <v>9.1324200913241995</v>
      </c>
      <c r="BD7" s="8">
        <f t="shared" si="9"/>
        <v>0</v>
      </c>
      <c r="BE7" s="8">
        <f t="shared" si="5"/>
        <v>1.728395061728395</v>
      </c>
      <c r="BF7" s="8">
        <f t="shared" si="6"/>
        <v>0</v>
      </c>
      <c r="BG7" s="8">
        <f t="shared" si="7"/>
        <v>169.74936580416036</v>
      </c>
      <c r="BH7" s="1"/>
      <c r="BI7" s="9"/>
    </row>
    <row r="8" spans="1:61" x14ac:dyDescent="0.2">
      <c r="A8" s="10">
        <v>8</v>
      </c>
      <c r="B8" s="3">
        <f>[1]Budget!$H$3</f>
        <v>55</v>
      </c>
      <c r="C8" s="3">
        <f>[1]Budget!$A$8</f>
        <v>0</v>
      </c>
      <c r="D8" s="4">
        <f>IF(C8&gt;0,365/C8,[1]Budget!$B$8)</f>
        <v>0</v>
      </c>
      <c r="E8" s="2" t="s">
        <v>61</v>
      </c>
      <c r="F8" s="3">
        <v>2012</v>
      </c>
      <c r="G8" s="3">
        <v>8</v>
      </c>
      <c r="H8" s="3">
        <v>26</v>
      </c>
      <c r="I8" s="3">
        <v>1</v>
      </c>
      <c r="J8" s="3"/>
      <c r="K8" s="3"/>
      <c r="L8" s="3" t="s">
        <v>56</v>
      </c>
      <c r="M8" s="3"/>
      <c r="N8" s="3" t="s">
        <v>62</v>
      </c>
      <c r="O8" s="3">
        <v>40000</v>
      </c>
      <c r="P8" s="3">
        <v>15000</v>
      </c>
      <c r="Q8" s="3">
        <v>30000</v>
      </c>
      <c r="R8" s="3" t="s">
        <v>59</v>
      </c>
      <c r="S8" s="3"/>
      <c r="T8" s="3"/>
      <c r="U8" s="3">
        <v>15</v>
      </c>
      <c r="V8" s="3">
        <v>40</v>
      </c>
      <c r="W8" s="3"/>
      <c r="X8" s="3"/>
      <c r="Y8" s="3">
        <v>1000</v>
      </c>
      <c r="Z8" s="3">
        <v>100</v>
      </c>
      <c r="AA8" s="3">
        <v>1</v>
      </c>
      <c r="AB8" s="3">
        <v>2</v>
      </c>
      <c r="AC8" s="3" t="s">
        <v>56</v>
      </c>
      <c r="AD8" s="5">
        <v>8.5</v>
      </c>
      <c r="AE8" s="2"/>
      <c r="AF8" s="6">
        <v>0.01</v>
      </c>
      <c r="AG8" s="2">
        <v>150</v>
      </c>
      <c r="AH8" s="2">
        <v>300</v>
      </c>
      <c r="AI8" s="2"/>
      <c r="AJ8" s="2">
        <f>2500/(30*26)</f>
        <v>3.2051282051282053</v>
      </c>
      <c r="AK8" s="2"/>
      <c r="AL8" s="2">
        <f>100/(26)</f>
        <v>3.8461538461538463</v>
      </c>
      <c r="AM8" s="2"/>
      <c r="AN8" s="2">
        <f>65*12</f>
        <v>780</v>
      </c>
      <c r="AO8" s="2">
        <f>335/(26*30)</f>
        <v>0.42948717948717946</v>
      </c>
      <c r="AP8" s="2">
        <f>880*12</f>
        <v>10560</v>
      </c>
      <c r="AQ8" s="2">
        <v>1200</v>
      </c>
      <c r="AR8" s="2">
        <f>5*12</f>
        <v>60</v>
      </c>
      <c r="AS8" s="2">
        <f t="shared" si="10"/>
        <v>30416.666666666672</v>
      </c>
      <c r="AT8" s="2">
        <f t="shared" si="11"/>
        <v>0</v>
      </c>
      <c r="AU8" s="2">
        <f t="shared" si="12"/>
        <v>600</v>
      </c>
      <c r="AV8" s="2">
        <f t="shared" si="13"/>
        <v>4075.833333333333</v>
      </c>
      <c r="AW8" s="2"/>
      <c r="AX8" s="8">
        <f t="shared" si="0"/>
        <v>192.30769230769232</v>
      </c>
      <c r="AY8" s="8">
        <f t="shared" si="1"/>
        <v>0</v>
      </c>
      <c r="AZ8" s="8">
        <f t="shared" si="2"/>
        <v>3.8461538461538463</v>
      </c>
      <c r="BA8" s="8">
        <f t="shared" si="8"/>
        <v>0</v>
      </c>
      <c r="BB8" s="8">
        <f t="shared" si="3"/>
        <v>5</v>
      </c>
      <c r="BC8" s="8">
        <f t="shared" si="4"/>
        <v>25.769230769230766</v>
      </c>
      <c r="BD8" s="8">
        <f t="shared" si="9"/>
        <v>67.692307692307693</v>
      </c>
      <c r="BE8" s="8">
        <f t="shared" si="5"/>
        <v>7.6923076923076925</v>
      </c>
      <c r="BF8" s="8">
        <f t="shared" si="6"/>
        <v>0.38461538461538464</v>
      </c>
      <c r="BG8" s="8">
        <f t="shared" si="7"/>
        <v>302.69230769230768</v>
      </c>
      <c r="BH8" s="1"/>
      <c r="BI8" s="9"/>
    </row>
    <row r="9" spans="1:61" ht="64" x14ac:dyDescent="0.2">
      <c r="A9" s="10">
        <v>9</v>
      </c>
      <c r="B9" s="3">
        <f>[1]Budget!$H$3</f>
        <v>55</v>
      </c>
      <c r="C9" s="3">
        <f>[1]Budget!$A$8</f>
        <v>0</v>
      </c>
      <c r="D9" s="4">
        <f>IF(C9&gt;0,365/C9,[1]Budget!$B$8)</f>
        <v>0</v>
      </c>
      <c r="E9" s="2" t="s">
        <v>66</v>
      </c>
      <c r="F9" s="3">
        <v>2009</v>
      </c>
      <c r="G9" s="3">
        <v>12</v>
      </c>
      <c r="H9" s="3">
        <v>30</v>
      </c>
      <c r="I9" s="3">
        <v>1</v>
      </c>
      <c r="J9" s="3"/>
      <c r="K9" s="3"/>
      <c r="L9" s="3" t="s">
        <v>56</v>
      </c>
      <c r="M9" s="3"/>
      <c r="N9" s="3" t="s">
        <v>67</v>
      </c>
      <c r="O9" s="3">
        <f>P9+Q9</f>
        <v>43445</v>
      </c>
      <c r="P9" s="3">
        <v>17110</v>
      </c>
      <c r="Q9" s="3">
        <v>26335</v>
      </c>
      <c r="R9" s="3" t="s">
        <v>59</v>
      </c>
      <c r="S9" s="3"/>
      <c r="T9" s="3"/>
      <c r="U9" s="3">
        <v>20</v>
      </c>
      <c r="V9" s="3">
        <v>20</v>
      </c>
      <c r="W9" s="3"/>
      <c r="X9" s="3"/>
      <c r="Y9" s="3">
        <v>500</v>
      </c>
      <c r="Z9" s="3">
        <v>0</v>
      </c>
      <c r="AA9" s="3">
        <f>2+2/7</f>
        <v>2.2857142857142856</v>
      </c>
      <c r="AB9" s="3">
        <v>0</v>
      </c>
      <c r="AC9" s="3" t="s">
        <v>56</v>
      </c>
      <c r="AD9" s="5">
        <v>15</v>
      </c>
      <c r="AE9" s="2"/>
      <c r="AF9" s="6">
        <v>0.03</v>
      </c>
      <c r="AG9" s="2">
        <v>250</v>
      </c>
      <c r="AH9" s="2">
        <v>350</v>
      </c>
      <c r="AI9" s="2"/>
      <c r="AJ9" s="2"/>
      <c r="AK9" s="2"/>
      <c r="AL9" s="2"/>
      <c r="AM9" s="2"/>
      <c r="AN9" s="2"/>
      <c r="AO9" s="2"/>
      <c r="AP9" s="2"/>
      <c r="AQ9" s="2"/>
      <c r="AR9" s="2"/>
      <c r="AS9" s="2">
        <f t="shared" si="10"/>
        <v>0</v>
      </c>
      <c r="AT9" s="2">
        <f t="shared" si="11"/>
        <v>0</v>
      </c>
      <c r="AU9" s="2">
        <f t="shared" si="12"/>
        <v>0</v>
      </c>
      <c r="AV9" s="2">
        <f t="shared" si="13"/>
        <v>0</v>
      </c>
      <c r="AW9" s="2"/>
      <c r="AX9" s="8">
        <f t="shared" si="0"/>
        <v>0</v>
      </c>
      <c r="AY9" s="8">
        <f t="shared" si="1"/>
        <v>0</v>
      </c>
      <c r="AZ9" s="8">
        <f t="shared" si="2"/>
        <v>0</v>
      </c>
      <c r="BA9" s="8">
        <f t="shared" si="8"/>
        <v>0</v>
      </c>
      <c r="BB9" s="8">
        <f t="shared" si="3"/>
        <v>0</v>
      </c>
      <c r="BC9" s="8">
        <f t="shared" si="4"/>
        <v>0</v>
      </c>
      <c r="BD9" s="8">
        <f t="shared" si="9"/>
        <v>0</v>
      </c>
      <c r="BE9" s="8">
        <f t="shared" si="5"/>
        <v>0</v>
      </c>
      <c r="BF9" s="8">
        <f t="shared" si="6"/>
        <v>0</v>
      </c>
      <c r="BG9" s="8">
        <f t="shared" si="7"/>
        <v>0</v>
      </c>
      <c r="BH9" s="1"/>
      <c r="BI9" s="13"/>
    </row>
    <row r="10" spans="1:61" ht="32" x14ac:dyDescent="0.2">
      <c r="A10" s="10">
        <v>10</v>
      </c>
      <c r="B10" s="3">
        <f>[1]Budget!$H$3</f>
        <v>55</v>
      </c>
      <c r="C10" s="3">
        <f>[1]Budget!$A$8</f>
        <v>0</v>
      </c>
      <c r="D10" s="4">
        <f>IF(C10&gt;0,365/C10,[1]Budget!$B$8)</f>
        <v>0</v>
      </c>
      <c r="E10" s="2" t="s">
        <v>68</v>
      </c>
      <c r="F10" s="3">
        <v>2008</v>
      </c>
      <c r="G10" s="3">
        <v>4</v>
      </c>
      <c r="H10" s="3">
        <v>35</v>
      </c>
      <c r="I10" s="3">
        <v>1</v>
      </c>
      <c r="J10" s="3"/>
      <c r="K10" s="3"/>
      <c r="L10" s="3" t="s">
        <v>59</v>
      </c>
      <c r="M10" s="3"/>
      <c r="N10" s="3" t="s">
        <v>67</v>
      </c>
      <c r="O10" s="3">
        <v>41650</v>
      </c>
      <c r="P10" s="3">
        <v>20500</v>
      </c>
      <c r="Q10" s="3">
        <v>21150</v>
      </c>
      <c r="R10" s="3" t="s">
        <v>69</v>
      </c>
      <c r="S10" s="3">
        <v>2012</v>
      </c>
      <c r="T10" s="3">
        <v>2000</v>
      </c>
      <c r="U10" s="3">
        <v>10</v>
      </c>
      <c r="V10" s="3">
        <v>25</v>
      </c>
      <c r="W10" s="3"/>
      <c r="X10" s="3"/>
      <c r="Y10" s="3">
        <v>350</v>
      </c>
      <c r="Z10" s="3">
        <v>0</v>
      </c>
      <c r="AA10" s="3">
        <v>1</v>
      </c>
      <c r="AB10" s="3">
        <v>0</v>
      </c>
      <c r="AC10" s="3" t="s">
        <v>56</v>
      </c>
      <c r="AD10" s="5"/>
      <c r="AE10" s="2"/>
      <c r="AF10" s="6">
        <v>0.05</v>
      </c>
      <c r="AG10" s="2">
        <v>100</v>
      </c>
      <c r="AH10" s="2">
        <v>300</v>
      </c>
      <c r="AI10" s="2"/>
      <c r="AJ10" s="2">
        <f>27794/(35*365)</f>
        <v>2.1756555772994131</v>
      </c>
      <c r="AK10" s="2"/>
      <c r="AL10" s="2"/>
      <c r="AM10" s="2"/>
      <c r="AN10" s="2"/>
      <c r="AO10" s="2"/>
      <c r="AP10" s="2"/>
      <c r="AQ10" s="2"/>
      <c r="AR10" s="2"/>
      <c r="AS10" s="2">
        <f t="shared" si="10"/>
        <v>27794.000000000004</v>
      </c>
      <c r="AT10" s="2">
        <f t="shared" si="11"/>
        <v>0</v>
      </c>
      <c r="AU10" s="2">
        <f t="shared" si="12"/>
        <v>0</v>
      </c>
      <c r="AV10" s="2">
        <f t="shared" si="13"/>
        <v>0</v>
      </c>
      <c r="AW10" s="2"/>
      <c r="AX10" s="8">
        <f t="shared" si="0"/>
        <v>130.53933463796477</v>
      </c>
      <c r="AY10" s="8">
        <f t="shared" si="1"/>
        <v>0</v>
      </c>
      <c r="AZ10" s="8">
        <f t="shared" si="2"/>
        <v>0</v>
      </c>
      <c r="BA10" s="8">
        <f t="shared" si="8"/>
        <v>0</v>
      </c>
      <c r="BB10" s="8">
        <f t="shared" si="3"/>
        <v>0</v>
      </c>
      <c r="BC10" s="8">
        <f t="shared" si="4"/>
        <v>0</v>
      </c>
      <c r="BD10" s="8">
        <f t="shared" si="9"/>
        <v>0</v>
      </c>
      <c r="BE10" s="8">
        <f t="shared" si="5"/>
        <v>0</v>
      </c>
      <c r="BF10" s="8">
        <f t="shared" si="6"/>
        <v>0</v>
      </c>
      <c r="BG10" s="8">
        <f t="shared" si="7"/>
        <v>130.53933463796477</v>
      </c>
      <c r="BH10" s="1"/>
      <c r="BI10" s="13"/>
    </row>
    <row r="11" spans="1:61" x14ac:dyDescent="0.2">
      <c r="A11" s="10">
        <v>11</v>
      </c>
      <c r="B11" s="3">
        <f>[1]Budget!$H$3</f>
        <v>55</v>
      </c>
      <c r="C11" s="3">
        <f>[1]Budget!$A$8</f>
        <v>0</v>
      </c>
      <c r="D11" s="4">
        <f>IF(C11&gt;0,365/C11,[1]Budget!$B$8)</f>
        <v>0</v>
      </c>
      <c r="E11" s="2" t="s">
        <v>65</v>
      </c>
      <c r="F11" s="3">
        <v>2012</v>
      </c>
      <c r="G11" s="3">
        <v>8</v>
      </c>
      <c r="H11" s="3">
        <v>25</v>
      </c>
      <c r="I11" s="3">
        <v>1</v>
      </c>
      <c r="J11" s="3"/>
      <c r="K11" s="3"/>
      <c r="L11" s="3" t="s">
        <v>56</v>
      </c>
      <c r="M11" s="3"/>
      <c r="N11" s="3" t="s">
        <v>67</v>
      </c>
      <c r="O11" s="3">
        <v>18000</v>
      </c>
      <c r="P11" s="3">
        <v>13000</v>
      </c>
      <c r="Q11" s="3">
        <v>5000</v>
      </c>
      <c r="R11" s="3" t="s">
        <v>59</v>
      </c>
      <c r="S11" s="3"/>
      <c r="T11" s="3"/>
      <c r="U11" s="3">
        <v>10</v>
      </c>
      <c r="V11" s="3">
        <v>20</v>
      </c>
      <c r="W11" s="3"/>
      <c r="X11" s="3"/>
      <c r="Y11" s="3">
        <v>250</v>
      </c>
      <c r="Z11" s="3">
        <v>100</v>
      </c>
      <c r="AA11" s="3"/>
      <c r="AB11" s="3">
        <v>2</v>
      </c>
      <c r="AC11" s="3">
        <v>240</v>
      </c>
      <c r="AD11" s="5">
        <v>15</v>
      </c>
      <c r="AE11" s="2"/>
      <c r="AF11" s="6">
        <v>0.05</v>
      </c>
      <c r="AG11" s="2">
        <v>120</v>
      </c>
      <c r="AH11" s="2">
        <v>300</v>
      </c>
      <c r="AI11" s="2"/>
      <c r="AJ11" s="2">
        <f>1500/(35*30)</f>
        <v>1.4285714285714286</v>
      </c>
      <c r="AK11" s="7" t="e">
        <f>1200/(35*D11)</f>
        <v>#DIV/0!</v>
      </c>
      <c r="AL11" s="7" t="e">
        <f>600/(35*D11)</f>
        <v>#DIV/0!</v>
      </c>
      <c r="AM11" s="2"/>
      <c r="AN11" s="2"/>
      <c r="AO11" s="2">
        <f>600/(35*30)</f>
        <v>0.5714285714285714</v>
      </c>
      <c r="AP11" s="2"/>
      <c r="AQ11" s="2"/>
      <c r="AR11" s="2"/>
      <c r="AS11" s="2">
        <f t="shared" si="10"/>
        <v>13035.714285714286</v>
      </c>
      <c r="AT11" s="2" t="e">
        <f t="shared" si="11"/>
        <v>#DIV/0!</v>
      </c>
      <c r="AU11" s="2" t="e">
        <f t="shared" si="12"/>
        <v>#DIV/0!</v>
      </c>
      <c r="AV11" s="2">
        <f t="shared" si="13"/>
        <v>5214.2857142857138</v>
      </c>
      <c r="AW11" s="2"/>
      <c r="AX11" s="8">
        <f t="shared" si="0"/>
        <v>85.714285714285722</v>
      </c>
      <c r="AY11" s="8" t="e">
        <f t="shared" si="1"/>
        <v>#DIV/0!</v>
      </c>
      <c r="AZ11" s="8" t="e">
        <f t="shared" si="2"/>
        <v>#DIV/0!</v>
      </c>
      <c r="BA11" s="8">
        <f t="shared" si="8"/>
        <v>0</v>
      </c>
      <c r="BB11" s="8">
        <f t="shared" si="3"/>
        <v>0</v>
      </c>
      <c r="BC11" s="8">
        <f t="shared" si="4"/>
        <v>34.285714285714285</v>
      </c>
      <c r="BD11" s="8">
        <f t="shared" si="9"/>
        <v>0</v>
      </c>
      <c r="BE11" s="8">
        <f t="shared" si="5"/>
        <v>0</v>
      </c>
      <c r="BF11" s="8">
        <f t="shared" si="6"/>
        <v>0</v>
      </c>
      <c r="BG11" s="8" t="e">
        <f t="shared" si="7"/>
        <v>#DIV/0!</v>
      </c>
      <c r="BH11" s="1"/>
      <c r="BI11" s="13"/>
    </row>
    <row r="12" spans="1:61" x14ac:dyDescent="0.2">
      <c r="A12" s="10">
        <v>12</v>
      </c>
      <c r="B12" s="3">
        <f>[1]Budget!$H$3</f>
        <v>55</v>
      </c>
      <c r="C12" s="3">
        <f>[1]Budget!$A$8</f>
        <v>0</v>
      </c>
      <c r="D12" s="4">
        <f>IF(C12&gt;0,365/C12,[1]Budget!$B$8)</f>
        <v>0</v>
      </c>
      <c r="E12" s="2" t="s">
        <v>61</v>
      </c>
      <c r="F12" s="3">
        <v>2011</v>
      </c>
      <c r="G12" s="3">
        <v>8</v>
      </c>
      <c r="H12" s="3">
        <v>7</v>
      </c>
      <c r="I12" s="3">
        <v>1</v>
      </c>
      <c r="J12" s="3"/>
      <c r="K12" s="3"/>
      <c r="L12" s="3" t="s">
        <v>56</v>
      </c>
      <c r="M12" s="3"/>
      <c r="N12" s="3" t="s">
        <v>67</v>
      </c>
      <c r="O12" s="3">
        <f>P12+Q12</f>
        <v>15672</v>
      </c>
      <c r="P12" s="3">
        <v>13672</v>
      </c>
      <c r="Q12" s="3">
        <v>2000</v>
      </c>
      <c r="R12" s="3" t="s">
        <v>59</v>
      </c>
      <c r="S12" s="3"/>
      <c r="T12" s="3"/>
      <c r="U12" s="3">
        <v>12.5</v>
      </c>
      <c r="V12" s="3"/>
      <c r="W12" s="3"/>
      <c r="X12" s="3"/>
      <c r="Y12" s="3">
        <v>100</v>
      </c>
      <c r="Z12" s="3">
        <v>0</v>
      </c>
      <c r="AA12" s="3">
        <v>0.5</v>
      </c>
      <c r="AB12" s="3">
        <v>1</v>
      </c>
      <c r="AC12" s="3" t="s">
        <v>56</v>
      </c>
      <c r="AD12" s="5"/>
      <c r="AE12" s="2"/>
      <c r="AF12" s="6">
        <v>0.05</v>
      </c>
      <c r="AG12" s="2">
        <v>150</v>
      </c>
      <c r="AH12" s="2">
        <v>400</v>
      </c>
      <c r="AI12" s="2"/>
      <c r="AJ12" s="2"/>
      <c r="AK12" s="2"/>
      <c r="AL12" s="2"/>
      <c r="AM12" s="2"/>
      <c r="AN12" s="2"/>
      <c r="AO12" s="2"/>
      <c r="AP12" s="2"/>
      <c r="AQ12" s="2"/>
      <c r="AR12" s="2"/>
      <c r="AS12" s="2">
        <f t="shared" si="10"/>
        <v>0</v>
      </c>
      <c r="AT12" s="2">
        <f t="shared" si="11"/>
        <v>0</v>
      </c>
      <c r="AU12" s="2">
        <f t="shared" si="12"/>
        <v>0</v>
      </c>
      <c r="AV12" s="2">
        <f t="shared" si="13"/>
        <v>0</v>
      </c>
      <c r="AW12" s="2"/>
      <c r="AX12" s="8">
        <f t="shared" si="0"/>
        <v>0</v>
      </c>
      <c r="AY12" s="8">
        <f t="shared" si="1"/>
        <v>0</v>
      </c>
      <c r="AZ12" s="8">
        <f t="shared" si="2"/>
        <v>0</v>
      </c>
      <c r="BA12" s="8">
        <f t="shared" si="8"/>
        <v>0</v>
      </c>
      <c r="BB12" s="8">
        <f t="shared" si="3"/>
        <v>0</v>
      </c>
      <c r="BC12" s="8">
        <f t="shared" si="4"/>
        <v>0</v>
      </c>
      <c r="BD12" s="8">
        <f t="shared" si="9"/>
        <v>0</v>
      </c>
      <c r="BE12" s="8">
        <f t="shared" si="5"/>
        <v>0</v>
      </c>
      <c r="BF12" s="8">
        <f t="shared" si="6"/>
        <v>0</v>
      </c>
      <c r="BG12" s="8">
        <f t="shared" si="7"/>
        <v>0</v>
      </c>
      <c r="BH12" s="1"/>
      <c r="BI12" s="9">
        <v>2.1250000000000002E-2</v>
      </c>
    </row>
    <row r="13" spans="1:61" ht="32" x14ac:dyDescent="0.2">
      <c r="A13" s="10">
        <v>13</v>
      </c>
      <c r="B13" s="3">
        <f>[1]Budget!$H$3</f>
        <v>55</v>
      </c>
      <c r="C13" s="3">
        <f>[1]Budget!$A$8</f>
        <v>0</v>
      </c>
      <c r="D13" s="4">
        <f>IF(C13&gt;0,365/C13,[1]Budget!$B$8)</f>
        <v>0</v>
      </c>
      <c r="E13" s="14" t="s">
        <v>68</v>
      </c>
      <c r="F13" s="3">
        <v>2011</v>
      </c>
      <c r="G13" s="3">
        <v>6</v>
      </c>
      <c r="H13" s="3">
        <v>24</v>
      </c>
      <c r="I13" s="3">
        <v>1</v>
      </c>
      <c r="J13" s="3"/>
      <c r="K13" s="3"/>
      <c r="L13" s="3" t="s">
        <v>56</v>
      </c>
      <c r="M13" s="3"/>
      <c r="N13" s="3" t="s">
        <v>67</v>
      </c>
      <c r="O13" s="3">
        <v>30000</v>
      </c>
      <c r="P13" s="3">
        <v>20000</v>
      </c>
      <c r="Q13" s="3">
        <v>10000</v>
      </c>
      <c r="R13" s="3" t="s">
        <v>59</v>
      </c>
      <c r="S13" s="3"/>
      <c r="T13" s="3"/>
      <c r="U13" s="3">
        <v>10</v>
      </c>
      <c r="V13" s="3">
        <v>20</v>
      </c>
      <c r="W13" s="3"/>
      <c r="X13" s="3"/>
      <c r="Y13" s="3"/>
      <c r="Z13" s="3"/>
      <c r="AA13" s="3">
        <v>2</v>
      </c>
      <c r="AB13" s="3">
        <v>12</v>
      </c>
      <c r="AC13" s="3" t="s">
        <v>56</v>
      </c>
      <c r="AD13" s="5"/>
      <c r="AE13" s="2"/>
      <c r="AF13" s="6">
        <v>0.02</v>
      </c>
      <c r="AG13" s="2">
        <v>200</v>
      </c>
      <c r="AH13" s="2">
        <v>400</v>
      </c>
      <c r="AI13" s="2"/>
      <c r="AJ13" s="2"/>
      <c r="AK13" s="2"/>
      <c r="AL13" s="2"/>
      <c r="AM13" s="2"/>
      <c r="AN13" s="2"/>
      <c r="AO13" s="2"/>
      <c r="AP13" s="2"/>
      <c r="AQ13" s="2"/>
      <c r="AR13" s="2"/>
      <c r="AS13" s="2">
        <f t="shared" si="10"/>
        <v>0</v>
      </c>
      <c r="AT13" s="2">
        <f t="shared" si="11"/>
        <v>0</v>
      </c>
      <c r="AU13" s="2">
        <f t="shared" si="12"/>
        <v>0</v>
      </c>
      <c r="AV13" s="2">
        <f t="shared" si="13"/>
        <v>0</v>
      </c>
      <c r="AW13" s="2"/>
      <c r="AX13" s="8">
        <f t="shared" si="0"/>
        <v>0</v>
      </c>
      <c r="AY13" s="8">
        <f t="shared" si="1"/>
        <v>0</v>
      </c>
      <c r="AZ13" s="8">
        <f t="shared" si="2"/>
        <v>0</v>
      </c>
      <c r="BA13" s="8">
        <f t="shared" si="8"/>
        <v>0</v>
      </c>
      <c r="BB13" s="8">
        <f t="shared" si="3"/>
        <v>0</v>
      </c>
      <c r="BC13" s="8">
        <f t="shared" si="4"/>
        <v>0</v>
      </c>
      <c r="BD13" s="8">
        <f t="shared" si="9"/>
        <v>0</v>
      </c>
      <c r="BE13" s="8">
        <f t="shared" si="5"/>
        <v>0</v>
      </c>
      <c r="BF13" s="8">
        <f t="shared" si="6"/>
        <v>0</v>
      </c>
      <c r="BG13" s="8">
        <f t="shared" si="7"/>
        <v>0</v>
      </c>
      <c r="BH13" s="1"/>
      <c r="BI13" s="9"/>
    </row>
    <row r="14" spans="1:61" ht="48" x14ac:dyDescent="0.2">
      <c r="A14" s="10">
        <v>17</v>
      </c>
      <c r="B14" s="3">
        <f>[1]Budget!$H$3</f>
        <v>55</v>
      </c>
      <c r="C14" s="3">
        <f>[1]Budget!$A$8</f>
        <v>0</v>
      </c>
      <c r="D14" s="4">
        <f>IF(C14&gt;0,365/C14,[1]Budget!$B$8)</f>
        <v>0</v>
      </c>
      <c r="E14" s="14" t="s">
        <v>68</v>
      </c>
      <c r="F14" s="3">
        <v>2012</v>
      </c>
      <c r="G14" s="3">
        <v>1</v>
      </c>
      <c r="H14" s="3">
        <v>48</v>
      </c>
      <c r="I14" s="3">
        <v>1</v>
      </c>
      <c r="J14" s="3"/>
      <c r="K14" s="3"/>
      <c r="L14" s="3" t="s">
        <v>56</v>
      </c>
      <c r="M14" s="3"/>
      <c r="N14" s="3" t="s">
        <v>67</v>
      </c>
      <c r="O14" s="3">
        <v>30000</v>
      </c>
      <c r="P14" s="3">
        <v>20000</v>
      </c>
      <c r="Q14" s="3">
        <v>10000</v>
      </c>
      <c r="R14" s="2" t="s">
        <v>70</v>
      </c>
      <c r="S14" s="3">
        <v>2012</v>
      </c>
      <c r="T14" s="3">
        <v>5000</v>
      </c>
      <c r="U14" s="3">
        <v>20</v>
      </c>
      <c r="V14" s="3"/>
      <c r="W14" s="3"/>
      <c r="X14" s="3"/>
      <c r="Y14" s="3">
        <v>500</v>
      </c>
      <c r="Z14" s="3"/>
      <c r="AA14" s="3">
        <v>1</v>
      </c>
      <c r="AB14" s="3">
        <v>2</v>
      </c>
      <c r="AC14" s="3">
        <v>1</v>
      </c>
      <c r="AD14" s="5"/>
      <c r="AE14" s="2"/>
      <c r="AF14" s="6">
        <v>0.01</v>
      </c>
      <c r="AG14" s="2">
        <v>150</v>
      </c>
      <c r="AH14" s="2">
        <v>300</v>
      </c>
      <c r="AI14" s="2"/>
      <c r="AJ14" s="2"/>
      <c r="AK14" s="2"/>
      <c r="AL14" s="2"/>
      <c r="AM14" s="2"/>
      <c r="AN14" s="2"/>
      <c r="AO14" s="2"/>
      <c r="AP14" s="2"/>
      <c r="AQ14" s="2"/>
      <c r="AR14" s="2"/>
      <c r="AS14" s="2">
        <f t="shared" si="10"/>
        <v>0</v>
      </c>
      <c r="AT14" s="2">
        <f t="shared" si="11"/>
        <v>0</v>
      </c>
      <c r="AU14" s="2">
        <f t="shared" si="12"/>
        <v>0</v>
      </c>
      <c r="AV14" s="2">
        <f t="shared" si="13"/>
        <v>0</v>
      </c>
      <c r="AW14" s="2"/>
      <c r="AX14" s="8">
        <f t="shared" si="0"/>
        <v>0</v>
      </c>
      <c r="AY14" s="8">
        <f t="shared" si="1"/>
        <v>0</v>
      </c>
      <c r="AZ14" s="8">
        <f t="shared" si="2"/>
        <v>0</v>
      </c>
      <c r="BA14" s="8">
        <f t="shared" si="8"/>
        <v>0</v>
      </c>
      <c r="BB14" s="8">
        <f t="shared" si="3"/>
        <v>0</v>
      </c>
      <c r="BC14" s="8">
        <f t="shared" si="4"/>
        <v>0</v>
      </c>
      <c r="BD14" s="8">
        <f t="shared" si="9"/>
        <v>0</v>
      </c>
      <c r="BE14" s="8">
        <f t="shared" si="5"/>
        <v>0</v>
      </c>
      <c r="BF14" s="8">
        <f t="shared" si="6"/>
        <v>0</v>
      </c>
      <c r="BG14" s="8">
        <f t="shared" si="7"/>
        <v>0</v>
      </c>
      <c r="BH14" s="1"/>
      <c r="BI14" s="9">
        <v>4.1000000000000002E-2</v>
      </c>
    </row>
    <row r="15" spans="1:61" x14ac:dyDescent="0.2">
      <c r="A15" s="10">
        <v>19</v>
      </c>
      <c r="B15" s="3">
        <f>[1]Budget!$H$3</f>
        <v>55</v>
      </c>
      <c r="C15" s="3">
        <f>[1]Budget!$A$8</f>
        <v>0</v>
      </c>
      <c r="D15" s="4">
        <f>IF(C15&gt;0,365/C15,[1]Budget!$B$8)</f>
        <v>0</v>
      </c>
      <c r="E15" s="2"/>
      <c r="F15" s="3">
        <v>2009</v>
      </c>
      <c r="G15" s="3">
        <v>6</v>
      </c>
      <c r="H15" s="3">
        <v>75</v>
      </c>
      <c r="I15" s="3">
        <v>2</v>
      </c>
      <c r="J15" s="3"/>
      <c r="K15" s="3"/>
      <c r="L15" s="3" t="s">
        <v>56</v>
      </c>
      <c r="M15" s="3"/>
      <c r="N15" s="3" t="s">
        <v>62</v>
      </c>
      <c r="O15" s="3">
        <f>P15+Q15</f>
        <v>100000</v>
      </c>
      <c r="P15" s="3">
        <v>26000</v>
      </c>
      <c r="Q15" s="3">
        <v>74000</v>
      </c>
      <c r="R15" s="3" t="s">
        <v>71</v>
      </c>
      <c r="S15" s="3">
        <v>2012</v>
      </c>
      <c r="T15" s="3">
        <v>1500</v>
      </c>
      <c r="U15" s="3"/>
      <c r="V15" s="3">
        <v>50</v>
      </c>
      <c r="W15" s="3">
        <v>50</v>
      </c>
      <c r="X15" s="3"/>
      <c r="Y15" s="3">
        <v>0</v>
      </c>
      <c r="Z15" s="3">
        <v>0</v>
      </c>
      <c r="AA15" s="3">
        <f>(3.5*3+2*2)/7+1.5</f>
        <v>3.5714285714285716</v>
      </c>
      <c r="AB15" s="3">
        <v>12.5</v>
      </c>
      <c r="AC15" s="3" t="s">
        <v>56</v>
      </c>
      <c r="AD15" s="5">
        <v>14</v>
      </c>
      <c r="AE15" s="2"/>
      <c r="AF15" s="6">
        <v>5.8700000000000002E-2</v>
      </c>
      <c r="AG15" s="2">
        <v>200</v>
      </c>
      <c r="AH15" s="2">
        <v>350</v>
      </c>
      <c r="AI15" s="2"/>
      <c r="AJ15" s="2"/>
      <c r="AK15" s="2"/>
      <c r="AL15" s="2"/>
      <c r="AM15" s="2"/>
      <c r="AN15" s="2"/>
      <c r="AO15" s="2"/>
      <c r="AP15" s="2"/>
      <c r="AQ15" s="2"/>
      <c r="AR15" s="2"/>
      <c r="AS15" s="2">
        <f t="shared" si="10"/>
        <v>0</v>
      </c>
      <c r="AT15" s="2">
        <f t="shared" si="11"/>
        <v>0</v>
      </c>
      <c r="AU15" s="2">
        <f t="shared" si="12"/>
        <v>0</v>
      </c>
      <c r="AV15" s="2">
        <f t="shared" si="13"/>
        <v>0</v>
      </c>
      <c r="AW15" s="2"/>
      <c r="AX15" s="8">
        <f t="shared" si="0"/>
        <v>0</v>
      </c>
      <c r="AY15" s="8">
        <f t="shared" si="1"/>
        <v>0</v>
      </c>
      <c r="AZ15" s="8">
        <f t="shared" si="2"/>
        <v>0</v>
      </c>
      <c r="BA15" s="8">
        <f t="shared" si="8"/>
        <v>0</v>
      </c>
      <c r="BB15" s="8">
        <f t="shared" si="3"/>
        <v>0</v>
      </c>
      <c r="BC15" s="8">
        <f t="shared" si="4"/>
        <v>0</v>
      </c>
      <c r="BD15" s="8">
        <f t="shared" si="9"/>
        <v>0</v>
      </c>
      <c r="BE15" s="8">
        <f t="shared" si="5"/>
        <v>0</v>
      </c>
      <c r="BF15" s="8">
        <f t="shared" si="6"/>
        <v>0</v>
      </c>
      <c r="BG15" s="8">
        <f t="shared" si="7"/>
        <v>0</v>
      </c>
      <c r="BH15" s="1"/>
      <c r="BI15" s="9">
        <v>3.5000000000000003E-2</v>
      </c>
    </row>
    <row r="16" spans="1:61" ht="32" x14ac:dyDescent="0.2">
      <c r="A16" s="10">
        <v>21</v>
      </c>
      <c r="B16" s="3">
        <f>[1]Budget!$H$3</f>
        <v>55</v>
      </c>
      <c r="C16" s="3">
        <f>[1]Budget!$A$8</f>
        <v>0</v>
      </c>
      <c r="D16" s="4">
        <f>IF(C16&gt;0,365/C16,[1]Budget!$B$8)</f>
        <v>0</v>
      </c>
      <c r="E16" s="2" t="s">
        <v>72</v>
      </c>
      <c r="F16" s="3">
        <v>2008</v>
      </c>
      <c r="G16" s="3">
        <v>7</v>
      </c>
      <c r="H16" s="3">
        <v>50</v>
      </c>
      <c r="I16" s="3">
        <v>1</v>
      </c>
      <c r="J16" s="3"/>
      <c r="K16" s="3"/>
      <c r="L16" s="3" t="s">
        <v>56</v>
      </c>
      <c r="M16" s="3"/>
      <c r="N16" s="3" t="s">
        <v>62</v>
      </c>
      <c r="O16" s="3">
        <v>50000</v>
      </c>
      <c r="P16" s="3">
        <v>15500</v>
      </c>
      <c r="Q16" s="3">
        <v>34500</v>
      </c>
      <c r="R16" s="2" t="s">
        <v>73</v>
      </c>
      <c r="S16" s="3">
        <v>2012</v>
      </c>
      <c r="T16" s="3">
        <v>27400</v>
      </c>
      <c r="U16" s="3"/>
      <c r="V16" s="3">
        <v>40</v>
      </c>
      <c r="W16" s="3"/>
      <c r="X16" s="3"/>
      <c r="Y16" s="3">
        <v>500</v>
      </c>
      <c r="Z16" s="3">
        <v>200</v>
      </c>
      <c r="AA16" s="3">
        <v>1.5</v>
      </c>
      <c r="AB16" s="3">
        <v>180</v>
      </c>
      <c r="AC16" s="3" t="s">
        <v>56</v>
      </c>
      <c r="AD16" s="5">
        <v>14</v>
      </c>
      <c r="AE16" s="2"/>
      <c r="AF16" s="6">
        <v>0.03</v>
      </c>
      <c r="AG16" s="2">
        <v>80</v>
      </c>
      <c r="AH16" s="2">
        <v>350</v>
      </c>
      <c r="AI16" s="2"/>
      <c r="AJ16" s="2">
        <f>200/(50)</f>
        <v>4</v>
      </c>
      <c r="AK16" s="2">
        <v>15</v>
      </c>
      <c r="AL16" s="2">
        <v>3</v>
      </c>
      <c r="AM16" s="2"/>
      <c r="AN16" s="2">
        <f>1*50*365</f>
        <v>18250</v>
      </c>
      <c r="AO16" s="2">
        <f>11/60</f>
        <v>0.18333333333333332</v>
      </c>
      <c r="AP16" s="15">
        <f>2*50*365</f>
        <v>36500</v>
      </c>
      <c r="AQ16" s="15">
        <f>1*50*365</f>
        <v>18250</v>
      </c>
      <c r="AR16" s="2"/>
      <c r="AS16" s="2">
        <f t="shared" si="10"/>
        <v>73000</v>
      </c>
      <c r="AT16" s="2">
        <f t="shared" si="11"/>
        <v>4500</v>
      </c>
      <c r="AU16" s="2">
        <f t="shared" si="12"/>
        <v>900</v>
      </c>
      <c r="AV16" s="2">
        <f t="shared" si="13"/>
        <v>3345.833333333333</v>
      </c>
      <c r="AW16" s="2"/>
      <c r="AX16" s="8">
        <f t="shared" si="0"/>
        <v>240</v>
      </c>
      <c r="AY16" s="8">
        <f t="shared" si="1"/>
        <v>15</v>
      </c>
      <c r="AZ16" s="8">
        <f t="shared" si="2"/>
        <v>3</v>
      </c>
      <c r="BA16" s="8">
        <f t="shared" si="8"/>
        <v>0</v>
      </c>
      <c r="BB16" s="8">
        <f t="shared" si="3"/>
        <v>60.833333333333336</v>
      </c>
      <c r="BC16" s="8">
        <f t="shared" si="4"/>
        <v>11</v>
      </c>
      <c r="BD16" s="8">
        <f t="shared" si="9"/>
        <v>121.66666666666667</v>
      </c>
      <c r="BE16" s="8">
        <f t="shared" si="5"/>
        <v>60.833333333333336</v>
      </c>
      <c r="BF16" s="8">
        <f t="shared" si="6"/>
        <v>0</v>
      </c>
      <c r="BG16" s="8">
        <f t="shared" si="7"/>
        <v>512.33333333333337</v>
      </c>
      <c r="BH16" s="1"/>
      <c r="BI16" s="13"/>
    </row>
    <row r="17" spans="1:61" ht="32" x14ac:dyDescent="0.2">
      <c r="A17" s="10">
        <v>24</v>
      </c>
      <c r="B17" s="3">
        <f>[1]Budget!$H$3</f>
        <v>55</v>
      </c>
      <c r="C17" s="3">
        <f>[1]Budget!$A$8</f>
        <v>0</v>
      </c>
      <c r="D17" s="4">
        <f>IF(C17&gt;0,365/C17,[1]Budget!$B$8)</f>
        <v>0</v>
      </c>
      <c r="E17" s="14" t="s">
        <v>68</v>
      </c>
      <c r="F17" s="3">
        <v>2011</v>
      </c>
      <c r="G17" s="3">
        <v>5</v>
      </c>
      <c r="H17" s="3">
        <v>15</v>
      </c>
      <c r="I17" s="3">
        <v>1</v>
      </c>
      <c r="J17" s="3"/>
      <c r="K17" s="3"/>
      <c r="L17" s="3" t="s">
        <v>56</v>
      </c>
      <c r="M17" s="3"/>
      <c r="N17" s="3" t="s">
        <v>67</v>
      </c>
      <c r="O17" s="3">
        <v>30000</v>
      </c>
      <c r="P17" s="3">
        <v>11000</v>
      </c>
      <c r="Q17" s="3">
        <v>19000</v>
      </c>
      <c r="R17" s="3" t="s">
        <v>59</v>
      </c>
      <c r="S17" s="3"/>
      <c r="T17" s="3"/>
      <c r="U17" s="3">
        <v>15</v>
      </c>
      <c r="V17" s="3">
        <v>25</v>
      </c>
      <c r="W17" s="3"/>
      <c r="X17" s="3"/>
      <c r="Y17" s="3">
        <v>200</v>
      </c>
      <c r="Z17" s="3">
        <v>200</v>
      </c>
      <c r="AA17" s="3">
        <v>0.5</v>
      </c>
      <c r="AB17" s="3">
        <v>5</v>
      </c>
      <c r="AC17" s="3" t="s">
        <v>56</v>
      </c>
      <c r="AD17" s="5">
        <v>10</v>
      </c>
      <c r="AE17" s="2"/>
      <c r="AF17" s="6">
        <v>0.01</v>
      </c>
      <c r="AG17" s="2">
        <v>100</v>
      </c>
      <c r="AH17" s="2">
        <v>225</v>
      </c>
      <c r="AI17" s="2"/>
      <c r="AJ17" s="2"/>
      <c r="AK17" s="2"/>
      <c r="AL17" s="2"/>
      <c r="AM17" s="2"/>
      <c r="AN17" s="2"/>
      <c r="AO17" s="2"/>
      <c r="AP17" s="2"/>
      <c r="AQ17" s="2"/>
      <c r="AR17" s="2"/>
      <c r="AS17" s="2">
        <f t="shared" si="10"/>
        <v>0</v>
      </c>
      <c r="AT17" s="2">
        <f t="shared" si="11"/>
        <v>0</v>
      </c>
      <c r="AU17" s="2">
        <f t="shared" si="12"/>
        <v>0</v>
      </c>
      <c r="AV17" s="2">
        <f t="shared" si="13"/>
        <v>0</v>
      </c>
      <c r="AW17" s="2"/>
      <c r="AX17" s="8">
        <f t="shared" si="0"/>
        <v>0</v>
      </c>
      <c r="AY17" s="8">
        <f t="shared" si="1"/>
        <v>0</v>
      </c>
      <c r="AZ17" s="8">
        <f t="shared" si="2"/>
        <v>0</v>
      </c>
      <c r="BA17" s="8">
        <f t="shared" si="8"/>
        <v>0</v>
      </c>
      <c r="BB17" s="8">
        <f t="shared" si="3"/>
        <v>0</v>
      </c>
      <c r="BC17" s="8">
        <f t="shared" si="4"/>
        <v>0</v>
      </c>
      <c r="BD17" s="8">
        <f t="shared" si="9"/>
        <v>0</v>
      </c>
      <c r="BE17" s="8">
        <f t="shared" si="5"/>
        <v>0</v>
      </c>
      <c r="BF17" s="8">
        <f t="shared" si="6"/>
        <v>0</v>
      </c>
      <c r="BG17" s="8">
        <f t="shared" si="7"/>
        <v>0</v>
      </c>
      <c r="BH17" s="1"/>
      <c r="BI17" s="9"/>
    </row>
    <row r="18" spans="1:61" ht="32" x14ac:dyDescent="0.2">
      <c r="A18" s="10">
        <v>25</v>
      </c>
      <c r="B18" s="3">
        <f>[1]Budget!$H$3</f>
        <v>55</v>
      </c>
      <c r="C18" s="3">
        <f>[1]Budget!$A$8</f>
        <v>0</v>
      </c>
      <c r="D18" s="4">
        <f>IF(C18&gt;0,365/C18,[1]Budget!$B$8)</f>
        <v>0</v>
      </c>
      <c r="E18" s="14" t="s">
        <v>68</v>
      </c>
      <c r="F18" s="3">
        <v>2011</v>
      </c>
      <c r="G18" s="3">
        <v>8</v>
      </c>
      <c r="H18" s="3">
        <v>85</v>
      </c>
      <c r="I18" s="3">
        <v>1</v>
      </c>
      <c r="J18" s="3"/>
      <c r="K18" s="3"/>
      <c r="L18" s="3" t="s">
        <v>56</v>
      </c>
      <c r="M18" s="3"/>
      <c r="N18" s="3" t="s">
        <v>67</v>
      </c>
      <c r="O18" s="3">
        <v>35000</v>
      </c>
      <c r="P18" s="3">
        <v>25000</v>
      </c>
      <c r="Q18" s="3">
        <v>10000</v>
      </c>
      <c r="R18" s="3" t="s">
        <v>74</v>
      </c>
      <c r="S18" s="3">
        <v>2012</v>
      </c>
      <c r="T18" s="3"/>
      <c r="U18" s="3">
        <v>10</v>
      </c>
      <c r="V18" s="3">
        <v>10</v>
      </c>
      <c r="W18" s="3"/>
      <c r="X18" s="3"/>
      <c r="Y18" s="3">
        <v>9470</v>
      </c>
      <c r="Z18" s="3"/>
      <c r="AA18" s="3">
        <f>200/60</f>
        <v>3.3333333333333335</v>
      </c>
      <c r="AB18" s="3">
        <v>15</v>
      </c>
      <c r="AC18" s="3" t="s">
        <v>56</v>
      </c>
      <c r="AD18" s="5">
        <v>10</v>
      </c>
      <c r="AE18" s="2"/>
      <c r="AF18" s="6">
        <v>3.2000000000000001E-2</v>
      </c>
      <c r="AG18" s="2">
        <v>150</v>
      </c>
      <c r="AH18" s="2">
        <v>325</v>
      </c>
      <c r="AI18" s="2"/>
      <c r="AJ18" s="2">
        <f>(65728+5240)*60/60/(85*365)</f>
        <v>2.2874456083803385</v>
      </c>
      <c r="AK18" s="2">
        <f>500/(85*6)</f>
        <v>0.98039215686274506</v>
      </c>
      <c r="AL18" s="2">
        <f>1000/(85*6)</f>
        <v>1.9607843137254901</v>
      </c>
      <c r="AM18" s="2"/>
      <c r="AN18" s="2">
        <f>3000/(85*6)</f>
        <v>5.882352941176471</v>
      </c>
      <c r="AO18" s="2">
        <f>2000/(85*6)</f>
        <v>3.9215686274509802</v>
      </c>
      <c r="AP18" s="2"/>
      <c r="AQ18" s="2">
        <f>200/(85*6)</f>
        <v>0.39215686274509803</v>
      </c>
      <c r="AR18" s="2"/>
      <c r="AS18" s="2">
        <f t="shared" si="10"/>
        <v>70968</v>
      </c>
      <c r="AT18" s="2">
        <f t="shared" si="11"/>
        <v>500</v>
      </c>
      <c r="AU18" s="2">
        <f t="shared" si="12"/>
        <v>1000</v>
      </c>
      <c r="AV18" s="2">
        <f t="shared" si="13"/>
        <v>121666.66666666666</v>
      </c>
      <c r="AW18" s="2"/>
      <c r="AX18" s="8">
        <f t="shared" si="0"/>
        <v>137.24673650282031</v>
      </c>
      <c r="AY18" s="8">
        <f t="shared" si="1"/>
        <v>0.98039215686274506</v>
      </c>
      <c r="AZ18" s="8">
        <f t="shared" si="2"/>
        <v>1.9607843137254901</v>
      </c>
      <c r="BA18" s="8">
        <f t="shared" si="8"/>
        <v>0</v>
      </c>
      <c r="BB18" s="8">
        <f t="shared" si="3"/>
        <v>1.1534025374855825E-2</v>
      </c>
      <c r="BC18" s="8">
        <f t="shared" si="4"/>
        <v>235.29411764705881</v>
      </c>
      <c r="BD18" s="8">
        <f t="shared" si="9"/>
        <v>0</v>
      </c>
      <c r="BE18" s="8">
        <f t="shared" si="5"/>
        <v>7.6893502499038834E-4</v>
      </c>
      <c r="BF18" s="8">
        <f t="shared" si="6"/>
        <v>0</v>
      </c>
      <c r="BG18" s="8">
        <f t="shared" si="7"/>
        <v>375.49433358086719</v>
      </c>
      <c r="BH18" s="1"/>
      <c r="BI18" s="9">
        <v>0.05</v>
      </c>
    </row>
    <row r="19" spans="1:61" x14ac:dyDescent="0.2">
      <c r="A19" s="10">
        <v>26</v>
      </c>
      <c r="B19" s="3">
        <f>[1]Budget!$H$3</f>
        <v>55</v>
      </c>
      <c r="C19" s="3">
        <f>[1]Budget!$A$8</f>
        <v>0</v>
      </c>
      <c r="D19" s="4">
        <f>IF(C19&gt;0,365/C19,[1]Budget!$B$8)</f>
        <v>0</v>
      </c>
      <c r="E19" s="2" t="s">
        <v>61</v>
      </c>
      <c r="F19" s="3">
        <v>2009</v>
      </c>
      <c r="G19" s="3">
        <v>8</v>
      </c>
      <c r="H19" s="3">
        <v>27</v>
      </c>
      <c r="I19" s="3">
        <v>1</v>
      </c>
      <c r="J19" s="3"/>
      <c r="K19" s="3"/>
      <c r="L19" s="3" t="s">
        <v>56</v>
      </c>
      <c r="M19" s="3"/>
      <c r="N19" s="3" t="s">
        <v>67</v>
      </c>
      <c r="O19" s="3">
        <v>50000</v>
      </c>
      <c r="P19" s="3">
        <v>14700</v>
      </c>
      <c r="Q19" s="3">
        <v>35300</v>
      </c>
      <c r="R19" s="3" t="s">
        <v>59</v>
      </c>
      <c r="S19" s="3"/>
      <c r="T19" s="3"/>
      <c r="U19" s="3">
        <v>10</v>
      </c>
      <c r="V19" s="3">
        <v>20</v>
      </c>
      <c r="W19" s="3"/>
      <c r="X19" s="3"/>
      <c r="Y19" s="3">
        <v>450</v>
      </c>
      <c r="Z19" s="3">
        <v>0</v>
      </c>
      <c r="AA19" s="3">
        <f>10/60</f>
        <v>0.16666666666666666</v>
      </c>
      <c r="AB19" s="3">
        <v>8</v>
      </c>
      <c r="AC19" s="3" t="s">
        <v>59</v>
      </c>
      <c r="AD19" s="5">
        <v>15</v>
      </c>
      <c r="AE19" s="2"/>
      <c r="AF19" s="6">
        <v>0.01</v>
      </c>
      <c r="AG19" s="2">
        <v>300</v>
      </c>
      <c r="AH19" s="2">
        <v>500</v>
      </c>
      <c r="AI19" s="2"/>
      <c r="AJ19" s="2">
        <f>2.1+1.2</f>
        <v>3.3</v>
      </c>
      <c r="AK19" s="2">
        <f>26/6</f>
        <v>4.333333333333333</v>
      </c>
      <c r="AL19" s="2"/>
      <c r="AM19" s="2"/>
      <c r="AN19" s="2"/>
      <c r="AO19" s="2">
        <f>0.25</f>
        <v>0.25</v>
      </c>
      <c r="AP19" s="2"/>
      <c r="AQ19" s="2"/>
      <c r="AR19" s="2"/>
      <c r="AS19" s="2">
        <f t="shared" si="10"/>
        <v>32521.499999999996</v>
      </c>
      <c r="AT19" s="2">
        <f t="shared" si="11"/>
        <v>701.99999999999989</v>
      </c>
      <c r="AU19" s="2">
        <f t="shared" si="12"/>
        <v>0</v>
      </c>
      <c r="AV19" s="2">
        <f t="shared" si="13"/>
        <v>2463.75</v>
      </c>
      <c r="AW19" s="2"/>
      <c r="AX19" s="8">
        <f t="shared" si="0"/>
        <v>198</v>
      </c>
      <c r="AY19" s="8">
        <f t="shared" si="1"/>
        <v>4.333333333333333</v>
      </c>
      <c r="AZ19" s="8">
        <f t="shared" si="2"/>
        <v>0</v>
      </c>
      <c r="BA19" s="8">
        <f t="shared" si="8"/>
        <v>0</v>
      </c>
      <c r="BB19" s="8">
        <f t="shared" si="3"/>
        <v>0</v>
      </c>
      <c r="BC19" s="8">
        <f t="shared" si="4"/>
        <v>15</v>
      </c>
      <c r="BD19" s="8">
        <f t="shared" si="9"/>
        <v>0</v>
      </c>
      <c r="BE19" s="8">
        <f t="shared" si="5"/>
        <v>0</v>
      </c>
      <c r="BF19" s="8">
        <f t="shared" si="6"/>
        <v>0</v>
      </c>
      <c r="BG19" s="8">
        <f t="shared" si="7"/>
        <v>217.33333333333334</v>
      </c>
      <c r="BH19" s="1"/>
      <c r="BI19" s="9">
        <v>0.03</v>
      </c>
    </row>
    <row r="20" spans="1:61" ht="48" x14ac:dyDescent="0.2">
      <c r="A20" s="10">
        <v>29</v>
      </c>
      <c r="B20" s="3">
        <f>[1]Budget!$H$3</f>
        <v>55</v>
      </c>
      <c r="C20" s="3">
        <f>[1]Budget!$A$8</f>
        <v>0</v>
      </c>
      <c r="D20" s="4">
        <f>IF(C20&gt;0,365/C20,[1]Budget!$B$8)</f>
        <v>0</v>
      </c>
      <c r="E20" s="2" t="s">
        <v>75</v>
      </c>
      <c r="F20" s="3">
        <v>2009</v>
      </c>
      <c r="G20" s="3">
        <v>11</v>
      </c>
      <c r="H20" s="3">
        <v>36</v>
      </c>
      <c r="I20" s="3">
        <v>1</v>
      </c>
      <c r="J20" s="3"/>
      <c r="K20" s="3"/>
      <c r="L20" s="3" t="s">
        <v>56</v>
      </c>
      <c r="M20" s="3"/>
      <c r="N20" s="3" t="s">
        <v>62</v>
      </c>
      <c r="O20" s="3">
        <v>50000</v>
      </c>
      <c r="P20" s="3">
        <v>18000</v>
      </c>
      <c r="Q20" s="3">
        <v>32000</v>
      </c>
      <c r="R20" s="2" t="s">
        <v>76</v>
      </c>
      <c r="S20" s="3">
        <v>2011</v>
      </c>
      <c r="T20" s="3">
        <v>2000</v>
      </c>
      <c r="U20" s="3">
        <v>12.5</v>
      </c>
      <c r="V20" s="3">
        <v>50</v>
      </c>
      <c r="W20" s="3"/>
      <c r="X20" s="3"/>
      <c r="Y20" s="3">
        <v>200</v>
      </c>
      <c r="Z20" s="3">
        <v>500</v>
      </c>
      <c r="AA20" s="3">
        <v>1.25</v>
      </c>
      <c r="AB20" s="3">
        <v>6</v>
      </c>
      <c r="AC20" s="3" t="s">
        <v>56</v>
      </c>
      <c r="AD20" s="5">
        <v>18</v>
      </c>
      <c r="AE20" s="2"/>
      <c r="AF20" s="6"/>
      <c r="AG20" s="2"/>
      <c r="AH20" s="2"/>
      <c r="AI20" s="2"/>
      <c r="AJ20" s="2"/>
      <c r="AK20" s="2"/>
      <c r="AL20" s="2"/>
      <c r="AM20" s="2"/>
      <c r="AN20" s="2"/>
      <c r="AO20" s="2"/>
      <c r="AP20" s="2"/>
      <c r="AQ20" s="2"/>
      <c r="AR20" s="2"/>
      <c r="AS20" s="2">
        <f t="shared" si="10"/>
        <v>0</v>
      </c>
      <c r="AT20" s="2">
        <f t="shared" si="11"/>
        <v>0</v>
      </c>
      <c r="AU20" s="2">
        <f t="shared" si="12"/>
        <v>0</v>
      </c>
      <c r="AV20" s="2">
        <f t="shared" si="13"/>
        <v>0</v>
      </c>
      <c r="AW20" s="2"/>
      <c r="AX20" s="8">
        <f t="shared" si="0"/>
        <v>0</v>
      </c>
      <c r="AY20" s="8">
        <f t="shared" si="1"/>
        <v>0</v>
      </c>
      <c r="AZ20" s="8">
        <f t="shared" si="2"/>
        <v>0</v>
      </c>
      <c r="BA20" s="8">
        <f t="shared" si="8"/>
        <v>0</v>
      </c>
      <c r="BB20" s="8">
        <f t="shared" si="3"/>
        <v>0</v>
      </c>
      <c r="BC20" s="8">
        <f t="shared" si="4"/>
        <v>0</v>
      </c>
      <c r="BD20" s="8">
        <f t="shared" si="9"/>
        <v>0</v>
      </c>
      <c r="BE20" s="8">
        <f t="shared" si="5"/>
        <v>0</v>
      </c>
      <c r="BF20" s="8">
        <f t="shared" si="6"/>
        <v>0</v>
      </c>
      <c r="BG20" s="8">
        <f t="shared" si="7"/>
        <v>0</v>
      </c>
      <c r="BH20" s="1"/>
      <c r="BI20" s="9"/>
    </row>
    <row r="21" spans="1:61" x14ac:dyDescent="0.2">
      <c r="A21" s="10">
        <v>30</v>
      </c>
      <c r="B21" s="3">
        <f>[1]Budget!$H$3</f>
        <v>55</v>
      </c>
      <c r="C21" s="3">
        <f>[1]Budget!$A$8</f>
        <v>0</v>
      </c>
      <c r="D21" s="4">
        <f>IF(C21&gt;0,365/C21,[1]Budget!$B$8)</f>
        <v>0</v>
      </c>
      <c r="E21" s="2" t="s">
        <v>61</v>
      </c>
      <c r="F21" s="3">
        <v>2009</v>
      </c>
      <c r="G21" s="3"/>
      <c r="H21" s="3">
        <v>26</v>
      </c>
      <c r="I21" s="3">
        <v>1</v>
      </c>
      <c r="J21" s="3">
        <v>1</v>
      </c>
      <c r="K21" s="3"/>
      <c r="L21" s="3" t="s">
        <v>56</v>
      </c>
      <c r="M21" s="3"/>
      <c r="N21" s="3" t="s">
        <v>67</v>
      </c>
      <c r="O21" s="3">
        <v>12000</v>
      </c>
      <c r="P21" s="3">
        <v>12000</v>
      </c>
      <c r="Q21" s="3">
        <v>0</v>
      </c>
      <c r="R21" s="3"/>
      <c r="S21" s="3"/>
      <c r="T21" s="3"/>
      <c r="U21" s="3">
        <v>10</v>
      </c>
      <c r="V21" s="3">
        <v>20</v>
      </c>
      <c r="W21" s="3"/>
      <c r="X21" s="3"/>
      <c r="Y21" s="3">
        <v>130</v>
      </c>
      <c r="Z21" s="3"/>
      <c r="AA21" s="3">
        <f>35/60</f>
        <v>0.58333333333333337</v>
      </c>
      <c r="AB21" s="3">
        <v>2</v>
      </c>
      <c r="AC21" s="3" t="s">
        <v>56</v>
      </c>
      <c r="AD21" s="5">
        <v>17.5</v>
      </c>
      <c r="AE21" s="2"/>
      <c r="AF21" s="6">
        <v>0.06</v>
      </c>
      <c r="AG21" s="2">
        <v>150</v>
      </c>
      <c r="AH21" s="2">
        <v>350</v>
      </c>
      <c r="AI21" s="2"/>
      <c r="AJ21" s="2">
        <f>84/60</f>
        <v>1.4</v>
      </c>
      <c r="AK21" s="2">
        <v>12</v>
      </c>
      <c r="AL21" s="2">
        <v>1</v>
      </c>
      <c r="AM21" s="2"/>
      <c r="AN21" s="2"/>
      <c r="AO21" s="2">
        <f>1.5/60</f>
        <v>2.5000000000000001E-2</v>
      </c>
      <c r="AP21" s="2"/>
      <c r="AQ21" s="2"/>
      <c r="AR21" s="2">
        <f>2*26*6</f>
        <v>312</v>
      </c>
      <c r="AS21" s="2">
        <f t="shared" si="10"/>
        <v>13286</v>
      </c>
      <c r="AT21" s="2">
        <f t="shared" si="11"/>
        <v>1872</v>
      </c>
      <c r="AU21" s="2">
        <f t="shared" si="12"/>
        <v>156</v>
      </c>
      <c r="AV21" s="2">
        <f t="shared" si="13"/>
        <v>237.25</v>
      </c>
      <c r="AW21" s="2"/>
      <c r="AX21" s="8">
        <f t="shared" si="0"/>
        <v>84</v>
      </c>
      <c r="AY21" s="8">
        <f t="shared" si="1"/>
        <v>12</v>
      </c>
      <c r="AZ21" s="8">
        <f t="shared" si="2"/>
        <v>1</v>
      </c>
      <c r="BA21" s="8">
        <f t="shared" si="8"/>
        <v>0</v>
      </c>
      <c r="BB21" s="8">
        <f t="shared" si="3"/>
        <v>0</v>
      </c>
      <c r="BC21" s="8">
        <f t="shared" si="4"/>
        <v>1.5</v>
      </c>
      <c r="BD21" s="8">
        <f t="shared" si="9"/>
        <v>0</v>
      </c>
      <c r="BE21" s="8">
        <f t="shared" si="5"/>
        <v>0</v>
      </c>
      <c r="BF21" s="8">
        <f t="shared" si="6"/>
        <v>2</v>
      </c>
      <c r="BG21" s="8">
        <f t="shared" si="7"/>
        <v>100.5</v>
      </c>
      <c r="BH21" s="1"/>
      <c r="BI21" s="9">
        <v>0.05</v>
      </c>
    </row>
    <row r="22" spans="1:61" x14ac:dyDescent="0.2">
      <c r="A22" s="10">
        <v>32</v>
      </c>
      <c r="B22" s="3">
        <f>[1]Budget!$H$3</f>
        <v>55</v>
      </c>
      <c r="C22" s="3">
        <f>[1]Budget!$A$8</f>
        <v>0</v>
      </c>
      <c r="D22" s="4">
        <f>IF(C22&gt;0,365/C22,[1]Budget!$B$8)</f>
        <v>0</v>
      </c>
      <c r="E22" s="2"/>
      <c r="F22" s="3">
        <v>2010</v>
      </c>
      <c r="G22" s="3">
        <v>12</v>
      </c>
      <c r="H22" s="3">
        <v>350</v>
      </c>
      <c r="I22" s="3"/>
      <c r="J22" s="3"/>
      <c r="K22" s="3"/>
      <c r="L22" s="3"/>
      <c r="M22" s="3"/>
      <c r="N22" s="3" t="s">
        <v>62</v>
      </c>
      <c r="O22" s="3">
        <f>P22+Q22</f>
        <v>365000</v>
      </c>
      <c r="P22" s="3">
        <v>15000</v>
      </c>
      <c r="Q22" s="3">
        <v>350000</v>
      </c>
      <c r="R22" s="3" t="s">
        <v>64</v>
      </c>
      <c r="S22" s="3"/>
      <c r="T22" s="3"/>
      <c r="U22" s="3"/>
      <c r="V22" s="3"/>
      <c r="W22" s="3"/>
      <c r="X22" s="3"/>
      <c r="Y22" s="3"/>
      <c r="Z22" s="3"/>
      <c r="AA22" s="3">
        <v>10</v>
      </c>
      <c r="AB22" s="3"/>
      <c r="AC22" s="3"/>
      <c r="AD22" s="5"/>
      <c r="AE22" s="2"/>
      <c r="AF22" s="6">
        <v>7.0000000000000007E-2</v>
      </c>
      <c r="AG22" s="2"/>
      <c r="AH22" s="2"/>
      <c r="AI22" s="2"/>
      <c r="AJ22" s="2"/>
      <c r="AK22" s="2"/>
      <c r="AL22" s="2"/>
      <c r="AM22" s="2"/>
      <c r="AN22" s="2"/>
      <c r="AO22" s="2"/>
      <c r="AP22" s="2"/>
      <c r="AQ22" s="2"/>
      <c r="AR22" s="2"/>
      <c r="AS22" s="2"/>
      <c r="AT22" s="2"/>
      <c r="AU22" s="2"/>
      <c r="AV22" s="2"/>
      <c r="AW22" s="2"/>
      <c r="AX22" s="8"/>
      <c r="AY22" s="8"/>
      <c r="AZ22" s="8"/>
      <c r="BA22" s="8"/>
      <c r="BB22" s="8"/>
      <c r="BC22" s="8"/>
      <c r="BD22" s="8"/>
      <c r="BE22" s="8"/>
      <c r="BF22" s="8"/>
      <c r="BG22" s="8"/>
      <c r="BH22" s="1"/>
      <c r="BI22" s="9"/>
    </row>
    <row r="23" spans="1:61" x14ac:dyDescent="0.2">
      <c r="A23" s="10">
        <v>33</v>
      </c>
      <c r="B23" s="3">
        <f>[1]Budget!$H$3</f>
        <v>55</v>
      </c>
      <c r="C23" s="3">
        <f>[1]Budget!$A$8</f>
        <v>0</v>
      </c>
      <c r="D23" s="4">
        <f>IF(C23&gt;0,365/C23,[1]Budget!$B$8)</f>
        <v>0</v>
      </c>
      <c r="E23" s="2" t="s">
        <v>63</v>
      </c>
      <c r="F23" s="3">
        <v>2009</v>
      </c>
      <c r="G23" s="3"/>
      <c r="H23" s="3">
        <v>40</v>
      </c>
      <c r="I23" s="3"/>
      <c r="J23" s="3"/>
      <c r="K23" s="3"/>
      <c r="L23" s="3" t="s">
        <v>56</v>
      </c>
      <c r="M23" s="3"/>
      <c r="N23" s="3" t="s">
        <v>67</v>
      </c>
      <c r="O23" s="3">
        <f>P23+Q23</f>
        <v>20000</v>
      </c>
      <c r="P23" s="3">
        <v>13000</v>
      </c>
      <c r="Q23" s="3">
        <v>7000</v>
      </c>
      <c r="R23" s="3" t="s">
        <v>77</v>
      </c>
      <c r="S23" s="3">
        <v>2013</v>
      </c>
      <c r="T23" s="3">
        <v>1000</v>
      </c>
      <c r="U23" s="3">
        <v>15</v>
      </c>
      <c r="V23" s="3"/>
      <c r="W23" s="3"/>
      <c r="X23" s="3"/>
      <c r="Y23" s="3"/>
      <c r="Z23" s="3"/>
      <c r="AA23" s="3"/>
      <c r="AB23" s="3">
        <v>3</v>
      </c>
      <c r="AC23" s="3"/>
      <c r="AD23" s="5">
        <v>11</v>
      </c>
      <c r="AE23" s="2"/>
      <c r="AF23" s="6">
        <v>0.01</v>
      </c>
      <c r="AG23" s="2">
        <v>300</v>
      </c>
      <c r="AH23" s="2">
        <v>500</v>
      </c>
      <c r="AI23" s="2"/>
      <c r="AJ23" s="2"/>
      <c r="AK23" s="2"/>
      <c r="AL23" s="2"/>
      <c r="AM23" s="2"/>
      <c r="AN23" s="2"/>
      <c r="AO23" s="2"/>
      <c r="AP23" s="2"/>
      <c r="AQ23" s="2"/>
      <c r="AR23" s="2"/>
      <c r="AS23" s="2"/>
      <c r="AT23" s="2"/>
      <c r="AU23" s="2"/>
      <c r="AV23" s="2"/>
      <c r="AW23" s="2"/>
      <c r="AX23" s="8"/>
      <c r="AY23" s="8"/>
      <c r="AZ23" s="8"/>
      <c r="BA23" s="8"/>
      <c r="BB23" s="8"/>
      <c r="BC23" s="8"/>
      <c r="BD23" s="8"/>
      <c r="BE23" s="8"/>
      <c r="BF23" s="8"/>
      <c r="BG23" s="8"/>
      <c r="BH23" s="1"/>
      <c r="BI23" s="9">
        <v>0.04</v>
      </c>
    </row>
    <row r="24" spans="1:61" x14ac:dyDescent="0.2">
      <c r="A24" s="10">
        <v>37</v>
      </c>
      <c r="B24" s="3">
        <f>[1]Budget!$H$3</f>
        <v>55</v>
      </c>
      <c r="C24" s="3">
        <f>[1]Budget!$A$8</f>
        <v>0</v>
      </c>
      <c r="D24" s="4">
        <f>IF(C24&gt;0,365/C24,[1]Budget!$B$8)</f>
        <v>0</v>
      </c>
      <c r="E24" s="2" t="s">
        <v>78</v>
      </c>
      <c r="F24" s="3">
        <v>2012</v>
      </c>
      <c r="G24" s="3">
        <v>4</v>
      </c>
      <c r="H24" s="3">
        <v>40</v>
      </c>
      <c r="I24" s="3">
        <v>1</v>
      </c>
      <c r="J24" s="3"/>
      <c r="K24" s="3"/>
      <c r="L24" s="3" t="s">
        <v>59</v>
      </c>
      <c r="M24" s="3"/>
      <c r="N24" s="3" t="s">
        <v>62</v>
      </c>
      <c r="O24" s="3">
        <v>600000</v>
      </c>
      <c r="P24" s="3">
        <v>18000</v>
      </c>
      <c r="Q24" s="3">
        <v>540000</v>
      </c>
      <c r="R24" s="3" t="s">
        <v>59</v>
      </c>
      <c r="S24" s="3"/>
      <c r="T24" s="3"/>
      <c r="U24" s="3">
        <v>20</v>
      </c>
      <c r="V24" s="3"/>
      <c r="W24" s="3"/>
      <c r="X24" s="3"/>
      <c r="Y24" s="3">
        <v>30000</v>
      </c>
      <c r="Z24" s="3"/>
      <c r="AA24" s="3">
        <v>4</v>
      </c>
      <c r="AB24" s="3">
        <v>25</v>
      </c>
      <c r="AC24" s="3" t="s">
        <v>56</v>
      </c>
      <c r="AD24" s="5">
        <v>20</v>
      </c>
      <c r="AE24" s="2"/>
      <c r="AF24" s="6">
        <v>0.05</v>
      </c>
      <c r="AG24" s="2">
        <v>300</v>
      </c>
      <c r="AH24" s="2">
        <v>400</v>
      </c>
      <c r="AI24" s="2"/>
      <c r="AJ24" s="2">
        <f>75/60</f>
        <v>1.25</v>
      </c>
      <c r="AK24" s="2">
        <v>10</v>
      </c>
      <c r="AL24" s="2"/>
      <c r="AM24" s="2"/>
      <c r="AN24" s="2"/>
      <c r="AO24" s="2">
        <f>12/60</f>
        <v>0.2</v>
      </c>
      <c r="AP24" s="2"/>
      <c r="AQ24" s="2"/>
      <c r="AR24" s="2"/>
      <c r="AS24" s="2">
        <f>AJ24*$H24*365</f>
        <v>18250</v>
      </c>
      <c r="AT24" s="2">
        <f>AK24*H24*6</f>
        <v>2400</v>
      </c>
      <c r="AU24" s="2">
        <f>AL24*H24*6</f>
        <v>0</v>
      </c>
      <c r="AV24" s="2">
        <f>AO24*H24*365</f>
        <v>2920</v>
      </c>
      <c r="AW24" s="2"/>
      <c r="AX24" s="8">
        <f t="shared" ref="AX24:AX36" si="14">AJ24*60</f>
        <v>75</v>
      </c>
      <c r="AY24" s="8">
        <f t="shared" ref="AY24:AY36" si="15">AK24</f>
        <v>10</v>
      </c>
      <c r="AZ24" s="8">
        <f t="shared" ref="AZ24:AZ36" si="16">AL24</f>
        <v>0</v>
      </c>
      <c r="BA24" s="8">
        <f t="shared" ref="BA24:BA36" si="17">AM24/($H24*6)</f>
        <v>0</v>
      </c>
      <c r="BB24" s="8">
        <f t="shared" ref="BB24:BB36" si="18">AN24/($H24*6)</f>
        <v>0</v>
      </c>
      <c r="BC24" s="8">
        <f t="shared" ref="BC24:BC36" si="19">AO24*60</f>
        <v>12</v>
      </c>
      <c r="BD24" s="8">
        <f t="shared" ref="BD24:BD36" si="20">AP24/($H24*6)</f>
        <v>0</v>
      </c>
      <c r="BE24" s="8">
        <f t="shared" ref="BE24:BE36" si="21">AQ24/($H24*6)</f>
        <v>0</v>
      </c>
      <c r="BF24" s="8">
        <f t="shared" ref="BF24:BF36" si="22">AR24/($H24*6)</f>
        <v>0</v>
      </c>
      <c r="BG24" s="8">
        <f t="shared" ref="BG24:BG36" si="23">SUM(AX24:BF24)</f>
        <v>97</v>
      </c>
      <c r="BH24" s="1"/>
      <c r="BI24" s="9"/>
    </row>
    <row r="25" spans="1:61" x14ac:dyDescent="0.2">
      <c r="A25" s="10">
        <v>38</v>
      </c>
      <c r="B25" s="3">
        <f>[1]Budget!$H$3</f>
        <v>55</v>
      </c>
      <c r="C25" s="3">
        <f>[1]Budget!$A$8</f>
        <v>0</v>
      </c>
      <c r="D25" s="4">
        <f>IF(C25&gt;0,365/C25,[1]Budget!$B$8)</f>
        <v>0</v>
      </c>
      <c r="E25" s="2" t="s">
        <v>61</v>
      </c>
      <c r="F25" s="3">
        <v>2010</v>
      </c>
      <c r="G25" s="3"/>
      <c r="H25" s="3">
        <v>45</v>
      </c>
      <c r="I25" s="3">
        <v>1</v>
      </c>
      <c r="J25" s="3"/>
      <c r="K25" s="3"/>
      <c r="L25" s="3" t="s">
        <v>56</v>
      </c>
      <c r="M25" s="3"/>
      <c r="N25" s="3" t="s">
        <v>67</v>
      </c>
      <c r="O25" s="3">
        <f>P25+Q25</f>
        <v>17300</v>
      </c>
      <c r="P25" s="3">
        <v>16000</v>
      </c>
      <c r="Q25" s="3">
        <f>900+100+300</f>
        <v>1300</v>
      </c>
      <c r="R25" s="3"/>
      <c r="S25" s="3"/>
      <c r="T25" s="3"/>
      <c r="U25" s="3">
        <v>20</v>
      </c>
      <c r="V25" s="3">
        <v>20</v>
      </c>
      <c r="W25" s="3"/>
      <c r="X25" s="3"/>
      <c r="Y25" s="3">
        <v>1600</v>
      </c>
      <c r="Z25" s="3"/>
      <c r="AA25" s="3"/>
      <c r="AB25" s="3">
        <v>10</v>
      </c>
      <c r="AC25" s="3"/>
      <c r="AD25" s="5"/>
      <c r="AE25" s="2"/>
      <c r="AF25" s="6">
        <v>0.05</v>
      </c>
      <c r="AG25" s="2"/>
      <c r="AH25" s="2"/>
      <c r="AI25" s="2"/>
      <c r="AJ25" s="2">
        <f>(38400+360)/(45*365)</f>
        <v>2.3598173515981733</v>
      </c>
      <c r="AK25" s="2"/>
      <c r="AL25" s="2"/>
      <c r="AM25" s="2"/>
      <c r="AN25" s="2"/>
      <c r="AO25" s="2"/>
      <c r="AP25" s="2"/>
      <c r="AQ25" s="2"/>
      <c r="AR25" s="2"/>
      <c r="AS25" s="2">
        <f>AJ25*$H25*365</f>
        <v>38760</v>
      </c>
      <c r="AT25" s="2">
        <f>AK25*H25*6</f>
        <v>0</v>
      </c>
      <c r="AU25" s="2">
        <f>AL25*H25*6</f>
        <v>0</v>
      </c>
      <c r="AV25" s="2">
        <f>AO25*H25*365</f>
        <v>0</v>
      </c>
      <c r="AW25" s="2"/>
      <c r="AX25" s="8">
        <f t="shared" si="14"/>
        <v>141.58904109589039</v>
      </c>
      <c r="AY25" s="8">
        <f t="shared" si="15"/>
        <v>0</v>
      </c>
      <c r="AZ25" s="8">
        <f t="shared" si="16"/>
        <v>0</v>
      </c>
      <c r="BA25" s="8">
        <f t="shared" si="17"/>
        <v>0</v>
      </c>
      <c r="BB25" s="8">
        <f t="shared" si="18"/>
        <v>0</v>
      </c>
      <c r="BC25" s="8">
        <f t="shared" si="19"/>
        <v>0</v>
      </c>
      <c r="BD25" s="8">
        <f t="shared" si="20"/>
        <v>0</v>
      </c>
      <c r="BE25" s="8">
        <f t="shared" si="21"/>
        <v>0</v>
      </c>
      <c r="BF25" s="8">
        <f t="shared" si="22"/>
        <v>0</v>
      </c>
      <c r="BG25" s="8">
        <f t="shared" si="23"/>
        <v>141.58904109589039</v>
      </c>
      <c r="BH25" s="1"/>
      <c r="BI25" s="9"/>
    </row>
    <row r="26" spans="1:61" x14ac:dyDescent="0.2">
      <c r="A26" s="10">
        <v>39</v>
      </c>
      <c r="B26" s="3">
        <f>[1]Budget!$H$3</f>
        <v>55</v>
      </c>
      <c r="C26" s="3">
        <f>[1]Budget!$A$8</f>
        <v>0</v>
      </c>
      <c r="D26" s="4">
        <f>IF(C26&gt;0,365/C26,[1]Budget!$B$8)</f>
        <v>0</v>
      </c>
      <c r="E26" s="2" t="s">
        <v>65</v>
      </c>
      <c r="F26" s="3">
        <v>2011</v>
      </c>
      <c r="G26" s="3">
        <v>3</v>
      </c>
      <c r="H26" s="3">
        <v>40</v>
      </c>
      <c r="I26" s="3">
        <v>1</v>
      </c>
      <c r="J26" s="3"/>
      <c r="K26" s="3"/>
      <c r="L26" s="3" t="s">
        <v>56</v>
      </c>
      <c r="M26" s="3"/>
      <c r="N26" s="3" t="s">
        <v>67</v>
      </c>
      <c r="O26" s="3">
        <v>18000</v>
      </c>
      <c r="P26" s="3">
        <v>15500</v>
      </c>
      <c r="Q26" s="3">
        <v>2500</v>
      </c>
      <c r="R26" s="3"/>
      <c r="S26" s="3"/>
      <c r="T26" s="3"/>
      <c r="U26" s="3">
        <v>10</v>
      </c>
      <c r="V26" s="3">
        <v>25</v>
      </c>
      <c r="W26" s="3"/>
      <c r="X26" s="3"/>
      <c r="Y26" s="3">
        <v>250</v>
      </c>
      <c r="Z26" s="3">
        <v>500</v>
      </c>
      <c r="AA26" s="3">
        <v>3</v>
      </c>
      <c r="AB26" s="3">
        <v>50</v>
      </c>
      <c r="AC26" s="3"/>
      <c r="AD26" s="5">
        <v>25</v>
      </c>
      <c r="AE26" s="2"/>
      <c r="AF26" s="6">
        <v>0.02</v>
      </c>
      <c r="AG26" s="2">
        <v>115</v>
      </c>
      <c r="AH26" s="2">
        <v>250</v>
      </c>
      <c r="AI26" s="2"/>
      <c r="AJ26" s="2">
        <f>2600/(40*30)</f>
        <v>2.1666666666666665</v>
      </c>
      <c r="AK26" s="2">
        <f>250*2/40</f>
        <v>12.5</v>
      </c>
      <c r="AL26" s="2">
        <f>50*2/40</f>
        <v>2.5</v>
      </c>
      <c r="AM26" s="2"/>
      <c r="AN26" s="2">
        <f>125812</f>
        <v>125812</v>
      </c>
      <c r="AO26" s="2">
        <f>130*2/(40*60)</f>
        <v>0.10833333333333334</v>
      </c>
      <c r="AP26" s="2"/>
      <c r="AQ26" s="2">
        <f>225*12</f>
        <v>2700</v>
      </c>
      <c r="AR26" s="2">
        <f>25*12</f>
        <v>300</v>
      </c>
      <c r="AS26" s="2">
        <f>AJ26*$H26*365</f>
        <v>31633.333333333328</v>
      </c>
      <c r="AT26" s="2">
        <f>AK26*H26*6</f>
        <v>3000</v>
      </c>
      <c r="AU26" s="2">
        <f>AL26*H26*6</f>
        <v>600</v>
      </c>
      <c r="AV26" s="2">
        <f>AO26*H26*365</f>
        <v>1581.666666666667</v>
      </c>
      <c r="AW26" s="2"/>
      <c r="AX26" s="8">
        <f t="shared" si="14"/>
        <v>130</v>
      </c>
      <c r="AY26" s="8">
        <f t="shared" si="15"/>
        <v>12.5</v>
      </c>
      <c r="AZ26" s="8">
        <f t="shared" si="16"/>
        <v>2.5</v>
      </c>
      <c r="BA26" s="8">
        <f t="shared" si="17"/>
        <v>0</v>
      </c>
      <c r="BB26" s="8">
        <f t="shared" si="18"/>
        <v>524.2166666666667</v>
      </c>
      <c r="BC26" s="8">
        <f t="shared" si="19"/>
        <v>6.5</v>
      </c>
      <c r="BD26" s="8">
        <f t="shared" si="20"/>
        <v>0</v>
      </c>
      <c r="BE26" s="8">
        <f t="shared" si="21"/>
        <v>11.25</v>
      </c>
      <c r="BF26" s="8">
        <f t="shared" si="22"/>
        <v>1.25</v>
      </c>
      <c r="BG26" s="8">
        <f t="shared" si="23"/>
        <v>688.2166666666667</v>
      </c>
      <c r="BH26" s="1"/>
      <c r="BI26" s="9">
        <v>6.2E-2</v>
      </c>
    </row>
    <row r="27" spans="1:61" x14ac:dyDescent="0.2">
      <c r="A27" s="10">
        <v>40</v>
      </c>
      <c r="B27" s="3">
        <f>[1]Budget!$H$3</f>
        <v>55</v>
      </c>
      <c r="C27" s="3">
        <f>[1]Budget!$A$8</f>
        <v>0</v>
      </c>
      <c r="D27" s="4">
        <f>IF(C27&gt;0,365/C27,[1]Budget!$B$8)</f>
        <v>0</v>
      </c>
      <c r="E27" s="2" t="s">
        <v>79</v>
      </c>
      <c r="F27" s="3">
        <v>2011</v>
      </c>
      <c r="G27" s="3">
        <v>1</v>
      </c>
      <c r="H27" s="3">
        <v>95</v>
      </c>
      <c r="I27" s="3">
        <v>2</v>
      </c>
      <c r="J27" s="3"/>
      <c r="K27" s="3"/>
      <c r="L27" s="3"/>
      <c r="M27" s="3"/>
      <c r="N27" s="3" t="s">
        <v>67</v>
      </c>
      <c r="O27" s="3">
        <f>P27+Q27</f>
        <v>60000</v>
      </c>
      <c r="P27" s="3">
        <v>40000</v>
      </c>
      <c r="Q27" s="3">
        <v>20000</v>
      </c>
      <c r="R27" s="3" t="s">
        <v>59</v>
      </c>
      <c r="S27" s="3"/>
      <c r="T27" s="3"/>
      <c r="U27" s="3">
        <v>9</v>
      </c>
      <c r="V27" s="3">
        <v>20</v>
      </c>
      <c r="W27" s="3"/>
      <c r="X27" s="3"/>
      <c r="Y27" s="3">
        <v>2000</v>
      </c>
      <c r="Z27" s="3">
        <v>500</v>
      </c>
      <c r="AA27" s="3">
        <f>240*2/60</f>
        <v>8</v>
      </c>
      <c r="AB27" s="3">
        <v>12</v>
      </c>
      <c r="AC27" s="3"/>
      <c r="AD27" s="5">
        <v>12</v>
      </c>
      <c r="AE27" s="2"/>
      <c r="AF27" s="6">
        <v>0.02</v>
      </c>
      <c r="AG27" s="2">
        <v>100</v>
      </c>
      <c r="AH27" s="2">
        <v>287</v>
      </c>
      <c r="AI27" s="2"/>
      <c r="AJ27" s="2">
        <f>4000/(140*30)</f>
        <v>0.95238095238095233</v>
      </c>
      <c r="AK27" s="2">
        <f>250*2/95</f>
        <v>5.2631578947368425</v>
      </c>
      <c r="AL27" s="2">
        <f>150*2/95</f>
        <v>3.1578947368421053</v>
      </c>
      <c r="AM27" s="2">
        <f>200*12</f>
        <v>2400</v>
      </c>
      <c r="AN27" s="2">
        <f>460*12</f>
        <v>5520</v>
      </c>
      <c r="AO27" s="2">
        <f>1300/(95*30)</f>
        <v>0.45614035087719296</v>
      </c>
      <c r="AP27" s="2">
        <f>1000*12</f>
        <v>12000</v>
      </c>
      <c r="AQ27" s="2">
        <f>1000</f>
        <v>1000</v>
      </c>
      <c r="AR27" s="2">
        <f>5*95*365</f>
        <v>173375</v>
      </c>
      <c r="AS27" s="2">
        <f>AJ27*$H27*365</f>
        <v>33023.809523809519</v>
      </c>
      <c r="AT27" s="2">
        <f>AK27*H27*6</f>
        <v>3000.0000000000005</v>
      </c>
      <c r="AU27" s="2">
        <f>AL27*H27*6</f>
        <v>1800</v>
      </c>
      <c r="AV27" s="2">
        <f>AO27*H27*365</f>
        <v>15816.666666666664</v>
      </c>
      <c r="AW27" s="2"/>
      <c r="AX27" s="8">
        <f t="shared" si="14"/>
        <v>57.142857142857139</v>
      </c>
      <c r="AY27" s="8">
        <f t="shared" si="15"/>
        <v>5.2631578947368425</v>
      </c>
      <c r="AZ27" s="8">
        <f t="shared" si="16"/>
        <v>3.1578947368421053</v>
      </c>
      <c r="BA27" s="8">
        <f t="shared" si="17"/>
        <v>4.2105263157894735</v>
      </c>
      <c r="BB27" s="8">
        <f t="shared" si="18"/>
        <v>9.6842105263157894</v>
      </c>
      <c r="BC27" s="8">
        <f t="shared" si="19"/>
        <v>27.368421052631579</v>
      </c>
      <c r="BD27" s="8">
        <f t="shared" si="20"/>
        <v>21.05263157894737</v>
      </c>
      <c r="BE27" s="8">
        <f t="shared" si="21"/>
        <v>1.7543859649122806</v>
      </c>
      <c r="BF27" s="8">
        <f t="shared" si="22"/>
        <v>304.16666666666669</v>
      </c>
      <c r="BG27" s="8">
        <f t="shared" si="23"/>
        <v>433.80075187969931</v>
      </c>
      <c r="BH27" s="1"/>
      <c r="BI27" s="9">
        <v>0.05</v>
      </c>
    </row>
    <row r="28" spans="1:61" x14ac:dyDescent="0.2">
      <c r="A28" s="10">
        <v>41</v>
      </c>
      <c r="B28" s="3">
        <f>[1]Budget!$H$3</f>
        <v>55</v>
      </c>
      <c r="C28" s="3">
        <f>[1]Budget!$A$8</f>
        <v>0</v>
      </c>
      <c r="D28" s="4">
        <f>IF(C28&gt;0,365/C28,[1]Budget!$B$8)</f>
        <v>0</v>
      </c>
      <c r="E28" s="2"/>
      <c r="F28" s="3">
        <v>2011</v>
      </c>
      <c r="G28" s="3">
        <v>12</v>
      </c>
      <c r="H28" s="3">
        <v>100</v>
      </c>
      <c r="I28" s="3">
        <v>2</v>
      </c>
      <c r="J28" s="3"/>
      <c r="K28" s="3"/>
      <c r="L28" s="3"/>
      <c r="M28" s="3"/>
      <c r="N28" s="3" t="s">
        <v>62</v>
      </c>
      <c r="O28" s="3">
        <f>P28+Q28</f>
        <v>202000</v>
      </c>
      <c r="P28" s="3">
        <v>52042</v>
      </c>
      <c r="Q28" s="3">
        <f>137958+12000</f>
        <v>149958</v>
      </c>
      <c r="R28" s="3" t="s">
        <v>59</v>
      </c>
      <c r="S28" s="3"/>
      <c r="T28" s="3"/>
      <c r="U28" s="3">
        <v>20</v>
      </c>
      <c r="V28" s="3">
        <v>25</v>
      </c>
      <c r="W28" s="3"/>
      <c r="X28" s="3"/>
      <c r="Y28" s="3">
        <v>727</v>
      </c>
      <c r="Z28" s="3"/>
      <c r="AA28" s="3">
        <f>(8*5+6*2)/7</f>
        <v>7.4285714285714288</v>
      </c>
      <c r="AB28" s="3">
        <v>0</v>
      </c>
      <c r="AC28" s="3" t="s">
        <v>56</v>
      </c>
      <c r="AD28" s="5">
        <v>15.8</v>
      </c>
      <c r="AE28" s="2"/>
      <c r="AF28" s="6"/>
      <c r="AG28" s="2">
        <v>100</v>
      </c>
      <c r="AH28" s="2">
        <v>270</v>
      </c>
      <c r="AI28" s="2"/>
      <c r="AJ28" s="2"/>
      <c r="AK28" s="2"/>
      <c r="AL28" s="2">
        <f>12847/(100*6)</f>
        <v>21.411666666666665</v>
      </c>
      <c r="AM28" s="2"/>
      <c r="AN28" s="2"/>
      <c r="AO28" s="2"/>
      <c r="AP28" s="2"/>
      <c r="AQ28" s="2"/>
      <c r="AR28" s="2"/>
      <c r="AS28" s="2"/>
      <c r="AT28" s="2"/>
      <c r="AU28" s="2"/>
      <c r="AV28" s="2"/>
      <c r="AW28" s="2"/>
      <c r="AX28" s="8">
        <f t="shared" si="14"/>
        <v>0</v>
      </c>
      <c r="AY28" s="8">
        <f t="shared" si="15"/>
        <v>0</v>
      </c>
      <c r="AZ28" s="8">
        <f t="shared" si="16"/>
        <v>21.411666666666665</v>
      </c>
      <c r="BA28" s="8">
        <f t="shared" si="17"/>
        <v>0</v>
      </c>
      <c r="BB28" s="8">
        <f t="shared" si="18"/>
        <v>0</v>
      </c>
      <c r="BC28" s="8">
        <f t="shared" si="19"/>
        <v>0</v>
      </c>
      <c r="BD28" s="8">
        <f t="shared" si="20"/>
        <v>0</v>
      </c>
      <c r="BE28" s="8">
        <f t="shared" si="21"/>
        <v>0</v>
      </c>
      <c r="BF28" s="8">
        <f t="shared" si="22"/>
        <v>0</v>
      </c>
      <c r="BG28" s="8">
        <f t="shared" si="23"/>
        <v>21.411666666666665</v>
      </c>
      <c r="BH28" s="1"/>
      <c r="BI28" s="9">
        <v>0.05</v>
      </c>
    </row>
    <row r="29" spans="1:61" x14ac:dyDescent="0.2">
      <c r="A29" s="10">
        <v>43</v>
      </c>
      <c r="B29" s="3">
        <f>[1]Budget!$H$3</f>
        <v>55</v>
      </c>
      <c r="C29" s="3">
        <f>[1]Budget!$A$8</f>
        <v>0</v>
      </c>
      <c r="D29" s="4">
        <f>IF(C29&gt;0,365/C29,[1]Budget!$B$8)</f>
        <v>0</v>
      </c>
      <c r="E29" s="2" t="s">
        <v>61</v>
      </c>
      <c r="F29" s="3">
        <v>2010</v>
      </c>
      <c r="G29" s="3">
        <v>8</v>
      </c>
      <c r="H29" s="3">
        <v>25</v>
      </c>
      <c r="I29" s="3">
        <v>1</v>
      </c>
      <c r="J29" s="3"/>
      <c r="K29" s="3"/>
      <c r="L29" s="3"/>
      <c r="M29" s="3"/>
      <c r="N29" s="3" t="s">
        <v>80</v>
      </c>
      <c r="O29" s="3">
        <v>32000</v>
      </c>
      <c r="P29" s="3">
        <v>17000</v>
      </c>
      <c r="Q29" s="3">
        <v>15000</v>
      </c>
      <c r="R29" s="3" t="s">
        <v>59</v>
      </c>
      <c r="S29" s="3"/>
      <c r="T29" s="3"/>
      <c r="U29" s="3">
        <v>15</v>
      </c>
      <c r="V29" s="3">
        <v>25</v>
      </c>
      <c r="W29" s="3"/>
      <c r="X29" s="3"/>
      <c r="Y29" s="3">
        <f>25*12</f>
        <v>300</v>
      </c>
      <c r="Z29" s="3"/>
      <c r="AA29" s="3">
        <v>0.75</v>
      </c>
      <c r="AB29" s="3">
        <v>0</v>
      </c>
      <c r="AC29" s="3" t="s">
        <v>56</v>
      </c>
      <c r="AD29" s="5">
        <v>25</v>
      </c>
      <c r="AE29" s="2"/>
      <c r="AF29" s="6">
        <v>0.04</v>
      </c>
      <c r="AG29" s="2">
        <v>150</v>
      </c>
      <c r="AH29" s="2">
        <v>320</v>
      </c>
      <c r="AI29" s="2"/>
      <c r="AJ29" s="2">
        <f>1800*12/(25*365)</f>
        <v>2.3671232876712329</v>
      </c>
      <c r="AK29" s="2">
        <f>120*2/25</f>
        <v>9.6</v>
      </c>
      <c r="AL29" s="2"/>
      <c r="AM29" s="2"/>
      <c r="AN29" s="2"/>
      <c r="AO29" s="2">
        <f>150*2/(25*60)</f>
        <v>0.2</v>
      </c>
      <c r="AP29" s="2"/>
      <c r="AQ29" s="2"/>
      <c r="AR29" s="2"/>
      <c r="AS29" s="2">
        <f t="shared" ref="AS29:AS36" si="24">AJ29*$H29*365</f>
        <v>21600</v>
      </c>
      <c r="AT29" s="2">
        <f t="shared" ref="AT29:AT36" si="25">AK29*H29*6</f>
        <v>1440</v>
      </c>
      <c r="AU29" s="2">
        <f t="shared" ref="AU29:AU36" si="26">AL29*H29*6</f>
        <v>0</v>
      </c>
      <c r="AV29" s="2">
        <f t="shared" ref="AV29:AV36" si="27">AO29*H29*365</f>
        <v>1825</v>
      </c>
      <c r="AW29" s="2"/>
      <c r="AX29" s="8">
        <f t="shared" si="14"/>
        <v>142.02739726027397</v>
      </c>
      <c r="AY29" s="8">
        <f t="shared" si="15"/>
        <v>9.6</v>
      </c>
      <c r="AZ29" s="8">
        <f t="shared" si="16"/>
        <v>0</v>
      </c>
      <c r="BA29" s="8">
        <f t="shared" si="17"/>
        <v>0</v>
      </c>
      <c r="BB29" s="8">
        <f t="shared" si="18"/>
        <v>0</v>
      </c>
      <c r="BC29" s="8">
        <f t="shared" si="19"/>
        <v>12</v>
      </c>
      <c r="BD29" s="8">
        <f t="shared" si="20"/>
        <v>0</v>
      </c>
      <c r="BE29" s="8">
        <f t="shared" si="21"/>
        <v>0</v>
      </c>
      <c r="BF29" s="8">
        <f t="shared" si="22"/>
        <v>0</v>
      </c>
      <c r="BG29" s="8">
        <f t="shared" si="23"/>
        <v>163.62739726027397</v>
      </c>
      <c r="BH29" s="1"/>
      <c r="BI29" s="9">
        <v>5.5E-2</v>
      </c>
    </row>
    <row r="30" spans="1:61" ht="32" x14ac:dyDescent="0.2">
      <c r="A30" s="10">
        <v>45</v>
      </c>
      <c r="B30" s="3">
        <f>[1]Budget!$H$3</f>
        <v>55</v>
      </c>
      <c r="C30" s="3">
        <f>[1]Budget!$A$8</f>
        <v>0</v>
      </c>
      <c r="D30" s="4">
        <f>IF(C30&gt;0,365/C30,[1]Budget!$B$8)</f>
        <v>0</v>
      </c>
      <c r="E30" s="2" t="s">
        <v>81</v>
      </c>
      <c r="F30" s="3">
        <v>2011</v>
      </c>
      <c r="G30" s="3">
        <v>12</v>
      </c>
      <c r="H30" s="3">
        <v>34</v>
      </c>
      <c r="I30" s="3">
        <v>1</v>
      </c>
      <c r="J30" s="3"/>
      <c r="K30" s="3"/>
      <c r="L30" s="3" t="s">
        <v>56</v>
      </c>
      <c r="M30" s="3"/>
      <c r="N30" s="3" t="s">
        <v>58</v>
      </c>
      <c r="O30" s="3">
        <v>45000</v>
      </c>
      <c r="P30" s="3">
        <v>14000</v>
      </c>
      <c r="Q30" s="3">
        <v>31000</v>
      </c>
      <c r="R30" s="3" t="s">
        <v>82</v>
      </c>
      <c r="S30" s="3">
        <v>2013</v>
      </c>
      <c r="T30" s="3">
        <v>1800</v>
      </c>
      <c r="U30" s="3">
        <v>15</v>
      </c>
      <c r="V30" s="3">
        <v>30</v>
      </c>
      <c r="W30" s="3">
        <v>15</v>
      </c>
      <c r="X30" s="3"/>
      <c r="Y30" s="3">
        <v>500</v>
      </c>
      <c r="Z30" s="3">
        <v>100</v>
      </c>
      <c r="AA30" s="3">
        <f>10/60</f>
        <v>0.16666666666666666</v>
      </c>
      <c r="AB30" s="3">
        <v>4</v>
      </c>
      <c r="AC30" s="3" t="s">
        <v>56</v>
      </c>
      <c r="AD30" s="5">
        <v>15</v>
      </c>
      <c r="AE30" s="2"/>
      <c r="AF30" s="6">
        <v>5.0000000000000001E-3</v>
      </c>
      <c r="AG30" s="2">
        <v>300</v>
      </c>
      <c r="AH30" s="2">
        <v>500</v>
      </c>
      <c r="AI30" s="2"/>
      <c r="AJ30" s="2">
        <f>85/60</f>
        <v>1.4166666666666667</v>
      </c>
      <c r="AK30" s="2">
        <v>10</v>
      </c>
      <c r="AL30" s="2">
        <v>3</v>
      </c>
      <c r="AM30" s="2"/>
      <c r="AN30" s="2">
        <f>100*12</f>
        <v>1200</v>
      </c>
      <c r="AO30" s="2"/>
      <c r="AP30" s="2"/>
      <c r="AQ30" s="2">
        <f>3*34*6</f>
        <v>612</v>
      </c>
      <c r="AR30" s="2"/>
      <c r="AS30" s="2">
        <f t="shared" si="24"/>
        <v>17580.833333333336</v>
      </c>
      <c r="AT30" s="2">
        <f t="shared" si="25"/>
        <v>2040</v>
      </c>
      <c r="AU30" s="2">
        <f t="shared" si="26"/>
        <v>612</v>
      </c>
      <c r="AV30" s="2">
        <f t="shared" si="27"/>
        <v>0</v>
      </c>
      <c r="AW30" s="2"/>
      <c r="AX30" s="8">
        <f t="shared" si="14"/>
        <v>85</v>
      </c>
      <c r="AY30" s="8">
        <f t="shared" si="15"/>
        <v>10</v>
      </c>
      <c r="AZ30" s="8">
        <f t="shared" si="16"/>
        <v>3</v>
      </c>
      <c r="BA30" s="8">
        <f t="shared" si="17"/>
        <v>0</v>
      </c>
      <c r="BB30" s="8">
        <f t="shared" si="18"/>
        <v>5.882352941176471</v>
      </c>
      <c r="BC30" s="8">
        <f t="shared" si="19"/>
        <v>0</v>
      </c>
      <c r="BD30" s="8">
        <f t="shared" si="20"/>
        <v>0</v>
      </c>
      <c r="BE30" s="8">
        <f t="shared" si="21"/>
        <v>3</v>
      </c>
      <c r="BF30" s="8">
        <f t="shared" si="22"/>
        <v>0</v>
      </c>
      <c r="BG30" s="8">
        <f t="shared" si="23"/>
        <v>106.88235294117646</v>
      </c>
      <c r="BH30" s="1"/>
      <c r="BI30" s="9"/>
    </row>
    <row r="31" spans="1:61" ht="32" x14ac:dyDescent="0.2">
      <c r="A31" s="10">
        <v>46</v>
      </c>
      <c r="B31" s="3">
        <f>[1]Budget!$H$3</f>
        <v>55</v>
      </c>
      <c r="C31" s="3">
        <f>[1]Budget!$A$8</f>
        <v>0</v>
      </c>
      <c r="D31" s="4">
        <f>IF(C31&gt;0,365/C31,[1]Budget!$B$8)</f>
        <v>0</v>
      </c>
      <c r="E31" s="2" t="s">
        <v>83</v>
      </c>
      <c r="F31" s="3">
        <v>2009</v>
      </c>
      <c r="G31" s="3">
        <v>4</v>
      </c>
      <c r="H31" s="3">
        <v>50</v>
      </c>
      <c r="I31" s="3">
        <v>1</v>
      </c>
      <c r="J31" s="3"/>
      <c r="K31" s="3"/>
      <c r="L31" s="3" t="s">
        <v>56</v>
      </c>
      <c r="M31" s="3"/>
      <c r="N31" s="3" t="s">
        <v>67</v>
      </c>
      <c r="O31" s="3">
        <v>33000</v>
      </c>
      <c r="P31" s="3">
        <v>23000</v>
      </c>
      <c r="Q31" s="3">
        <v>10000</v>
      </c>
      <c r="R31" s="3" t="s">
        <v>59</v>
      </c>
      <c r="S31" s="3"/>
      <c r="T31" s="3"/>
      <c r="U31" s="3">
        <v>10</v>
      </c>
      <c r="V31" s="3"/>
      <c r="W31" s="3"/>
      <c r="X31" s="3"/>
      <c r="Y31" s="3"/>
      <c r="Z31" s="3"/>
      <c r="AA31" s="3">
        <v>1</v>
      </c>
      <c r="AB31" s="3">
        <v>0</v>
      </c>
      <c r="AC31" s="3" t="s">
        <v>56</v>
      </c>
      <c r="AD31" s="5">
        <v>15</v>
      </c>
      <c r="AE31" s="2"/>
      <c r="AF31" s="6">
        <v>0.02</v>
      </c>
      <c r="AG31" s="2">
        <v>100</v>
      </c>
      <c r="AH31" s="2">
        <v>300</v>
      </c>
      <c r="AI31" s="2"/>
      <c r="AJ31" s="2"/>
      <c r="AK31" s="2"/>
      <c r="AL31" s="2"/>
      <c r="AM31" s="2"/>
      <c r="AN31" s="2"/>
      <c r="AO31" s="2"/>
      <c r="AP31" s="2"/>
      <c r="AQ31" s="2"/>
      <c r="AR31" s="2"/>
      <c r="AS31" s="2">
        <f t="shared" si="24"/>
        <v>0</v>
      </c>
      <c r="AT31" s="2">
        <f t="shared" si="25"/>
        <v>0</v>
      </c>
      <c r="AU31" s="2">
        <f t="shared" si="26"/>
        <v>0</v>
      </c>
      <c r="AV31" s="2">
        <f t="shared" si="27"/>
        <v>0</v>
      </c>
      <c r="AW31" s="2"/>
      <c r="AX31" s="8">
        <f t="shared" si="14"/>
        <v>0</v>
      </c>
      <c r="AY31" s="8">
        <f t="shared" si="15"/>
        <v>0</v>
      </c>
      <c r="AZ31" s="8">
        <f t="shared" si="16"/>
        <v>0</v>
      </c>
      <c r="BA31" s="8">
        <f t="shared" si="17"/>
        <v>0</v>
      </c>
      <c r="BB31" s="8">
        <f t="shared" si="18"/>
        <v>0</v>
      </c>
      <c r="BC31" s="8">
        <f t="shared" si="19"/>
        <v>0</v>
      </c>
      <c r="BD31" s="8">
        <f t="shared" si="20"/>
        <v>0</v>
      </c>
      <c r="BE31" s="8">
        <f t="shared" si="21"/>
        <v>0</v>
      </c>
      <c r="BF31" s="8">
        <f t="shared" si="22"/>
        <v>0</v>
      </c>
      <c r="BG31" s="8">
        <f t="shared" si="23"/>
        <v>0</v>
      </c>
      <c r="BH31" s="1"/>
      <c r="BI31" s="9"/>
    </row>
    <row r="32" spans="1:61" ht="32" x14ac:dyDescent="0.2">
      <c r="A32" s="10">
        <v>52</v>
      </c>
      <c r="B32" s="3">
        <f>[1]Budget!$H$3</f>
        <v>55</v>
      </c>
      <c r="C32" s="3">
        <f>[1]Budget!$A$8</f>
        <v>0</v>
      </c>
      <c r="D32" s="4">
        <f>IF(C32&gt;0,365/C32,[1]Budget!$B$8)</f>
        <v>0</v>
      </c>
      <c r="E32" s="2" t="s">
        <v>84</v>
      </c>
      <c r="F32" s="3">
        <v>2012</v>
      </c>
      <c r="G32" s="3">
        <v>1</v>
      </c>
      <c r="H32" s="3">
        <v>18</v>
      </c>
      <c r="I32" s="3">
        <v>1</v>
      </c>
      <c r="J32" s="3"/>
      <c r="K32" s="3"/>
      <c r="L32" s="3" t="s">
        <v>56</v>
      </c>
      <c r="M32" s="3"/>
      <c r="N32" s="3" t="s">
        <v>67</v>
      </c>
      <c r="O32" s="3">
        <f>P32+Q32</f>
        <v>30355</v>
      </c>
      <c r="P32" s="3">
        <v>16500</v>
      </c>
      <c r="Q32" s="3">
        <v>13855</v>
      </c>
      <c r="R32" s="3" t="s">
        <v>59</v>
      </c>
      <c r="S32" s="3"/>
      <c r="T32" s="3"/>
      <c r="U32" s="3">
        <v>17.5</v>
      </c>
      <c r="V32" s="3">
        <v>50</v>
      </c>
      <c r="W32" s="3"/>
      <c r="X32" s="3"/>
      <c r="Y32" s="3">
        <v>225</v>
      </c>
      <c r="Z32" s="3">
        <v>0</v>
      </c>
      <c r="AA32" s="3">
        <f>1/3</f>
        <v>0.33333333333333331</v>
      </c>
      <c r="AB32" s="3">
        <v>0</v>
      </c>
      <c r="AC32" s="3"/>
      <c r="AD32" s="5">
        <v>15</v>
      </c>
      <c r="AE32" s="2"/>
      <c r="AF32" s="6">
        <v>7.0000000000000007E-2</v>
      </c>
      <c r="AG32" s="2">
        <v>100</v>
      </c>
      <c r="AH32" s="2">
        <v>250</v>
      </c>
      <c r="AI32" s="2"/>
      <c r="AJ32" s="2">
        <v>2.75</v>
      </c>
      <c r="AK32" s="2">
        <v>10</v>
      </c>
      <c r="AL32" s="2">
        <v>5</v>
      </c>
      <c r="AM32" s="2"/>
      <c r="AN32" s="2">
        <v>200</v>
      </c>
      <c r="AO32" s="2">
        <f>68/(7*18)</f>
        <v>0.53968253968253965</v>
      </c>
      <c r="AP32" s="2"/>
      <c r="AQ32" s="2">
        <v>200</v>
      </c>
      <c r="AR32" s="2">
        <f>10*18*6</f>
        <v>1080</v>
      </c>
      <c r="AS32" s="2">
        <f t="shared" si="24"/>
        <v>18067.5</v>
      </c>
      <c r="AT32" s="2">
        <f t="shared" si="25"/>
        <v>1080</v>
      </c>
      <c r="AU32" s="2">
        <f t="shared" si="26"/>
        <v>540</v>
      </c>
      <c r="AV32" s="2">
        <f t="shared" si="27"/>
        <v>3545.7142857142853</v>
      </c>
      <c r="AW32" s="2"/>
      <c r="AX32" s="8">
        <f t="shared" si="14"/>
        <v>165</v>
      </c>
      <c r="AY32" s="8">
        <f t="shared" si="15"/>
        <v>10</v>
      </c>
      <c r="AZ32" s="8">
        <f t="shared" si="16"/>
        <v>5</v>
      </c>
      <c r="BA32" s="8">
        <f t="shared" si="17"/>
        <v>0</v>
      </c>
      <c r="BB32" s="8">
        <f t="shared" si="18"/>
        <v>1.8518518518518519</v>
      </c>
      <c r="BC32" s="8">
        <f t="shared" si="19"/>
        <v>32.38095238095238</v>
      </c>
      <c r="BD32" s="8">
        <f t="shared" si="20"/>
        <v>0</v>
      </c>
      <c r="BE32" s="8">
        <f t="shared" si="21"/>
        <v>1.8518518518518519</v>
      </c>
      <c r="BF32" s="8">
        <f t="shared" si="22"/>
        <v>10</v>
      </c>
      <c r="BG32" s="8">
        <f t="shared" si="23"/>
        <v>226.08465608465607</v>
      </c>
      <c r="BH32" s="1"/>
      <c r="BI32" s="9"/>
    </row>
    <row r="33" spans="1:61" x14ac:dyDescent="0.2">
      <c r="A33" s="10">
        <v>58</v>
      </c>
      <c r="B33" s="3">
        <f>[1]Budget!$H$3</f>
        <v>55</v>
      </c>
      <c r="C33" s="3">
        <f>[1]Budget!$A$8</f>
        <v>0</v>
      </c>
      <c r="D33" s="4">
        <f>IF(C33&gt;0,365/C33,[1]Budget!$B$8)</f>
        <v>0</v>
      </c>
      <c r="E33" s="2" t="s">
        <v>65</v>
      </c>
      <c r="F33" s="3">
        <v>2012</v>
      </c>
      <c r="G33" s="3">
        <v>9</v>
      </c>
      <c r="H33" s="3">
        <v>25</v>
      </c>
      <c r="I33" s="3">
        <v>1</v>
      </c>
      <c r="J33" s="3"/>
      <c r="K33" s="3"/>
      <c r="L33" s="3"/>
      <c r="M33" s="3"/>
      <c r="N33" s="3" t="s">
        <v>62</v>
      </c>
      <c r="O33" s="3">
        <f>P33+Q33</f>
        <v>99000</v>
      </c>
      <c r="P33" s="3">
        <v>13000</v>
      </c>
      <c r="Q33" s="3">
        <f>82000+4000</f>
        <v>86000</v>
      </c>
      <c r="R33" s="3" t="s">
        <v>85</v>
      </c>
      <c r="S33" s="3"/>
      <c r="T33" s="3"/>
      <c r="U33" s="3">
        <v>15</v>
      </c>
      <c r="V33" s="3">
        <v>40</v>
      </c>
      <c r="W33" s="3"/>
      <c r="X33" s="3"/>
      <c r="Y33" s="3"/>
      <c r="Z33" s="3">
        <v>0</v>
      </c>
      <c r="AA33" s="3">
        <v>1</v>
      </c>
      <c r="AB33" s="3"/>
      <c r="AC33" s="3"/>
      <c r="AD33" s="5"/>
      <c r="AE33" s="2"/>
      <c r="AF33" s="6">
        <v>0.02</v>
      </c>
      <c r="AG33" s="2">
        <v>100</v>
      </c>
      <c r="AH33" s="2">
        <v>250</v>
      </c>
      <c r="AI33" s="2"/>
      <c r="AJ33" s="2"/>
      <c r="AK33" s="2"/>
      <c r="AL33" s="2"/>
      <c r="AM33" s="2"/>
      <c r="AN33" s="2"/>
      <c r="AO33" s="2"/>
      <c r="AP33" s="2"/>
      <c r="AQ33" s="2"/>
      <c r="AR33" s="2"/>
      <c r="AS33" s="2">
        <f t="shared" si="24"/>
        <v>0</v>
      </c>
      <c r="AT33" s="2">
        <f t="shared" si="25"/>
        <v>0</v>
      </c>
      <c r="AU33" s="2">
        <f t="shared" si="26"/>
        <v>0</v>
      </c>
      <c r="AV33" s="2">
        <f t="shared" si="27"/>
        <v>0</v>
      </c>
      <c r="AW33" s="2"/>
      <c r="AX33" s="8">
        <f t="shared" si="14"/>
        <v>0</v>
      </c>
      <c r="AY33" s="8">
        <f t="shared" si="15"/>
        <v>0</v>
      </c>
      <c r="AZ33" s="8">
        <f t="shared" si="16"/>
        <v>0</v>
      </c>
      <c r="BA33" s="8">
        <f t="shared" si="17"/>
        <v>0</v>
      </c>
      <c r="BB33" s="8">
        <f t="shared" si="18"/>
        <v>0</v>
      </c>
      <c r="BC33" s="8">
        <f t="shared" si="19"/>
        <v>0</v>
      </c>
      <c r="BD33" s="8">
        <f t="shared" si="20"/>
        <v>0</v>
      </c>
      <c r="BE33" s="8">
        <f t="shared" si="21"/>
        <v>0</v>
      </c>
      <c r="BF33" s="8">
        <f t="shared" si="22"/>
        <v>0</v>
      </c>
      <c r="BG33" s="8">
        <f t="shared" si="23"/>
        <v>0</v>
      </c>
      <c r="BH33" s="1"/>
      <c r="BI33" s="9">
        <v>5.5E-2</v>
      </c>
    </row>
    <row r="34" spans="1:61" x14ac:dyDescent="0.2">
      <c r="A34" s="10">
        <v>59</v>
      </c>
      <c r="B34" s="3">
        <v>52</v>
      </c>
      <c r="C34" s="3">
        <v>52</v>
      </c>
      <c r="D34" s="4">
        <f>IF(C34&gt;0,365/C34,[1]Budget!$B$8)</f>
        <v>7.0192307692307692</v>
      </c>
      <c r="E34" s="2" t="s">
        <v>61</v>
      </c>
      <c r="F34" s="3">
        <v>2012</v>
      </c>
      <c r="G34" s="3">
        <v>7</v>
      </c>
      <c r="H34" s="3">
        <v>31</v>
      </c>
      <c r="I34" s="3">
        <v>1</v>
      </c>
      <c r="J34" s="3"/>
      <c r="K34" s="3"/>
      <c r="L34" s="3" t="s">
        <v>56</v>
      </c>
      <c r="M34" s="3"/>
      <c r="N34" s="3" t="s">
        <v>67</v>
      </c>
      <c r="O34" s="3">
        <v>30000</v>
      </c>
      <c r="P34" s="3">
        <v>17000</v>
      </c>
      <c r="Q34" s="3">
        <v>13000</v>
      </c>
      <c r="R34" s="3" t="s">
        <v>86</v>
      </c>
      <c r="S34" s="3">
        <v>2013</v>
      </c>
      <c r="T34" s="3">
        <v>2000</v>
      </c>
      <c r="U34" s="3">
        <v>12.5</v>
      </c>
      <c r="V34" s="3">
        <v>25</v>
      </c>
      <c r="W34" s="3">
        <v>12.5</v>
      </c>
      <c r="X34" s="3"/>
      <c r="Y34" s="3">
        <v>1500</v>
      </c>
      <c r="Z34" s="3">
        <v>1000</v>
      </c>
      <c r="AA34" s="3">
        <v>0.75</v>
      </c>
      <c r="AB34" s="3">
        <v>7.5</v>
      </c>
      <c r="AC34" s="3"/>
      <c r="AD34" s="5"/>
      <c r="AE34" s="2"/>
      <c r="AF34" s="6">
        <v>0.03</v>
      </c>
      <c r="AG34" s="2">
        <v>150</v>
      </c>
      <c r="AH34" s="2">
        <v>375</v>
      </c>
      <c r="AI34" s="2"/>
      <c r="AJ34" s="2">
        <f>84/C34</f>
        <v>1.6153846153846154</v>
      </c>
      <c r="AK34" s="2">
        <v>12</v>
      </c>
      <c r="AL34" s="2">
        <v>1</v>
      </c>
      <c r="AM34" s="2">
        <v>0</v>
      </c>
      <c r="AN34" s="2">
        <v>0</v>
      </c>
      <c r="AO34" s="2">
        <f>1.5/C34</f>
        <v>2.8846153846153848E-2</v>
      </c>
      <c r="AP34" s="2">
        <v>0</v>
      </c>
      <c r="AQ34" s="2">
        <v>0</v>
      </c>
      <c r="AR34" s="2">
        <f>2*C34*365</f>
        <v>37960</v>
      </c>
      <c r="AS34" s="2">
        <f t="shared" si="24"/>
        <v>18278.076923076926</v>
      </c>
      <c r="AT34" s="2">
        <f t="shared" si="25"/>
        <v>2232</v>
      </c>
      <c r="AU34" s="2">
        <f t="shared" si="26"/>
        <v>186</v>
      </c>
      <c r="AV34" s="2">
        <f t="shared" si="27"/>
        <v>326.39423076923077</v>
      </c>
      <c r="AW34" s="2"/>
      <c r="AX34" s="8">
        <f t="shared" si="14"/>
        <v>96.92307692307692</v>
      </c>
      <c r="AY34" s="8">
        <f t="shared" si="15"/>
        <v>12</v>
      </c>
      <c r="AZ34" s="8">
        <f t="shared" si="16"/>
        <v>1</v>
      </c>
      <c r="BA34" s="8">
        <f t="shared" si="17"/>
        <v>0</v>
      </c>
      <c r="BB34" s="8">
        <f t="shared" si="18"/>
        <v>0</v>
      </c>
      <c r="BC34" s="8">
        <f t="shared" si="19"/>
        <v>1.7307692307692308</v>
      </c>
      <c r="BD34" s="8">
        <f t="shared" si="20"/>
        <v>0</v>
      </c>
      <c r="BE34" s="8">
        <f t="shared" si="21"/>
        <v>0</v>
      </c>
      <c r="BF34" s="8">
        <f t="shared" si="22"/>
        <v>204.08602150537635</v>
      </c>
      <c r="BG34" s="8">
        <f t="shared" si="23"/>
        <v>315.73986765922251</v>
      </c>
      <c r="BH34" s="1"/>
      <c r="BI34" s="9">
        <v>0.05</v>
      </c>
    </row>
    <row r="35" spans="1:61" ht="32" x14ac:dyDescent="0.2">
      <c r="A35" s="10">
        <v>61</v>
      </c>
      <c r="B35" s="3">
        <f>[1]Budget!$H$3</f>
        <v>55</v>
      </c>
      <c r="C35" s="3">
        <f>[1]Budget!$A$8</f>
        <v>0</v>
      </c>
      <c r="D35" s="4">
        <f>IF(C35&gt;0,365/C35,[1]Budget!$B$8)</f>
        <v>0</v>
      </c>
      <c r="E35" s="2" t="s">
        <v>87</v>
      </c>
      <c r="F35" s="3">
        <v>2012</v>
      </c>
      <c r="G35" s="3">
        <v>11</v>
      </c>
      <c r="H35" s="3">
        <v>50</v>
      </c>
      <c r="I35" s="3">
        <v>1</v>
      </c>
      <c r="J35" s="3"/>
      <c r="K35" s="3"/>
      <c r="L35" s="3" t="s">
        <v>56</v>
      </c>
      <c r="M35" s="3"/>
      <c r="N35" s="3" t="s">
        <v>62</v>
      </c>
      <c r="O35" s="3">
        <v>85000</v>
      </c>
      <c r="P35" s="3">
        <v>16000</v>
      </c>
      <c r="Q35" s="3">
        <v>69000</v>
      </c>
      <c r="R35" s="3"/>
      <c r="S35" s="3"/>
      <c r="T35" s="3"/>
      <c r="U35" s="3">
        <v>10</v>
      </c>
      <c r="V35" s="3">
        <v>10</v>
      </c>
      <c r="W35" s="3"/>
      <c r="X35" s="3"/>
      <c r="Y35" s="3">
        <v>2500</v>
      </c>
      <c r="Z35" s="3">
        <v>1500</v>
      </c>
      <c r="AA35" s="3">
        <v>2.5</v>
      </c>
      <c r="AB35" s="3">
        <v>25</v>
      </c>
      <c r="AC35" s="3"/>
      <c r="AD35" s="5">
        <v>25</v>
      </c>
      <c r="AE35" s="2"/>
      <c r="AF35" s="6">
        <v>0.02</v>
      </c>
      <c r="AG35" s="2">
        <v>200</v>
      </c>
      <c r="AH35" s="2">
        <v>450</v>
      </c>
      <c r="AI35" s="2"/>
      <c r="AJ35" s="2">
        <f>45/50</f>
        <v>0.9</v>
      </c>
      <c r="AK35" s="2"/>
      <c r="AL35" s="2">
        <f>25*60/50</f>
        <v>30</v>
      </c>
      <c r="AM35" s="2"/>
      <c r="AN35" s="2"/>
      <c r="AO35" s="2">
        <f>35/50</f>
        <v>0.7</v>
      </c>
      <c r="AP35" s="2">
        <f>1600*12</f>
        <v>19200</v>
      </c>
      <c r="AQ35" s="2">
        <v>500</v>
      </c>
      <c r="AR35" s="2"/>
      <c r="AS35" s="2">
        <f t="shared" si="24"/>
        <v>16425</v>
      </c>
      <c r="AT35" s="2">
        <f t="shared" si="25"/>
        <v>0</v>
      </c>
      <c r="AU35" s="2">
        <f t="shared" si="26"/>
        <v>9000</v>
      </c>
      <c r="AV35" s="2">
        <f t="shared" si="27"/>
        <v>12775</v>
      </c>
      <c r="AW35" s="2"/>
      <c r="AX35" s="8">
        <f t="shared" si="14"/>
        <v>54</v>
      </c>
      <c r="AY35" s="8">
        <f t="shared" si="15"/>
        <v>0</v>
      </c>
      <c r="AZ35" s="8">
        <f t="shared" si="16"/>
        <v>30</v>
      </c>
      <c r="BA35" s="8">
        <f t="shared" si="17"/>
        <v>0</v>
      </c>
      <c r="BB35" s="8">
        <f t="shared" si="18"/>
        <v>0</v>
      </c>
      <c r="BC35" s="8">
        <f t="shared" si="19"/>
        <v>42</v>
      </c>
      <c r="BD35" s="8">
        <f t="shared" si="20"/>
        <v>64</v>
      </c>
      <c r="BE35" s="8">
        <f t="shared" si="21"/>
        <v>1.6666666666666667</v>
      </c>
      <c r="BF35" s="8">
        <f t="shared" si="22"/>
        <v>0</v>
      </c>
      <c r="BG35" s="8">
        <f t="shared" si="23"/>
        <v>191.66666666666666</v>
      </c>
      <c r="BH35" s="1"/>
      <c r="BI35" s="9">
        <v>0.06</v>
      </c>
    </row>
    <row r="36" spans="1:61" x14ac:dyDescent="0.2">
      <c r="A36" s="10">
        <v>62</v>
      </c>
      <c r="B36" s="3">
        <f>[1]Budget!$H$3</f>
        <v>55</v>
      </c>
      <c r="C36" s="3">
        <f>[1]Budget!$A$8</f>
        <v>0</v>
      </c>
      <c r="D36" s="4">
        <f>IF(C36&gt;0,365/C36,[1]Budget!$B$8)</f>
        <v>0</v>
      </c>
      <c r="E36" s="2" t="s">
        <v>63</v>
      </c>
      <c r="F36" s="3">
        <v>2010</v>
      </c>
      <c r="G36" s="3"/>
      <c r="H36" s="3">
        <v>120</v>
      </c>
      <c r="I36" s="3">
        <v>3</v>
      </c>
      <c r="J36" s="3"/>
      <c r="K36" s="3"/>
      <c r="L36" s="3" t="s">
        <v>56</v>
      </c>
      <c r="M36" s="3"/>
      <c r="N36" s="3" t="s">
        <v>62</v>
      </c>
      <c r="O36" s="3">
        <v>172471</v>
      </c>
      <c r="P36" s="3">
        <v>80000</v>
      </c>
      <c r="Q36" s="3">
        <f>O36-P36</f>
        <v>92471</v>
      </c>
      <c r="R36" s="3" t="s">
        <v>59</v>
      </c>
      <c r="S36" s="3"/>
      <c r="T36" s="3"/>
      <c r="U36" s="3">
        <v>20</v>
      </c>
      <c r="V36" s="3">
        <v>40</v>
      </c>
      <c r="W36" s="3"/>
      <c r="X36" s="3"/>
      <c r="Y36" s="3"/>
      <c r="Z36" s="3">
        <v>300</v>
      </c>
      <c r="AA36" s="16">
        <f>34/60</f>
        <v>0.56666666666666665</v>
      </c>
      <c r="AB36" s="3">
        <v>300</v>
      </c>
      <c r="AC36" s="3" t="s">
        <v>56</v>
      </c>
      <c r="AD36" s="5">
        <v>13</v>
      </c>
      <c r="AE36" s="2"/>
      <c r="AF36" s="6">
        <v>0.02</v>
      </c>
      <c r="AG36" s="2">
        <v>200</v>
      </c>
      <c r="AH36" s="2">
        <v>350</v>
      </c>
      <c r="AI36" s="2"/>
      <c r="AJ36" s="2">
        <f>120362/(85*365)</f>
        <v>3.8795165189363416</v>
      </c>
      <c r="AK36" s="17"/>
      <c r="AL36" s="7" t="e">
        <f>8540/(H36*D36)</f>
        <v>#DIV/0!</v>
      </c>
      <c r="AM36" s="2">
        <v>1368</v>
      </c>
      <c r="AN36" s="2">
        <v>10776</v>
      </c>
      <c r="AO36" s="2">
        <f>3500/(85*365)</f>
        <v>0.11281224818694602</v>
      </c>
      <c r="AP36" s="2">
        <v>0</v>
      </c>
      <c r="AQ36" s="2">
        <v>100</v>
      </c>
      <c r="AR36" s="2"/>
      <c r="AS36" s="2">
        <f t="shared" si="24"/>
        <v>169922.82352941178</v>
      </c>
      <c r="AT36" s="2">
        <f t="shared" si="25"/>
        <v>0</v>
      </c>
      <c r="AU36" s="2" t="e">
        <f t="shared" si="26"/>
        <v>#DIV/0!</v>
      </c>
      <c r="AV36" s="2">
        <f t="shared" si="27"/>
        <v>4941.176470588236</v>
      </c>
      <c r="AW36" s="2"/>
      <c r="AX36" s="8">
        <f t="shared" si="14"/>
        <v>232.7709911361805</v>
      </c>
      <c r="AY36" s="8">
        <f t="shared" si="15"/>
        <v>0</v>
      </c>
      <c r="AZ36" s="8" t="e">
        <f t="shared" si="16"/>
        <v>#DIV/0!</v>
      </c>
      <c r="BA36" s="8">
        <f t="shared" si="17"/>
        <v>1.9</v>
      </c>
      <c r="BB36" s="8">
        <f t="shared" si="18"/>
        <v>14.966666666666667</v>
      </c>
      <c r="BC36" s="8">
        <f t="shared" si="19"/>
        <v>6.7687348912167611</v>
      </c>
      <c r="BD36" s="8">
        <f t="shared" si="20"/>
        <v>0</v>
      </c>
      <c r="BE36" s="8">
        <f t="shared" si="21"/>
        <v>0.1388888888888889</v>
      </c>
      <c r="BF36" s="8">
        <f t="shared" si="22"/>
        <v>0</v>
      </c>
      <c r="BG36" s="8" t="e">
        <f t="shared" si="23"/>
        <v>#DIV/0!</v>
      </c>
      <c r="BH36" s="1"/>
      <c r="BI36" s="9"/>
    </row>
    <row r="37" spans="1:61" x14ac:dyDescent="0.2">
      <c r="A37" s="10">
        <v>63</v>
      </c>
      <c r="B37" s="3">
        <f>[1]Budget!$H$3</f>
        <v>55</v>
      </c>
      <c r="C37" s="3">
        <f>[1]Budget!$A$8</f>
        <v>0</v>
      </c>
      <c r="D37" s="4">
        <f>IF(C37&gt;0,365/C37,[1]Budget!$B$8)</f>
        <v>0</v>
      </c>
      <c r="E37" s="2" t="s">
        <v>88</v>
      </c>
      <c r="F37" s="3">
        <v>2008</v>
      </c>
      <c r="G37" s="3"/>
      <c r="H37" s="3">
        <v>120</v>
      </c>
      <c r="I37" s="3" t="s">
        <v>89</v>
      </c>
      <c r="J37" s="3"/>
      <c r="K37" s="3"/>
      <c r="L37" s="3" t="s">
        <v>59</v>
      </c>
      <c r="M37" s="3"/>
      <c r="N37" s="3"/>
      <c r="O37" s="3"/>
      <c r="P37" s="3"/>
      <c r="Q37" s="3"/>
      <c r="R37" s="3" t="s">
        <v>90</v>
      </c>
      <c r="S37" s="3"/>
      <c r="T37" s="3"/>
      <c r="U37" s="3"/>
      <c r="V37" s="3"/>
      <c r="W37" s="3"/>
      <c r="X37" s="3"/>
      <c r="Y37" s="3">
        <v>500</v>
      </c>
      <c r="Z37" s="3">
        <v>0</v>
      </c>
      <c r="AA37" s="3">
        <v>2</v>
      </c>
      <c r="AB37" s="3"/>
      <c r="AC37" s="3"/>
      <c r="AD37" s="5">
        <v>12</v>
      </c>
      <c r="AE37" s="2"/>
      <c r="AF37" s="6">
        <v>0.01</v>
      </c>
      <c r="AG37" s="2"/>
      <c r="AH37" s="2"/>
      <c r="AI37" s="2"/>
      <c r="AJ37" s="2"/>
      <c r="AK37" s="2"/>
      <c r="AL37" s="2"/>
      <c r="AM37" s="2"/>
      <c r="AN37" s="2"/>
      <c r="AO37" s="2"/>
      <c r="AP37" s="2"/>
      <c r="AQ37" s="2"/>
      <c r="AR37" s="2"/>
      <c r="AS37" s="2"/>
      <c r="AT37" s="2"/>
      <c r="AU37" s="2"/>
      <c r="AV37" s="2"/>
      <c r="AW37" s="2"/>
      <c r="AX37" s="8"/>
      <c r="AY37" s="8"/>
      <c r="AZ37" s="8"/>
      <c r="BA37" s="8"/>
      <c r="BB37" s="8"/>
      <c r="BC37" s="8"/>
      <c r="BD37" s="8"/>
      <c r="BE37" s="8"/>
      <c r="BF37" s="8"/>
      <c r="BG37" s="8"/>
      <c r="BH37" s="1"/>
      <c r="BI37" s="9"/>
    </row>
    <row r="38" spans="1:61" x14ac:dyDescent="0.2">
      <c r="A38" s="10"/>
      <c r="B38" s="3">
        <f>[1]Budget!$H$3</f>
        <v>55</v>
      </c>
      <c r="C38" s="3">
        <f>[1]Budget!$A$8</f>
        <v>0</v>
      </c>
      <c r="D38" s="4">
        <f>IF(C38&gt;0,365/C38,[1]Budget!$B$8)</f>
        <v>0</v>
      </c>
      <c r="E38" s="2"/>
      <c r="F38" s="3"/>
      <c r="G38" s="3"/>
      <c r="H38" s="3"/>
      <c r="I38" s="3"/>
      <c r="J38" s="3"/>
      <c r="K38" s="3"/>
      <c r="L38" s="3"/>
      <c r="M38" s="3"/>
      <c r="N38" s="3"/>
      <c r="O38" s="3"/>
      <c r="P38" s="3"/>
      <c r="Q38" s="3"/>
      <c r="R38" s="3"/>
      <c r="S38" s="3"/>
      <c r="T38" s="3"/>
      <c r="U38" s="3"/>
      <c r="V38" s="3"/>
      <c r="W38" s="3"/>
      <c r="X38" s="3"/>
      <c r="Y38" s="3"/>
      <c r="Z38" s="3"/>
      <c r="AA38" s="3"/>
      <c r="AB38" s="3"/>
      <c r="AC38" s="3"/>
      <c r="AD38" s="5"/>
      <c r="AE38" s="2"/>
      <c r="AF38" s="6"/>
      <c r="AG38" s="2"/>
      <c r="AH38" s="2"/>
      <c r="AI38" s="2"/>
      <c r="AJ38" s="2"/>
      <c r="AK38" s="2"/>
      <c r="AL38" s="2"/>
      <c r="AM38" s="2"/>
      <c r="AN38" s="2"/>
      <c r="AO38" s="2"/>
      <c r="AP38" s="2"/>
      <c r="AQ38" s="2"/>
      <c r="AR38" s="2"/>
      <c r="AS38" s="2"/>
      <c r="AT38" s="2"/>
      <c r="AU38" s="2"/>
      <c r="AV38" s="2"/>
      <c r="AW38" s="2"/>
      <c r="AX38" s="8"/>
      <c r="AY38" s="8"/>
      <c r="AZ38" s="8"/>
      <c r="BA38" s="8"/>
      <c r="BB38" s="8"/>
      <c r="BC38" s="8"/>
      <c r="BD38" s="8"/>
      <c r="BE38" s="8"/>
      <c r="BF38" s="8"/>
      <c r="BG38" s="8"/>
      <c r="BH38" s="1"/>
      <c r="BI38" s="9"/>
    </row>
    <row r="39" spans="1:61" x14ac:dyDescent="0.2">
      <c r="A39" s="18" t="s">
        <v>91</v>
      </c>
      <c r="B39" s="3">
        <f>[1]Budget!$H$3</f>
        <v>55</v>
      </c>
      <c r="C39" s="3">
        <f>[1]Budget!$A$8</f>
        <v>0</v>
      </c>
      <c r="D39" s="4">
        <f>IF(C39&gt;0,365/C39,[1]Budget!$B$8)</f>
        <v>0</v>
      </c>
      <c r="E39" s="19" t="s">
        <v>55</v>
      </c>
      <c r="F39" s="20">
        <v>2012</v>
      </c>
      <c r="G39" s="20">
        <v>5</v>
      </c>
      <c r="H39" s="20">
        <v>200</v>
      </c>
      <c r="I39" s="20">
        <v>4</v>
      </c>
      <c r="J39" s="20"/>
      <c r="K39" s="20"/>
      <c r="L39" s="20" t="s">
        <v>56</v>
      </c>
      <c r="M39" s="20" t="s">
        <v>57</v>
      </c>
      <c r="N39" s="20" t="s">
        <v>58</v>
      </c>
      <c r="O39" s="20">
        <v>25000</v>
      </c>
      <c r="P39" s="20">
        <v>80000</v>
      </c>
      <c r="Q39" s="20">
        <v>3000</v>
      </c>
      <c r="R39" s="20" t="s">
        <v>59</v>
      </c>
      <c r="S39" s="20"/>
      <c r="T39" s="20"/>
      <c r="U39" s="20">
        <v>10</v>
      </c>
      <c r="V39" s="20">
        <v>20</v>
      </c>
      <c r="W39" s="20"/>
      <c r="X39" s="20"/>
      <c r="Y39" s="20">
        <v>250</v>
      </c>
      <c r="Z39" s="20">
        <v>4000</v>
      </c>
      <c r="AA39" s="20">
        <f>AA3*4</f>
        <v>10</v>
      </c>
      <c r="AB39" s="20">
        <f>AB3*4</f>
        <v>22</v>
      </c>
      <c r="AC39" s="20" t="s">
        <v>56</v>
      </c>
      <c r="AD39" s="21">
        <v>25</v>
      </c>
      <c r="AE39" s="19"/>
      <c r="AF39" s="22">
        <v>0.02</v>
      </c>
      <c r="AG39" s="19">
        <v>200</v>
      </c>
      <c r="AH39" s="19">
        <v>400</v>
      </c>
      <c r="AI39" s="19"/>
      <c r="AJ39" s="19">
        <v>4</v>
      </c>
      <c r="AK39" s="19">
        <v>10</v>
      </c>
      <c r="AL39" s="19">
        <v>2</v>
      </c>
      <c r="AM39" s="19">
        <v>1000</v>
      </c>
      <c r="AN39" s="19">
        <v>5000</v>
      </c>
      <c r="AO39" s="19">
        <v>0.5</v>
      </c>
      <c r="AP39" s="19">
        <v>2000</v>
      </c>
      <c r="AQ39" s="19">
        <v>1000</v>
      </c>
      <c r="AR39" s="19">
        <v>0</v>
      </c>
      <c r="AS39" s="2">
        <f t="shared" ref="AS39:AS46" si="28">AJ39*$H39*365</f>
        <v>292000</v>
      </c>
      <c r="AT39" s="2">
        <f t="shared" ref="AT39:AT46" si="29">AK39*H39*6</f>
        <v>12000</v>
      </c>
      <c r="AU39" s="2">
        <f t="shared" ref="AU39:AU46" si="30">AL39*H39*6</f>
        <v>2400</v>
      </c>
      <c r="AV39" s="2">
        <f t="shared" ref="AV39:AV46" si="31">AO39*H39*365</f>
        <v>36500</v>
      </c>
      <c r="AW39" s="2"/>
      <c r="AX39" s="8">
        <f t="shared" ref="AX39:AX46" si="32">AJ39*60</f>
        <v>240</v>
      </c>
      <c r="AY39" s="8">
        <f t="shared" ref="AY39:AZ46" si="33">AK39</f>
        <v>10</v>
      </c>
      <c r="AZ39" s="8">
        <f t="shared" si="33"/>
        <v>2</v>
      </c>
      <c r="BA39" s="8">
        <f t="shared" ref="BA39:BB46" si="34">AM39/($H39*6)</f>
        <v>0.83333333333333337</v>
      </c>
      <c r="BB39" s="8">
        <f t="shared" si="34"/>
        <v>4.166666666666667</v>
      </c>
      <c r="BC39" s="8">
        <f t="shared" ref="BC39:BC46" si="35">AO39*60</f>
        <v>30</v>
      </c>
      <c r="BD39" s="8">
        <f t="shared" ref="BD39:BF46" si="36">AP39/($H39*6)</f>
        <v>1.6666666666666667</v>
      </c>
      <c r="BE39" s="8">
        <f t="shared" si="36"/>
        <v>0.83333333333333337</v>
      </c>
      <c r="BF39" s="8">
        <f t="shared" si="36"/>
        <v>0</v>
      </c>
      <c r="BG39" s="8">
        <f t="shared" ref="BG39:BG46" si="37">SUM(AX39:BF39)</f>
        <v>289.5</v>
      </c>
      <c r="BH39" s="19"/>
      <c r="BI39" s="23">
        <v>0.1</v>
      </c>
    </row>
    <row r="40" spans="1:61" x14ac:dyDescent="0.2">
      <c r="A40" s="18" t="s">
        <v>92</v>
      </c>
      <c r="B40" s="3">
        <f>[1]Budget!$H$3</f>
        <v>55</v>
      </c>
      <c r="C40" s="3">
        <f>[1]Budget!$A$8</f>
        <v>0</v>
      </c>
      <c r="D40" s="4">
        <f>IF(C40&gt;0,365/C40,[1]Budget!$B$8)</f>
        <v>0</v>
      </c>
      <c r="E40" s="19" t="s">
        <v>61</v>
      </c>
      <c r="F40" s="20">
        <v>2012</v>
      </c>
      <c r="G40" s="20">
        <v>8</v>
      </c>
      <c r="H40" s="20">
        <v>26</v>
      </c>
      <c r="I40" s="20">
        <v>1</v>
      </c>
      <c r="J40" s="20"/>
      <c r="K40" s="20"/>
      <c r="L40" s="24" t="s">
        <v>56</v>
      </c>
      <c r="M40" s="20"/>
      <c r="N40" s="20" t="s">
        <v>62</v>
      </c>
      <c r="O40" s="20">
        <v>40000</v>
      </c>
      <c r="P40" s="20">
        <v>15000</v>
      </c>
      <c r="Q40" s="20">
        <v>30000</v>
      </c>
      <c r="R40" s="20" t="s">
        <v>59</v>
      </c>
      <c r="S40" s="20"/>
      <c r="T40" s="20"/>
      <c r="U40" s="20">
        <v>15</v>
      </c>
      <c r="V40" s="20">
        <v>40</v>
      </c>
      <c r="W40" s="20"/>
      <c r="X40" s="20"/>
      <c r="Y40" s="20">
        <v>1000</v>
      </c>
      <c r="Z40" s="20">
        <v>100</v>
      </c>
      <c r="AA40" s="20">
        <v>1</v>
      </c>
      <c r="AB40" s="20">
        <v>2</v>
      </c>
      <c r="AC40" s="24" t="s">
        <v>56</v>
      </c>
      <c r="AD40" s="21">
        <v>8.5</v>
      </c>
      <c r="AE40" s="19"/>
      <c r="AF40" s="22">
        <v>0.01</v>
      </c>
      <c r="AG40" s="19">
        <v>150</v>
      </c>
      <c r="AH40" s="19">
        <v>300</v>
      </c>
      <c r="AI40" s="19"/>
      <c r="AJ40" s="19">
        <f>2500/(30*26)</f>
        <v>3.2051282051282053</v>
      </c>
      <c r="AK40" s="19"/>
      <c r="AL40" s="19">
        <f>100/(26)</f>
        <v>3.8461538461538463</v>
      </c>
      <c r="AM40" s="19"/>
      <c r="AN40" s="19">
        <f>65*12</f>
        <v>780</v>
      </c>
      <c r="AO40" s="19">
        <f>335/(26*30)</f>
        <v>0.42948717948717946</v>
      </c>
      <c r="AP40" s="19">
        <f>880*12</f>
        <v>10560</v>
      </c>
      <c r="AQ40" s="19">
        <v>1200</v>
      </c>
      <c r="AR40" s="19">
        <f>5*12</f>
        <v>60</v>
      </c>
      <c r="AS40" s="2">
        <f t="shared" si="28"/>
        <v>30416.666666666672</v>
      </c>
      <c r="AT40" s="2">
        <f t="shared" si="29"/>
        <v>0</v>
      </c>
      <c r="AU40" s="2">
        <f t="shared" si="30"/>
        <v>600</v>
      </c>
      <c r="AV40" s="2">
        <f t="shared" si="31"/>
        <v>4075.833333333333</v>
      </c>
      <c r="AW40" s="2"/>
      <c r="AX40" s="8">
        <f t="shared" si="32"/>
        <v>192.30769230769232</v>
      </c>
      <c r="AY40" s="8">
        <f t="shared" si="33"/>
        <v>0</v>
      </c>
      <c r="AZ40" s="8">
        <f t="shared" si="33"/>
        <v>3.8461538461538463</v>
      </c>
      <c r="BA40" s="8">
        <f t="shared" si="34"/>
        <v>0</v>
      </c>
      <c r="BB40" s="8">
        <f t="shared" si="34"/>
        <v>5</v>
      </c>
      <c r="BC40" s="8">
        <f t="shared" si="35"/>
        <v>25.769230769230766</v>
      </c>
      <c r="BD40" s="8">
        <f t="shared" si="36"/>
        <v>67.692307692307693</v>
      </c>
      <c r="BE40" s="8">
        <f t="shared" si="36"/>
        <v>7.6923076923076925</v>
      </c>
      <c r="BF40" s="8">
        <f t="shared" si="36"/>
        <v>0.38461538461538464</v>
      </c>
      <c r="BG40" s="8">
        <f t="shared" si="37"/>
        <v>302.69230769230768</v>
      </c>
      <c r="BH40" s="19"/>
      <c r="BI40" s="23"/>
    </row>
    <row r="41" spans="1:61" x14ac:dyDescent="0.2">
      <c r="A41" s="18" t="s">
        <v>93</v>
      </c>
      <c r="B41" s="3">
        <f>[1]Budget!$H$3</f>
        <v>55</v>
      </c>
      <c r="C41" s="3">
        <f>[1]Budget!$A$8</f>
        <v>0</v>
      </c>
      <c r="D41" s="4">
        <f>IF(C41&gt;0,365/C41,[1]Budget!$B$8)</f>
        <v>0</v>
      </c>
      <c r="E41" s="19" t="s">
        <v>65</v>
      </c>
      <c r="F41" s="20">
        <v>2012</v>
      </c>
      <c r="G41" s="20">
        <v>8</v>
      </c>
      <c r="H41" s="20">
        <v>40</v>
      </c>
      <c r="I41" s="20">
        <v>1</v>
      </c>
      <c r="J41" s="20"/>
      <c r="K41" s="20"/>
      <c r="L41" s="20" t="s">
        <v>56</v>
      </c>
      <c r="M41" s="20"/>
      <c r="N41" s="20" t="s">
        <v>67</v>
      </c>
      <c r="O41" s="20">
        <v>18000</v>
      </c>
      <c r="P41" s="20">
        <v>13000</v>
      </c>
      <c r="Q41" s="20">
        <v>5000</v>
      </c>
      <c r="R41" s="20" t="s">
        <v>59</v>
      </c>
      <c r="S41" s="20"/>
      <c r="T41" s="20"/>
      <c r="U41" s="20">
        <v>10</v>
      </c>
      <c r="V41" s="20">
        <v>20</v>
      </c>
      <c r="W41" s="20"/>
      <c r="X41" s="20"/>
      <c r="Y41" s="20">
        <v>250</v>
      </c>
      <c r="Z41" s="20">
        <v>100</v>
      </c>
      <c r="AA41" s="20"/>
      <c r="AB41" s="20">
        <v>2</v>
      </c>
      <c r="AC41" s="20">
        <v>240</v>
      </c>
      <c r="AD41" s="21">
        <v>15</v>
      </c>
      <c r="AE41" s="19"/>
      <c r="AF41" s="22">
        <v>0.05</v>
      </c>
      <c r="AG41" s="19">
        <v>120</v>
      </c>
      <c r="AH41" s="19">
        <v>300</v>
      </c>
      <c r="AI41" s="19"/>
      <c r="AJ41" s="19">
        <f>1500/(35*30)</f>
        <v>1.4285714285714286</v>
      </c>
      <c r="AK41" s="19">
        <f>1200/(35*30)</f>
        <v>1.1428571428571428</v>
      </c>
      <c r="AL41" s="19">
        <f>600/(35*30)</f>
        <v>0.5714285714285714</v>
      </c>
      <c r="AM41" s="19"/>
      <c r="AN41" s="19"/>
      <c r="AO41" s="19">
        <f>600/(35*30)</f>
        <v>0.5714285714285714</v>
      </c>
      <c r="AP41" s="19"/>
      <c r="AQ41" s="19"/>
      <c r="AR41" s="19"/>
      <c r="AS41" s="2">
        <f t="shared" si="28"/>
        <v>20857.142857142859</v>
      </c>
      <c r="AT41" s="2">
        <f t="shared" si="29"/>
        <v>274.28571428571422</v>
      </c>
      <c r="AU41" s="2">
        <f t="shared" si="30"/>
        <v>137.14285714285711</v>
      </c>
      <c r="AV41" s="2">
        <f t="shared" si="31"/>
        <v>8342.8571428571413</v>
      </c>
      <c r="AW41" s="2"/>
      <c r="AX41" s="8">
        <f t="shared" si="32"/>
        <v>85.714285714285722</v>
      </c>
      <c r="AY41" s="8">
        <f t="shared" si="33"/>
        <v>1.1428571428571428</v>
      </c>
      <c r="AZ41" s="8">
        <f t="shared" si="33"/>
        <v>0.5714285714285714</v>
      </c>
      <c r="BA41" s="8">
        <f t="shared" si="34"/>
        <v>0</v>
      </c>
      <c r="BB41" s="8">
        <f t="shared" si="34"/>
        <v>0</v>
      </c>
      <c r="BC41" s="8">
        <f t="shared" si="35"/>
        <v>34.285714285714285</v>
      </c>
      <c r="BD41" s="8">
        <f t="shared" si="36"/>
        <v>0</v>
      </c>
      <c r="BE41" s="8">
        <f t="shared" si="36"/>
        <v>0</v>
      </c>
      <c r="BF41" s="8">
        <f t="shared" si="36"/>
        <v>0</v>
      </c>
      <c r="BG41" s="8">
        <f t="shared" si="37"/>
        <v>121.71428571428572</v>
      </c>
      <c r="BH41" s="19"/>
      <c r="BI41" s="23"/>
    </row>
    <row r="42" spans="1:61" ht="32" x14ac:dyDescent="0.2">
      <c r="A42" s="18" t="s">
        <v>94</v>
      </c>
      <c r="B42" s="3">
        <f>[1]Budget!$H$3</f>
        <v>55</v>
      </c>
      <c r="C42" s="3">
        <f>[1]Budget!$A$8</f>
        <v>0</v>
      </c>
      <c r="D42" s="4">
        <f>IF(C42&gt;0,365/C42,[1]Budget!$B$8)</f>
        <v>0</v>
      </c>
      <c r="E42" s="25" t="s">
        <v>68</v>
      </c>
      <c r="F42" s="20">
        <v>2011</v>
      </c>
      <c r="G42" s="20">
        <v>6</v>
      </c>
      <c r="H42" s="20">
        <v>45</v>
      </c>
      <c r="I42" s="20">
        <v>1</v>
      </c>
      <c r="J42" s="20"/>
      <c r="K42" s="20"/>
      <c r="L42" s="20" t="s">
        <v>56</v>
      </c>
      <c r="M42" s="20"/>
      <c r="N42" s="20" t="s">
        <v>67</v>
      </c>
      <c r="O42" s="20">
        <v>30000</v>
      </c>
      <c r="P42" s="20">
        <v>20000</v>
      </c>
      <c r="Q42" s="20">
        <v>10000</v>
      </c>
      <c r="R42" s="20" t="s">
        <v>59</v>
      </c>
      <c r="S42" s="20"/>
      <c r="T42" s="20"/>
      <c r="U42" s="20">
        <v>10</v>
      </c>
      <c r="V42" s="20">
        <v>20</v>
      </c>
      <c r="W42" s="20"/>
      <c r="X42" s="20"/>
      <c r="Y42" s="20"/>
      <c r="Z42" s="20"/>
      <c r="AA42" s="20">
        <v>2</v>
      </c>
      <c r="AB42" s="20">
        <v>12</v>
      </c>
      <c r="AC42" s="20" t="s">
        <v>56</v>
      </c>
      <c r="AD42" s="21"/>
      <c r="AE42" s="19"/>
      <c r="AF42" s="22">
        <v>0.02</v>
      </c>
      <c r="AG42" s="19">
        <v>200</v>
      </c>
      <c r="AH42" s="19">
        <v>400</v>
      </c>
      <c r="AI42" s="19"/>
      <c r="AJ42" s="19"/>
      <c r="AK42" s="19"/>
      <c r="AL42" s="19"/>
      <c r="AM42" s="19"/>
      <c r="AN42" s="19"/>
      <c r="AO42" s="19"/>
      <c r="AP42" s="19"/>
      <c r="AQ42" s="19"/>
      <c r="AR42" s="19"/>
      <c r="AS42" s="2">
        <f t="shared" si="28"/>
        <v>0</v>
      </c>
      <c r="AT42" s="2">
        <f t="shared" si="29"/>
        <v>0</v>
      </c>
      <c r="AU42" s="2">
        <f t="shared" si="30"/>
        <v>0</v>
      </c>
      <c r="AV42" s="2">
        <f t="shared" si="31"/>
        <v>0</v>
      </c>
      <c r="AW42" s="2"/>
      <c r="AX42" s="8">
        <f t="shared" si="32"/>
        <v>0</v>
      </c>
      <c r="AY42" s="8">
        <f t="shared" si="33"/>
        <v>0</v>
      </c>
      <c r="AZ42" s="8">
        <f t="shared" si="33"/>
        <v>0</v>
      </c>
      <c r="BA42" s="8">
        <f t="shared" si="34"/>
        <v>0</v>
      </c>
      <c r="BB42" s="8">
        <f t="shared" si="34"/>
        <v>0</v>
      </c>
      <c r="BC42" s="8">
        <f t="shared" si="35"/>
        <v>0</v>
      </c>
      <c r="BD42" s="8">
        <f t="shared" si="36"/>
        <v>0</v>
      </c>
      <c r="BE42" s="8">
        <f t="shared" si="36"/>
        <v>0</v>
      </c>
      <c r="BF42" s="8">
        <f t="shared" si="36"/>
        <v>0</v>
      </c>
      <c r="BG42" s="8">
        <f t="shared" si="37"/>
        <v>0</v>
      </c>
      <c r="BH42" s="19"/>
      <c r="BI42" s="23"/>
    </row>
    <row r="43" spans="1:61" x14ac:dyDescent="0.2">
      <c r="A43" s="10" t="s">
        <v>95</v>
      </c>
      <c r="B43" s="3">
        <f>[1]Budget!$H$3</f>
        <v>55</v>
      </c>
      <c r="C43" s="3">
        <f>[1]Budget!$A$8</f>
        <v>0</v>
      </c>
      <c r="D43" s="4">
        <f>IF(C43&gt;0,365/C43,[1]Budget!$B$8)</f>
        <v>0</v>
      </c>
      <c r="E43" s="2" t="s">
        <v>79</v>
      </c>
      <c r="F43" s="3">
        <v>2011</v>
      </c>
      <c r="G43" s="3">
        <v>1</v>
      </c>
      <c r="H43" s="3">
        <v>140</v>
      </c>
      <c r="I43" s="3"/>
      <c r="J43" s="3"/>
      <c r="K43" s="3"/>
      <c r="L43" s="3"/>
      <c r="M43" s="3"/>
      <c r="N43" s="26" t="s">
        <v>67</v>
      </c>
      <c r="O43" s="26">
        <f>P43+Q43</f>
        <v>60000</v>
      </c>
      <c r="P43" s="26">
        <v>40000</v>
      </c>
      <c r="Q43" s="26">
        <v>20000</v>
      </c>
      <c r="R43" s="26" t="s">
        <v>59</v>
      </c>
      <c r="S43" s="26"/>
      <c r="T43" s="26"/>
      <c r="U43" s="26">
        <v>9</v>
      </c>
      <c r="V43" s="26">
        <v>20</v>
      </c>
      <c r="W43" s="26"/>
      <c r="X43" s="26"/>
      <c r="Y43" s="26">
        <v>2000</v>
      </c>
      <c r="Z43" s="26">
        <v>500</v>
      </c>
      <c r="AA43" s="26">
        <f>240*2/60</f>
        <v>8</v>
      </c>
      <c r="AB43" s="26">
        <v>12</v>
      </c>
      <c r="AC43" s="26"/>
      <c r="AD43" s="27">
        <v>12</v>
      </c>
      <c r="AE43" s="14"/>
      <c r="AF43" s="28">
        <v>0.02</v>
      </c>
      <c r="AG43" s="14">
        <v>100</v>
      </c>
      <c r="AH43" s="14">
        <v>287</v>
      </c>
      <c r="AI43" s="14"/>
      <c r="AJ43" s="14">
        <f>4000/(140*30)</f>
        <v>0.95238095238095233</v>
      </c>
      <c r="AK43" s="14">
        <f>250*2/95</f>
        <v>5.2631578947368425</v>
      </c>
      <c r="AL43" s="14">
        <f>150*2/95</f>
        <v>3.1578947368421053</v>
      </c>
      <c r="AM43" s="14">
        <f>200*12</f>
        <v>2400</v>
      </c>
      <c r="AN43" s="14">
        <f>460*12</f>
        <v>5520</v>
      </c>
      <c r="AO43" s="14">
        <f>1300/(95*30)</f>
        <v>0.45614035087719296</v>
      </c>
      <c r="AP43" s="14">
        <f>1000*12</f>
        <v>12000</v>
      </c>
      <c r="AQ43" s="14">
        <f>1000</f>
        <v>1000</v>
      </c>
      <c r="AR43" s="14">
        <f>5*95*365</f>
        <v>173375</v>
      </c>
      <c r="AS43" s="14">
        <f t="shared" si="28"/>
        <v>48666.666666666657</v>
      </c>
      <c r="AT43" s="14">
        <f t="shared" si="29"/>
        <v>4421.0526315789475</v>
      </c>
      <c r="AU43" s="14">
        <f t="shared" si="30"/>
        <v>2652.6315789473683</v>
      </c>
      <c r="AV43" s="14">
        <f t="shared" si="31"/>
        <v>23308.771929824561</v>
      </c>
      <c r="AW43" s="2"/>
      <c r="AX43" s="8">
        <f t="shared" si="32"/>
        <v>57.142857142857139</v>
      </c>
      <c r="AY43" s="8">
        <f t="shared" si="33"/>
        <v>5.2631578947368425</v>
      </c>
      <c r="AZ43" s="8">
        <f t="shared" si="33"/>
        <v>3.1578947368421053</v>
      </c>
      <c r="BA43" s="8">
        <f t="shared" si="34"/>
        <v>2.8571428571428572</v>
      </c>
      <c r="BB43" s="8">
        <f t="shared" si="34"/>
        <v>6.5714285714285712</v>
      </c>
      <c r="BC43" s="8">
        <f t="shared" si="35"/>
        <v>27.368421052631579</v>
      </c>
      <c r="BD43" s="8">
        <f t="shared" si="36"/>
        <v>14.285714285714286</v>
      </c>
      <c r="BE43" s="8">
        <f t="shared" si="36"/>
        <v>1.1904761904761905</v>
      </c>
      <c r="BF43" s="8">
        <f t="shared" si="36"/>
        <v>206.39880952380952</v>
      </c>
      <c r="BG43" s="8">
        <f t="shared" si="37"/>
        <v>324.23590225563908</v>
      </c>
      <c r="BH43" s="1"/>
      <c r="BI43" s="9"/>
    </row>
    <row r="44" spans="1:61" ht="32" x14ac:dyDescent="0.2">
      <c r="A44" s="29" t="s">
        <v>96</v>
      </c>
      <c r="B44" s="3">
        <f>[1]Budget!$H$3</f>
        <v>55</v>
      </c>
      <c r="C44" s="3">
        <f>[1]Budget!$A$8</f>
        <v>0</v>
      </c>
      <c r="D44" s="4">
        <f>IF(C44&gt;0,365/C44,[1]Budget!$B$8)</f>
        <v>0</v>
      </c>
      <c r="E44" s="30" t="s">
        <v>81</v>
      </c>
      <c r="F44" s="24">
        <v>2011</v>
      </c>
      <c r="G44" s="24">
        <v>12</v>
      </c>
      <c r="H44" s="24">
        <v>40</v>
      </c>
      <c r="I44" s="24">
        <v>1</v>
      </c>
      <c r="J44" s="24"/>
      <c r="K44" s="24"/>
      <c r="L44" s="24" t="s">
        <v>56</v>
      </c>
      <c r="M44" s="24"/>
      <c r="N44" s="24" t="s">
        <v>58</v>
      </c>
      <c r="O44" s="24">
        <v>45000</v>
      </c>
      <c r="P44" s="24">
        <v>14000</v>
      </c>
      <c r="Q44" s="24">
        <v>31000</v>
      </c>
      <c r="R44" s="24" t="s">
        <v>82</v>
      </c>
      <c r="S44" s="24">
        <v>2013</v>
      </c>
      <c r="T44" s="24">
        <v>1800</v>
      </c>
      <c r="U44" s="24">
        <v>15</v>
      </c>
      <c r="V44" s="24">
        <v>30</v>
      </c>
      <c r="W44" s="24">
        <v>15</v>
      </c>
      <c r="X44" s="24"/>
      <c r="Y44" s="24">
        <v>500</v>
      </c>
      <c r="Z44" s="24">
        <v>100</v>
      </c>
      <c r="AA44" s="24">
        <v>0.16666666666666666</v>
      </c>
      <c r="AB44" s="24">
        <v>4</v>
      </c>
      <c r="AC44" s="24" t="s">
        <v>56</v>
      </c>
      <c r="AD44" s="31">
        <v>15</v>
      </c>
      <c r="AE44" s="30"/>
      <c r="AF44" s="32">
        <v>5.0000000000000001E-3</v>
      </c>
      <c r="AG44" s="30">
        <v>300</v>
      </c>
      <c r="AH44" s="30">
        <v>500</v>
      </c>
      <c r="AI44" s="30"/>
      <c r="AJ44" s="30">
        <v>1.4166666666666667</v>
      </c>
      <c r="AK44" s="30">
        <v>10</v>
      </c>
      <c r="AL44" s="30">
        <v>3</v>
      </c>
      <c r="AM44" s="30"/>
      <c r="AN44" s="30">
        <v>1200</v>
      </c>
      <c r="AO44" s="30"/>
      <c r="AP44" s="30"/>
      <c r="AQ44" s="30">
        <v>612</v>
      </c>
      <c r="AR44" s="30"/>
      <c r="AS44" s="2">
        <f t="shared" si="28"/>
        <v>20683.333333333336</v>
      </c>
      <c r="AT44" s="2">
        <f t="shared" si="29"/>
        <v>2400</v>
      </c>
      <c r="AU44" s="2">
        <f t="shared" si="30"/>
        <v>720</v>
      </c>
      <c r="AV44" s="2">
        <f t="shared" si="31"/>
        <v>0</v>
      </c>
      <c r="AW44" s="2"/>
      <c r="AX44" s="8">
        <f t="shared" si="32"/>
        <v>85</v>
      </c>
      <c r="AY44" s="8">
        <f t="shared" si="33"/>
        <v>10</v>
      </c>
      <c r="AZ44" s="8">
        <f t="shared" si="33"/>
        <v>3</v>
      </c>
      <c r="BA44" s="8">
        <f t="shared" si="34"/>
        <v>0</v>
      </c>
      <c r="BB44" s="8">
        <f t="shared" si="34"/>
        <v>5</v>
      </c>
      <c r="BC44" s="8">
        <f t="shared" si="35"/>
        <v>0</v>
      </c>
      <c r="BD44" s="8">
        <f t="shared" si="36"/>
        <v>0</v>
      </c>
      <c r="BE44" s="8">
        <f t="shared" si="36"/>
        <v>2.5499999999999998</v>
      </c>
      <c r="BF44" s="8">
        <f t="shared" si="36"/>
        <v>0</v>
      </c>
      <c r="BG44" s="8">
        <f t="shared" si="37"/>
        <v>105.55</v>
      </c>
      <c r="BH44" s="30"/>
      <c r="BI44" s="33">
        <f>$AX$65</f>
        <v>0</v>
      </c>
    </row>
    <row r="45" spans="1:61" ht="32" x14ac:dyDescent="0.2">
      <c r="A45" s="29" t="s">
        <v>97</v>
      </c>
      <c r="B45" s="3">
        <f>[1]Budget!$H$3</f>
        <v>55</v>
      </c>
      <c r="C45" s="3">
        <f>[1]Budget!$A$8</f>
        <v>0</v>
      </c>
      <c r="D45" s="4">
        <f>IF(C45&gt;0,365/C45,[1]Budget!$B$8)</f>
        <v>0</v>
      </c>
      <c r="E45" s="30" t="s">
        <v>87</v>
      </c>
      <c r="F45" s="24">
        <v>2012</v>
      </c>
      <c r="G45" s="24">
        <v>11</v>
      </c>
      <c r="H45" s="24">
        <v>60</v>
      </c>
      <c r="I45" s="24">
        <v>1</v>
      </c>
      <c r="J45" s="24"/>
      <c r="K45" s="24"/>
      <c r="L45" s="24" t="s">
        <v>56</v>
      </c>
      <c r="M45" s="24"/>
      <c r="N45" s="24" t="s">
        <v>62</v>
      </c>
      <c r="O45" s="24">
        <v>85000</v>
      </c>
      <c r="P45" s="24">
        <v>16000</v>
      </c>
      <c r="Q45" s="24">
        <v>69000</v>
      </c>
      <c r="R45" s="24"/>
      <c r="S45" s="24"/>
      <c r="T45" s="24"/>
      <c r="U45" s="24">
        <v>10</v>
      </c>
      <c r="V45" s="24">
        <v>10</v>
      </c>
      <c r="W45" s="24"/>
      <c r="X45" s="24"/>
      <c r="Y45" s="24">
        <v>2500</v>
      </c>
      <c r="Z45" s="24">
        <v>1500</v>
      </c>
      <c r="AA45" s="24">
        <v>2.5</v>
      </c>
      <c r="AB45" s="24">
        <v>25</v>
      </c>
      <c r="AC45" s="24"/>
      <c r="AD45" s="31">
        <v>25</v>
      </c>
      <c r="AE45" s="30"/>
      <c r="AF45" s="32">
        <v>0.02</v>
      </c>
      <c r="AG45" s="30">
        <v>200</v>
      </c>
      <c r="AH45" s="30">
        <v>450</v>
      </c>
      <c r="AI45" s="30"/>
      <c r="AJ45" s="30">
        <v>0.9</v>
      </c>
      <c r="AK45" s="30"/>
      <c r="AL45" s="30">
        <v>30</v>
      </c>
      <c r="AM45" s="30"/>
      <c r="AN45" s="30"/>
      <c r="AO45" s="30">
        <v>0.7</v>
      </c>
      <c r="AP45" s="30">
        <v>19200</v>
      </c>
      <c r="AQ45" s="30">
        <v>500</v>
      </c>
      <c r="AR45" s="30"/>
      <c r="AS45" s="2">
        <f t="shared" si="28"/>
        <v>19710</v>
      </c>
      <c r="AT45" s="2">
        <f t="shared" si="29"/>
        <v>0</v>
      </c>
      <c r="AU45" s="2">
        <f t="shared" si="30"/>
        <v>10800</v>
      </c>
      <c r="AV45" s="2">
        <f t="shared" si="31"/>
        <v>15330</v>
      </c>
      <c r="AW45" s="2"/>
      <c r="AX45" s="8">
        <f t="shared" si="32"/>
        <v>54</v>
      </c>
      <c r="AY45" s="8">
        <f t="shared" si="33"/>
        <v>0</v>
      </c>
      <c r="AZ45" s="8">
        <f t="shared" si="33"/>
        <v>30</v>
      </c>
      <c r="BA45" s="8">
        <f t="shared" si="34"/>
        <v>0</v>
      </c>
      <c r="BB45" s="8">
        <f t="shared" si="34"/>
        <v>0</v>
      </c>
      <c r="BC45" s="8">
        <f t="shared" si="35"/>
        <v>42</v>
      </c>
      <c r="BD45" s="8">
        <f t="shared" si="36"/>
        <v>53.333333333333336</v>
      </c>
      <c r="BE45" s="8">
        <f t="shared" si="36"/>
        <v>1.3888888888888888</v>
      </c>
      <c r="BF45" s="8">
        <f t="shared" si="36"/>
        <v>0</v>
      </c>
      <c r="BG45" s="8">
        <f t="shared" si="37"/>
        <v>180.72222222222223</v>
      </c>
      <c r="BH45" s="30"/>
      <c r="BI45" s="33">
        <v>0.06</v>
      </c>
    </row>
    <row r="46" spans="1:61" x14ac:dyDescent="0.2">
      <c r="A46" s="29" t="s">
        <v>98</v>
      </c>
      <c r="B46" s="3">
        <f>[1]Budget!$H$3</f>
        <v>55</v>
      </c>
      <c r="C46" s="3">
        <f>[1]Budget!$A$8</f>
        <v>0</v>
      </c>
      <c r="D46" s="4">
        <f>IF(C46&gt;0,365/C46,[1]Budget!$B$8)</f>
        <v>0</v>
      </c>
      <c r="E46" s="30" t="s">
        <v>63</v>
      </c>
      <c r="F46" s="24">
        <v>2010</v>
      </c>
      <c r="G46" s="24"/>
      <c r="H46" s="24">
        <v>150</v>
      </c>
      <c r="I46" s="24">
        <v>3</v>
      </c>
      <c r="J46" s="24"/>
      <c r="K46" s="24"/>
      <c r="L46" s="24" t="s">
        <v>56</v>
      </c>
      <c r="M46" s="24"/>
      <c r="N46" s="24" t="s">
        <v>62</v>
      </c>
      <c r="O46" s="24">
        <v>172471</v>
      </c>
      <c r="P46" s="24">
        <v>80000</v>
      </c>
      <c r="Q46" s="24">
        <f>O46-P46</f>
        <v>92471</v>
      </c>
      <c r="R46" s="24" t="s">
        <v>59</v>
      </c>
      <c r="S46" s="24"/>
      <c r="T46" s="24"/>
      <c r="U46" s="24">
        <v>20</v>
      </c>
      <c r="V46" s="24">
        <v>40</v>
      </c>
      <c r="W46" s="24"/>
      <c r="X46" s="24"/>
      <c r="Y46" s="24"/>
      <c r="Z46" s="24">
        <v>300</v>
      </c>
      <c r="AA46" s="24">
        <f>34/60</f>
        <v>0.56666666666666665</v>
      </c>
      <c r="AB46" s="24">
        <v>300</v>
      </c>
      <c r="AC46" s="24" t="s">
        <v>56</v>
      </c>
      <c r="AD46" s="31">
        <v>13</v>
      </c>
      <c r="AE46" s="30"/>
      <c r="AF46" s="32">
        <v>0.02</v>
      </c>
      <c r="AG46" s="30">
        <v>200</v>
      </c>
      <c r="AH46" s="30">
        <v>350</v>
      </c>
      <c r="AI46" s="30"/>
      <c r="AJ46" s="30">
        <f>120362/(85*365)</f>
        <v>3.8795165189363416</v>
      </c>
      <c r="AK46" s="30"/>
      <c r="AL46" s="30"/>
      <c r="AM46" s="30">
        <v>1368</v>
      </c>
      <c r="AN46" s="30">
        <v>10776</v>
      </c>
      <c r="AO46" s="30">
        <f>3500/(85*365)</f>
        <v>0.11281224818694602</v>
      </c>
      <c r="AP46" s="30">
        <v>0</v>
      </c>
      <c r="AQ46" s="30">
        <v>100</v>
      </c>
      <c r="AR46" s="30"/>
      <c r="AS46" s="30">
        <f t="shared" si="28"/>
        <v>212403.52941176473</v>
      </c>
      <c r="AT46" s="30">
        <f t="shared" si="29"/>
        <v>0</v>
      </c>
      <c r="AU46" s="30">
        <f t="shared" si="30"/>
        <v>0</v>
      </c>
      <c r="AV46" s="30">
        <f t="shared" si="31"/>
        <v>6176.4705882352946</v>
      </c>
      <c r="AW46" s="30"/>
      <c r="AX46" s="34">
        <f t="shared" si="32"/>
        <v>232.7709911361805</v>
      </c>
      <c r="AY46" s="34">
        <f t="shared" si="33"/>
        <v>0</v>
      </c>
      <c r="AZ46" s="34">
        <f t="shared" si="33"/>
        <v>0</v>
      </c>
      <c r="BA46" s="34">
        <f t="shared" si="34"/>
        <v>1.52</v>
      </c>
      <c r="BB46" s="34">
        <f t="shared" si="34"/>
        <v>11.973333333333333</v>
      </c>
      <c r="BC46" s="34">
        <f t="shared" si="35"/>
        <v>6.7687348912167611</v>
      </c>
      <c r="BD46" s="34">
        <f t="shared" si="36"/>
        <v>0</v>
      </c>
      <c r="BE46" s="34">
        <f t="shared" si="36"/>
        <v>0.1111111111111111</v>
      </c>
      <c r="BF46" s="34">
        <f t="shared" si="36"/>
        <v>0</v>
      </c>
      <c r="BG46" s="34">
        <f t="shared" si="37"/>
        <v>253.1441704718417</v>
      </c>
      <c r="BH46" s="30"/>
      <c r="BI46" s="33">
        <v>4.4999999999999998E-2</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2" id="{EA10AEB6-3FB1-4642-83C1-7F8B541256ED}">
            <xm:f>B3='/Users/kota/Downloads/[dairy_calf_questionnaire_database110116merged.xlsm]Budget'!#REF!</xm:f>
            <x14:dxf>
              <fill>
                <patternFill>
                  <bgColor theme="0"/>
                </patternFill>
              </fill>
            </x14:dxf>
          </x14:cfRule>
          <xm:sqref>B3:B46</xm:sqref>
        </x14:conditionalFormatting>
        <x14:conditionalFormatting xmlns:xm="http://schemas.microsoft.com/office/excel/2006/main">
          <x14:cfRule type="expression" priority="1" id="{086AB5C9-AC09-2046-9BB5-443227574041}">
            <xm:f>C3='/Users/kota/Downloads/[dairy_calf_questionnaire_database110116merged.xlsm]Budget'!#REF!</xm:f>
            <x14:dxf>
              <fill>
                <patternFill>
                  <bgColor theme="0"/>
                </patternFill>
              </fill>
            </x14:dxf>
          </x14:cfRule>
          <xm:sqref>C3:C46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abSelected="1" zoomScale="140" zoomScaleNormal="140" zoomScalePageLayoutView="140" workbookViewId="0">
      <selection activeCell="D7" sqref="D7"/>
    </sheetView>
  </sheetViews>
  <sheetFormatPr baseColWidth="10" defaultRowHeight="16" x14ac:dyDescent="0.2"/>
  <cols>
    <col min="1" max="1" width="10.83203125" style="47"/>
    <col min="2" max="2" width="19.5" bestFit="1" customWidth="1"/>
    <col min="3" max="3" width="10.83203125" style="37"/>
  </cols>
  <sheetData>
    <row r="1" spans="1:3" x14ac:dyDescent="0.2">
      <c r="A1" s="47" t="s">
        <v>140</v>
      </c>
      <c r="B1" t="s">
        <v>138</v>
      </c>
      <c r="C1" s="37" t="s">
        <v>139</v>
      </c>
    </row>
    <row r="2" spans="1:3" x14ac:dyDescent="0.2">
      <c r="A2" s="47">
        <v>1</v>
      </c>
      <c r="B2" t="s">
        <v>101</v>
      </c>
      <c r="C2" s="37" t="s">
        <v>0</v>
      </c>
    </row>
    <row r="3" spans="1:3" x14ac:dyDescent="0.2">
      <c r="A3" s="47">
        <v>2</v>
      </c>
      <c r="B3" t="s">
        <v>102</v>
      </c>
      <c r="C3" s="37" t="s">
        <v>1</v>
      </c>
    </row>
    <row r="4" spans="1:3" x14ac:dyDescent="0.2">
      <c r="A4" s="47" t="s">
        <v>141</v>
      </c>
      <c r="B4" t="s">
        <v>103</v>
      </c>
      <c r="C4" s="38" t="s">
        <v>2</v>
      </c>
    </row>
    <row r="5" spans="1:3" x14ac:dyDescent="0.2">
      <c r="B5" t="s">
        <v>104</v>
      </c>
      <c r="C5" s="38" t="s">
        <v>3</v>
      </c>
    </row>
    <row r="6" spans="1:3" x14ac:dyDescent="0.2">
      <c r="A6" s="47">
        <v>3</v>
      </c>
      <c r="B6" t="s">
        <v>106</v>
      </c>
      <c r="C6" s="37" t="s">
        <v>4</v>
      </c>
    </row>
    <row r="7" spans="1:3" x14ac:dyDescent="0.2">
      <c r="A7" s="47">
        <v>4</v>
      </c>
      <c r="B7" t="s">
        <v>107</v>
      </c>
      <c r="C7" s="37" t="s">
        <v>99</v>
      </c>
    </row>
    <row r="8" spans="1:3" x14ac:dyDescent="0.2">
      <c r="A8" s="47" t="s">
        <v>142</v>
      </c>
      <c r="B8" t="s">
        <v>108</v>
      </c>
      <c r="C8" s="39" t="s">
        <v>100</v>
      </c>
    </row>
    <row r="9" spans="1:3" x14ac:dyDescent="0.2">
      <c r="A9" s="47">
        <v>5</v>
      </c>
      <c r="B9" t="s">
        <v>149</v>
      </c>
      <c r="C9" s="37" t="s">
        <v>5</v>
      </c>
    </row>
    <row r="10" spans="1:3" x14ac:dyDescent="0.2">
      <c r="A10" s="47" t="s">
        <v>143</v>
      </c>
      <c r="B10" t="s">
        <v>109</v>
      </c>
      <c r="C10" s="37" t="s">
        <v>6</v>
      </c>
    </row>
    <row r="11" spans="1:3" x14ac:dyDescent="0.2">
      <c r="A11" s="47" t="s">
        <v>144</v>
      </c>
      <c r="B11" t="s">
        <v>110</v>
      </c>
      <c r="C11" s="37" t="s">
        <v>7</v>
      </c>
    </row>
    <row r="12" spans="1:3" x14ac:dyDescent="0.2">
      <c r="A12" s="47">
        <v>6</v>
      </c>
      <c r="B12" t="s">
        <v>111</v>
      </c>
      <c r="C12" s="40" t="s">
        <v>8</v>
      </c>
    </row>
    <row r="13" spans="1:3" x14ac:dyDescent="0.2">
      <c r="A13" s="47">
        <v>7</v>
      </c>
      <c r="B13" t="s">
        <v>112</v>
      </c>
      <c r="C13" s="41" t="s">
        <v>9</v>
      </c>
    </row>
    <row r="14" spans="1:3" x14ac:dyDescent="0.2">
      <c r="A14" s="47">
        <v>8</v>
      </c>
      <c r="C14" s="42" t="s">
        <v>10</v>
      </c>
    </row>
    <row r="15" spans="1:3" x14ac:dyDescent="0.2">
      <c r="A15" s="47" t="s">
        <v>145</v>
      </c>
      <c r="B15" t="s">
        <v>113</v>
      </c>
      <c r="C15" s="42" t="s">
        <v>11</v>
      </c>
    </row>
    <row r="16" spans="1:3" x14ac:dyDescent="0.2">
      <c r="A16" s="47" t="s">
        <v>146</v>
      </c>
      <c r="B16" t="s">
        <v>114</v>
      </c>
      <c r="C16" s="43" t="s">
        <v>12</v>
      </c>
    </row>
    <row r="17" spans="1:3" x14ac:dyDescent="0.2">
      <c r="A17" s="47">
        <v>9</v>
      </c>
      <c r="B17" t="s">
        <v>151</v>
      </c>
      <c r="C17" s="37" t="s">
        <v>13</v>
      </c>
    </row>
    <row r="18" spans="1:3" x14ac:dyDescent="0.2">
      <c r="A18" s="47">
        <v>10</v>
      </c>
      <c r="B18" t="s">
        <v>115</v>
      </c>
      <c r="C18" s="37" t="s">
        <v>14</v>
      </c>
    </row>
    <row r="19" spans="1:3" x14ac:dyDescent="0.2">
      <c r="A19" s="47">
        <v>11</v>
      </c>
      <c r="B19" t="s">
        <v>116</v>
      </c>
      <c r="C19" s="41" t="s">
        <v>15</v>
      </c>
    </row>
    <row r="20" spans="1:3" x14ac:dyDescent="0.2">
      <c r="A20" s="47">
        <v>12</v>
      </c>
      <c r="B20" t="s">
        <v>117</v>
      </c>
      <c r="C20" s="42" t="s">
        <v>16</v>
      </c>
    </row>
    <row r="21" spans="1:3" x14ac:dyDescent="0.2">
      <c r="A21" s="47">
        <v>13</v>
      </c>
      <c r="B21" t="s">
        <v>118</v>
      </c>
      <c r="C21" s="42" t="s">
        <v>17</v>
      </c>
    </row>
    <row r="22" spans="1:3" x14ac:dyDescent="0.2">
      <c r="A22" s="47">
        <v>14</v>
      </c>
      <c r="B22" t="s">
        <v>119</v>
      </c>
      <c r="C22" s="41" t="s">
        <v>18</v>
      </c>
    </row>
    <row r="23" spans="1:3" x14ac:dyDescent="0.2">
      <c r="A23" s="47">
        <v>15</v>
      </c>
      <c r="B23" t="s">
        <v>120</v>
      </c>
      <c r="C23" s="42" t="s">
        <v>19</v>
      </c>
    </row>
    <row r="24" spans="1:3" x14ac:dyDescent="0.2">
      <c r="A24" s="47">
        <v>16</v>
      </c>
      <c r="B24" t="s">
        <v>121</v>
      </c>
      <c r="C24" s="42" t="s">
        <v>20</v>
      </c>
    </row>
    <row r="25" spans="1:3" x14ac:dyDescent="0.2">
      <c r="C25" s="44" t="s">
        <v>21</v>
      </c>
    </row>
    <row r="26" spans="1:3" x14ac:dyDescent="0.2">
      <c r="A26" s="47">
        <v>17</v>
      </c>
      <c r="B26" t="s">
        <v>122</v>
      </c>
      <c r="C26" s="37" t="s">
        <v>22</v>
      </c>
    </row>
    <row r="27" spans="1:3" x14ac:dyDescent="0.2">
      <c r="A27" s="47">
        <v>18</v>
      </c>
      <c r="B27" t="s">
        <v>123</v>
      </c>
      <c r="C27" s="45" t="s">
        <v>23</v>
      </c>
    </row>
    <row r="28" spans="1:3" x14ac:dyDescent="0.2">
      <c r="A28" s="47">
        <v>19</v>
      </c>
      <c r="B28" t="s">
        <v>124</v>
      </c>
      <c r="C28" s="37" t="s">
        <v>24</v>
      </c>
    </row>
    <row r="29" spans="1:3" x14ac:dyDescent="0.2">
      <c r="A29" s="47">
        <v>20</v>
      </c>
      <c r="B29" t="s">
        <v>125</v>
      </c>
      <c r="C29" s="37" t="s">
        <v>25</v>
      </c>
    </row>
    <row r="30" spans="1:3" x14ac:dyDescent="0.2">
      <c r="A30" s="47">
        <v>21</v>
      </c>
      <c r="B30" t="s">
        <v>126</v>
      </c>
      <c r="C30" s="40" t="s">
        <v>26</v>
      </c>
    </row>
    <row r="31" spans="1:3" x14ac:dyDescent="0.2">
      <c r="A31" s="47">
        <v>22</v>
      </c>
      <c r="B31" t="s">
        <v>127</v>
      </c>
      <c r="C31" s="37" t="s">
        <v>27</v>
      </c>
    </row>
    <row r="32" spans="1:3" x14ac:dyDescent="0.2">
      <c r="C32" s="38" t="s">
        <v>28</v>
      </c>
    </row>
    <row r="33" spans="1:3" x14ac:dyDescent="0.2">
      <c r="A33" s="47">
        <v>34</v>
      </c>
      <c r="B33" t="s">
        <v>150</v>
      </c>
      <c r="C33" s="37" t="s">
        <v>29</v>
      </c>
    </row>
    <row r="34" spans="1:3" x14ac:dyDescent="0.2">
      <c r="A34" s="47">
        <v>35</v>
      </c>
      <c r="B34" t="s">
        <v>148</v>
      </c>
      <c r="C34" s="37" t="s">
        <v>30</v>
      </c>
    </row>
    <row r="35" spans="1:3" x14ac:dyDescent="0.2">
      <c r="A35" s="47">
        <v>36</v>
      </c>
      <c r="B35" t="s">
        <v>147</v>
      </c>
      <c r="C35" s="37" t="s">
        <v>31</v>
      </c>
    </row>
    <row r="36" spans="1:3" x14ac:dyDescent="0.2">
      <c r="C36" s="38" t="s">
        <v>32</v>
      </c>
    </row>
    <row r="37" spans="1:3" x14ac:dyDescent="0.2">
      <c r="A37" s="47">
        <v>37</v>
      </c>
      <c r="B37" t="s">
        <v>129</v>
      </c>
      <c r="C37" s="40" t="s">
        <v>33</v>
      </c>
    </row>
    <row r="38" spans="1:3" x14ac:dyDescent="0.2">
      <c r="A38" s="47">
        <v>38</v>
      </c>
      <c r="B38" t="s">
        <v>128</v>
      </c>
      <c r="C38" s="40" t="s">
        <v>34</v>
      </c>
    </row>
    <row r="39" spans="1:3" x14ac:dyDescent="0.2">
      <c r="A39" s="47">
        <v>39</v>
      </c>
      <c r="B39" t="s">
        <v>130</v>
      </c>
      <c r="C39" s="40" t="s">
        <v>35</v>
      </c>
    </row>
    <row r="40" spans="1:3" x14ac:dyDescent="0.2">
      <c r="A40" s="47">
        <v>40</v>
      </c>
      <c r="B40" t="s">
        <v>131</v>
      </c>
      <c r="C40" s="40" t="s">
        <v>36</v>
      </c>
    </row>
    <row r="41" spans="1:3" x14ac:dyDescent="0.2">
      <c r="A41" s="47">
        <v>41</v>
      </c>
      <c r="B41" t="s">
        <v>132</v>
      </c>
      <c r="C41" s="40" t="s">
        <v>37</v>
      </c>
    </row>
    <row r="42" spans="1:3" x14ac:dyDescent="0.2">
      <c r="A42" s="47">
        <v>42</v>
      </c>
      <c r="B42" t="s">
        <v>133</v>
      </c>
      <c r="C42" s="40" t="s">
        <v>38</v>
      </c>
    </row>
    <row r="43" spans="1:3" x14ac:dyDescent="0.2">
      <c r="A43" s="47">
        <v>43</v>
      </c>
      <c r="B43" t="s">
        <v>134</v>
      </c>
      <c r="C43" s="40" t="s">
        <v>39</v>
      </c>
    </row>
    <row r="44" spans="1:3" x14ac:dyDescent="0.2">
      <c r="A44" s="47">
        <v>44</v>
      </c>
      <c r="B44" t="s">
        <v>135</v>
      </c>
      <c r="C44" s="40" t="s">
        <v>40</v>
      </c>
    </row>
    <row r="45" spans="1:3" x14ac:dyDescent="0.2">
      <c r="A45" s="47">
        <v>45</v>
      </c>
      <c r="B45" t="s">
        <v>136</v>
      </c>
      <c r="C45" s="40" t="s">
        <v>41</v>
      </c>
    </row>
    <row r="46" spans="1:3" x14ac:dyDescent="0.2">
      <c r="C46" s="40" t="s">
        <v>42</v>
      </c>
    </row>
    <row r="47" spans="1:3" x14ac:dyDescent="0.2">
      <c r="C47" s="40" t="s">
        <v>43</v>
      </c>
    </row>
    <row r="48" spans="1:3" x14ac:dyDescent="0.2">
      <c r="C48" s="40" t="s">
        <v>44</v>
      </c>
    </row>
    <row r="49" spans="1:3" x14ac:dyDescent="0.2">
      <c r="C49" s="40" t="s">
        <v>45</v>
      </c>
    </row>
    <row r="50" spans="1:3" x14ac:dyDescent="0.2">
      <c r="C50" s="40"/>
    </row>
    <row r="51" spans="1:3" x14ac:dyDescent="0.2">
      <c r="C51" s="40" t="s">
        <v>46</v>
      </c>
    </row>
    <row r="52" spans="1:3" x14ac:dyDescent="0.2">
      <c r="C52" s="40" t="s">
        <v>34</v>
      </c>
    </row>
    <row r="53" spans="1:3" x14ac:dyDescent="0.2">
      <c r="C53" s="40" t="s">
        <v>35</v>
      </c>
    </row>
    <row r="54" spans="1:3" x14ac:dyDescent="0.2">
      <c r="C54" s="40" t="s">
        <v>47</v>
      </c>
    </row>
    <row r="55" spans="1:3" x14ac:dyDescent="0.2">
      <c r="C55" s="40" t="s">
        <v>48</v>
      </c>
    </row>
    <row r="56" spans="1:3" x14ac:dyDescent="0.2">
      <c r="C56" s="40" t="s">
        <v>49</v>
      </c>
    </row>
    <row r="57" spans="1:3" x14ac:dyDescent="0.2">
      <c r="C57" s="40" t="s">
        <v>50</v>
      </c>
    </row>
    <row r="58" spans="1:3" x14ac:dyDescent="0.2">
      <c r="C58" s="40" t="s">
        <v>51</v>
      </c>
    </row>
    <row r="59" spans="1:3" x14ac:dyDescent="0.2">
      <c r="C59" s="40" t="s">
        <v>52</v>
      </c>
    </row>
    <row r="60" spans="1:3" x14ac:dyDescent="0.2">
      <c r="C60" s="40" t="s">
        <v>53</v>
      </c>
    </row>
    <row r="61" spans="1:3" x14ac:dyDescent="0.2">
      <c r="C61" s="46" t="s">
        <v>54</v>
      </c>
    </row>
    <row r="62" spans="1:3" x14ac:dyDescent="0.2">
      <c r="A62" s="48">
        <v>46</v>
      </c>
      <c r="B62" t="s">
        <v>137</v>
      </c>
      <c r="C62" s="36"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survey_data</vt:lpstr>
      <vt:lpstr>question_key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Kota Minegishi</cp:lastModifiedBy>
  <dcterms:created xsi:type="dcterms:W3CDTF">2017-04-18T03:18:03Z</dcterms:created>
  <dcterms:modified xsi:type="dcterms:W3CDTF">2017-04-18T21:27:16Z</dcterms:modified>
</cp:coreProperties>
</file>