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shi\Desktop\"/>
    </mc:Choice>
  </mc:AlternateContent>
  <xr:revisionPtr revIDLastSave="0" documentId="13_ncr:1_{6620DEB3-F564-47D2-A3F8-A194EE45EA8F}" xr6:coauthVersionLast="47" xr6:coauthVersionMax="47" xr10:uidLastSave="{00000000-0000-0000-0000-000000000000}"/>
  <bookViews>
    <workbookView xWindow="-110" yWindow="-110" windowWidth="19420" windowHeight="10300" firstSheet="1" activeTab="7" xr2:uid="{248B5971-55F7-41E9-991B-ADF3F2E6FED2}"/>
  </bookViews>
  <sheets>
    <sheet name="Input" sheetId="1" r:id="rId1"/>
    <sheet name="Rentals" sheetId="12" r:id="rId2"/>
    <sheet name="Revenue" sheetId="11" r:id="rId3"/>
    <sheet name="P&amp;L" sheetId="10" r:id="rId4"/>
    <sheet name="Fixed Assets" sheetId="9" r:id="rId5"/>
    <sheet name="Balance Sheet" sheetId="8" r:id="rId6"/>
    <sheet name="Cash Flow" sheetId="7" r:id="rId7"/>
    <sheet name="Mc'Donalds Franchise" sheetId="6" r:id="rId8"/>
    <sheet name="Output" sheetId="5" r:id="rId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5" l="1"/>
  <c r="C5" i="5"/>
  <c r="C4" i="5"/>
  <c r="C12" i="6"/>
  <c r="C9" i="6"/>
  <c r="C3" i="6"/>
  <c r="C10" i="6"/>
  <c r="E7" i="6"/>
  <c r="F7" i="6"/>
  <c r="G7" i="6"/>
  <c r="H7" i="6"/>
  <c r="D7" i="6"/>
  <c r="H20" i="7"/>
  <c r="D25" i="7"/>
  <c r="E23" i="7"/>
  <c r="F23" i="7"/>
  <c r="G23" i="7"/>
  <c r="H23" i="7"/>
  <c r="D23" i="7"/>
  <c r="E20" i="7"/>
  <c r="F20" i="7"/>
  <c r="G20" i="7"/>
  <c r="D15" i="7"/>
  <c r="D16" i="7"/>
  <c r="D17" i="7"/>
  <c r="D18" i="7"/>
  <c r="D19" i="7"/>
  <c r="D14" i="7"/>
  <c r="D20" i="7" s="1"/>
  <c r="A34" i="10"/>
  <c r="A33" i="10"/>
  <c r="A32" i="10"/>
  <c r="A31" i="10"/>
  <c r="A30" i="10"/>
  <c r="A29" i="10"/>
  <c r="D56" i="9"/>
  <c r="D46" i="9"/>
  <c r="D36" i="9"/>
  <c r="D26" i="9"/>
  <c r="D15" i="9"/>
  <c r="D5" i="9"/>
  <c r="D55" i="9"/>
  <c r="D45" i="9"/>
  <c r="D35" i="9"/>
  <c r="D25" i="9"/>
  <c r="D14" i="9"/>
  <c r="D4" i="9"/>
  <c r="D7" i="9" s="1"/>
  <c r="E4" i="9" s="1"/>
  <c r="E7" i="9" s="1"/>
  <c r="F4" i="9" s="1"/>
  <c r="F7" i="9" s="1"/>
  <c r="G4" i="9" s="1"/>
  <c r="G7" i="9" s="1"/>
  <c r="H4" i="9" s="1"/>
  <c r="H7" i="9" s="1"/>
  <c r="C9" i="11"/>
  <c r="C8" i="11"/>
  <c r="E73" i="1"/>
  <c r="F73" i="1" s="1"/>
  <c r="G73" i="1" s="1"/>
  <c r="H73" i="1" s="1"/>
  <c r="E74" i="1"/>
  <c r="F74" i="1"/>
  <c r="G74" i="1" s="1"/>
  <c r="H74" i="1" s="1"/>
  <c r="E75" i="1"/>
  <c r="F75" i="1"/>
  <c r="G75" i="1" s="1"/>
  <c r="H75" i="1" s="1"/>
  <c r="F72" i="1"/>
  <c r="G72" i="1" s="1"/>
  <c r="H72" i="1" s="1"/>
  <c r="E72" i="1"/>
  <c r="D73" i="1"/>
  <c r="B24" i="1"/>
  <c r="D5" i="8" s="1"/>
  <c r="C3" i="12"/>
  <c r="H10" i="12"/>
  <c r="C6" i="12"/>
  <c r="C4" i="12"/>
  <c r="C2" i="11"/>
  <c r="D2" i="11" s="1"/>
  <c r="E2" i="11" s="1"/>
  <c r="F2" i="11" s="1"/>
  <c r="G2" i="11" s="1"/>
  <c r="H2" i="11" s="1"/>
  <c r="H3" i="11" s="1"/>
  <c r="C2" i="10"/>
  <c r="D2" i="10" s="1"/>
  <c r="E2" i="10" s="1"/>
  <c r="F2" i="10" s="1"/>
  <c r="G2" i="10" s="1"/>
  <c r="H2" i="10" s="1"/>
  <c r="C2" i="9"/>
  <c r="D2" i="9" s="1"/>
  <c r="E2" i="9" s="1"/>
  <c r="F2" i="9" s="1"/>
  <c r="G2" i="9" s="1"/>
  <c r="H2" i="9" s="1"/>
  <c r="C2" i="8"/>
  <c r="D2" i="8" s="1"/>
  <c r="E2" i="8" s="1"/>
  <c r="F2" i="8" s="1"/>
  <c r="G2" i="8" s="1"/>
  <c r="H2" i="8" s="1"/>
  <c r="C2" i="7"/>
  <c r="D2" i="7" s="1"/>
  <c r="E2" i="7" s="1"/>
  <c r="F2" i="7" s="1"/>
  <c r="G2" i="7" s="1"/>
  <c r="H2" i="7" s="1"/>
  <c r="C2" i="6"/>
  <c r="D2" i="6" s="1"/>
  <c r="E2" i="6" s="1"/>
  <c r="F2" i="6" s="1"/>
  <c r="G2" i="6" s="1"/>
  <c r="H2" i="6" s="1"/>
  <c r="C2" i="5"/>
  <c r="C2" i="12"/>
  <c r="D2" i="12" s="1"/>
  <c r="E2" i="12" s="1"/>
  <c r="H20" i="10" l="1"/>
  <c r="G5" i="8"/>
  <c r="F5" i="8"/>
  <c r="H5" i="8"/>
  <c r="D48" i="9"/>
  <c r="D49" i="9" s="1"/>
  <c r="E5" i="8"/>
  <c r="D52" i="9"/>
  <c r="D33" i="10" s="1"/>
  <c r="D17" i="9"/>
  <c r="D8" i="11"/>
  <c r="E8" i="11" s="1"/>
  <c r="F8" i="11" s="1"/>
  <c r="G8" i="11" s="1"/>
  <c r="H8" i="11" s="1"/>
  <c r="D38" i="9"/>
  <c r="D28" i="9"/>
  <c r="D58" i="9"/>
  <c r="D8" i="9"/>
  <c r="D50" i="9"/>
  <c r="E45" i="9"/>
  <c r="E48" i="9" s="1"/>
  <c r="E49" i="9" s="1"/>
  <c r="E25" i="9"/>
  <c r="E28" i="9" s="1"/>
  <c r="H23" i="10"/>
  <c r="E20" i="10"/>
  <c r="F23" i="10"/>
  <c r="H22" i="10"/>
  <c r="G23" i="10"/>
  <c r="F20" i="10"/>
  <c r="G22" i="10"/>
  <c r="F22" i="10"/>
  <c r="D22" i="10"/>
  <c r="H21" i="10"/>
  <c r="D20" i="10"/>
  <c r="F21" i="10"/>
  <c r="D21" i="10"/>
  <c r="E23" i="10"/>
  <c r="D23" i="10"/>
  <c r="E22" i="10"/>
  <c r="G21" i="10"/>
  <c r="G20" i="10"/>
  <c r="E21" i="10"/>
  <c r="C16" i="10"/>
  <c r="D16" i="10" s="1"/>
  <c r="E16" i="10" s="1"/>
  <c r="F16" i="10" s="1"/>
  <c r="G16" i="10" s="1"/>
  <c r="H16" i="10" s="1"/>
  <c r="C18" i="10"/>
  <c r="D18" i="10" s="1"/>
  <c r="E18" i="10" s="1"/>
  <c r="F18" i="10" s="1"/>
  <c r="G18" i="10" s="1"/>
  <c r="H18" i="10" s="1"/>
  <c r="C17" i="10"/>
  <c r="D17" i="10" s="1"/>
  <c r="E17" i="10" s="1"/>
  <c r="F17" i="10" s="1"/>
  <c r="G17" i="10" s="1"/>
  <c r="H17" i="10" s="1"/>
  <c r="D9" i="11"/>
  <c r="E9" i="11" s="1"/>
  <c r="F9" i="11" s="1"/>
  <c r="G9" i="11" s="1"/>
  <c r="H9" i="11" s="1"/>
  <c r="D13" i="11"/>
  <c r="E13" i="11"/>
  <c r="D11" i="11"/>
  <c r="H11" i="11"/>
  <c r="G11" i="11"/>
  <c r="F11" i="11"/>
  <c r="E11" i="11"/>
  <c r="C11" i="11"/>
  <c r="C13" i="11"/>
  <c r="C19" i="11"/>
  <c r="D19" i="11" s="1"/>
  <c r="E19" i="11" s="1"/>
  <c r="F19" i="11" s="1"/>
  <c r="G19" i="11" s="1"/>
  <c r="H19" i="11" s="1"/>
  <c r="H13" i="11"/>
  <c r="G13" i="11"/>
  <c r="C7" i="12"/>
  <c r="C9" i="12" s="1"/>
  <c r="C11" i="12" s="1"/>
  <c r="F13" i="11"/>
  <c r="F2" i="12"/>
  <c r="E5" i="12"/>
  <c r="G3" i="11"/>
  <c r="F3" i="11"/>
  <c r="D5" i="12"/>
  <c r="E3" i="11"/>
  <c r="F4" i="11"/>
  <c r="C3" i="11"/>
  <c r="C5" i="11" s="1"/>
  <c r="H4" i="11"/>
  <c r="H5" i="11" s="1"/>
  <c r="G4" i="11"/>
  <c r="E4" i="11"/>
  <c r="D3" i="11"/>
  <c r="D4" i="11"/>
  <c r="C4" i="11"/>
  <c r="D4" i="12"/>
  <c r="E4" i="12" s="1"/>
  <c r="D5" i="11" l="1"/>
  <c r="E52" i="9"/>
  <c r="E33" i="10" s="1"/>
  <c r="E8" i="9"/>
  <c r="D11" i="9"/>
  <c r="D29" i="10" s="1"/>
  <c r="D59" i="9"/>
  <c r="D60" i="9" s="1"/>
  <c r="D29" i="9"/>
  <c r="E35" i="9"/>
  <c r="E38" i="9" s="1"/>
  <c r="D39" i="9"/>
  <c r="E14" i="9"/>
  <c r="E17" i="9" s="1"/>
  <c r="D18" i="9"/>
  <c r="E55" i="9"/>
  <c r="E58" i="9" s="1"/>
  <c r="F55" i="9" s="1"/>
  <c r="F58" i="9" s="1"/>
  <c r="D9" i="9"/>
  <c r="F45" i="9"/>
  <c r="F48" i="9" s="1"/>
  <c r="F49" i="9" s="1"/>
  <c r="E50" i="9"/>
  <c r="F25" i="9"/>
  <c r="F28" i="9" s="1"/>
  <c r="H17" i="11"/>
  <c r="H23" i="11" s="1"/>
  <c r="H35" i="11" s="1"/>
  <c r="F17" i="11"/>
  <c r="F23" i="11" s="1"/>
  <c r="F16" i="11"/>
  <c r="F22" i="11" s="1"/>
  <c r="F34" i="11" s="1"/>
  <c r="C17" i="11"/>
  <c r="C23" i="11" s="1"/>
  <c r="C16" i="11"/>
  <c r="C22" i="11" s="1"/>
  <c r="G17" i="11"/>
  <c r="G23" i="11" s="1"/>
  <c r="G35" i="11" s="1"/>
  <c r="G16" i="11"/>
  <c r="G22" i="11" s="1"/>
  <c r="G34" i="11" s="1"/>
  <c r="G36" i="11" s="1"/>
  <c r="E17" i="11"/>
  <c r="E23" i="11" s="1"/>
  <c r="E16" i="11"/>
  <c r="E22" i="11" s="1"/>
  <c r="E34" i="11" s="1"/>
  <c r="H16" i="11"/>
  <c r="H22" i="11" s="1"/>
  <c r="H34" i="11" s="1"/>
  <c r="D17" i="11"/>
  <c r="D23" i="11" s="1"/>
  <c r="D35" i="11" s="1"/>
  <c r="D16" i="11"/>
  <c r="D22" i="11" s="1"/>
  <c r="D34" i="11" s="1"/>
  <c r="F4" i="12"/>
  <c r="E7" i="12"/>
  <c r="F5" i="11"/>
  <c r="F5" i="12"/>
  <c r="G2" i="12"/>
  <c r="E5" i="11"/>
  <c r="G5" i="11"/>
  <c r="D7" i="12"/>
  <c r="E35" i="11" l="1"/>
  <c r="F52" i="9"/>
  <c r="F33" i="10" s="1"/>
  <c r="E18" i="9"/>
  <c r="E19" i="9" s="1"/>
  <c r="D21" i="9"/>
  <c r="D30" i="10" s="1"/>
  <c r="E39" i="9"/>
  <c r="D42" i="9"/>
  <c r="D32" i="10" s="1"/>
  <c r="D40" i="9"/>
  <c r="E29" i="9"/>
  <c r="D32" i="9"/>
  <c r="D31" i="10" s="1"/>
  <c r="F35" i="9"/>
  <c r="F38" i="9" s="1"/>
  <c r="E40" i="9"/>
  <c r="D6" i="7"/>
  <c r="E11" i="9"/>
  <c r="E29" i="10" s="1"/>
  <c r="F8" i="9"/>
  <c r="E9" i="9"/>
  <c r="F14" i="9"/>
  <c r="F17" i="9" s="1"/>
  <c r="D62" i="9"/>
  <c r="D34" i="10" s="1"/>
  <c r="E59" i="9"/>
  <c r="D19" i="9"/>
  <c r="D30" i="9"/>
  <c r="E36" i="11"/>
  <c r="G55" i="9"/>
  <c r="G58" i="9" s="1"/>
  <c r="G45" i="9"/>
  <c r="G48" i="9" s="1"/>
  <c r="G49" i="9" s="1"/>
  <c r="F50" i="9"/>
  <c r="G25" i="9"/>
  <c r="G28" i="9" s="1"/>
  <c r="D36" i="11"/>
  <c r="D4" i="10" s="1"/>
  <c r="G4" i="10"/>
  <c r="C27" i="11"/>
  <c r="C39" i="11" s="1"/>
  <c r="C35" i="11"/>
  <c r="E4" i="10"/>
  <c r="C26" i="11"/>
  <c r="C38" i="11" s="1"/>
  <c r="C34" i="11"/>
  <c r="H36" i="11"/>
  <c r="F35" i="11"/>
  <c r="F36" i="11" s="1"/>
  <c r="E27" i="11"/>
  <c r="E39" i="11" s="1"/>
  <c r="H26" i="11"/>
  <c r="G27" i="11"/>
  <c r="F26" i="11"/>
  <c r="D27" i="11"/>
  <c r="D39" i="11" s="1"/>
  <c r="H27" i="11"/>
  <c r="H39" i="11" s="1"/>
  <c r="G26" i="11"/>
  <c r="F27" i="11"/>
  <c r="D26" i="11"/>
  <c r="E26" i="11"/>
  <c r="H2" i="12"/>
  <c r="H5" i="12" s="1"/>
  <c r="G5" i="12"/>
  <c r="E8" i="12"/>
  <c r="E9" i="12" s="1"/>
  <c r="E11" i="12" s="1"/>
  <c r="D8" i="12"/>
  <c r="D9" i="12" s="1"/>
  <c r="D11" i="12" s="1"/>
  <c r="G4" i="12"/>
  <c r="F7" i="12"/>
  <c r="D30" i="11" l="1"/>
  <c r="H30" i="11"/>
  <c r="C40" i="11"/>
  <c r="C5" i="10" s="1"/>
  <c r="C29" i="11"/>
  <c r="C36" i="11"/>
  <c r="C4" i="10" s="1"/>
  <c r="C6" i="10" s="1"/>
  <c r="G52" i="9"/>
  <c r="G33" i="10" s="1"/>
  <c r="F29" i="9"/>
  <c r="E32" i="9"/>
  <c r="E31" i="10" s="1"/>
  <c r="E30" i="9"/>
  <c r="G35" i="9"/>
  <c r="G38" i="9" s="1"/>
  <c r="F59" i="9"/>
  <c r="E62" i="9"/>
  <c r="E34" i="10" s="1"/>
  <c r="F39" i="9"/>
  <c r="E42" i="9"/>
  <c r="E32" i="10" s="1"/>
  <c r="G14" i="9"/>
  <c r="G17" i="9" s="1"/>
  <c r="F21" i="8"/>
  <c r="F18" i="9"/>
  <c r="F19" i="9" s="1"/>
  <c r="E21" i="9"/>
  <c r="E60" i="9"/>
  <c r="G8" i="9"/>
  <c r="F9" i="9"/>
  <c r="F11" i="9"/>
  <c r="F29" i="10" s="1"/>
  <c r="H55" i="9"/>
  <c r="H58" i="9" s="1"/>
  <c r="G50" i="9"/>
  <c r="H45" i="9"/>
  <c r="H48" i="9" s="1"/>
  <c r="H25" i="9"/>
  <c r="H28" i="9" s="1"/>
  <c r="C30" i="11"/>
  <c r="F4" i="10"/>
  <c r="D29" i="11"/>
  <c r="D38" i="11"/>
  <c r="D40" i="11" s="1"/>
  <c r="G30" i="11"/>
  <c r="G39" i="11"/>
  <c r="H4" i="10"/>
  <c r="H29" i="11"/>
  <c r="H38" i="11"/>
  <c r="H40" i="11" s="1"/>
  <c r="H5" i="10" s="1"/>
  <c r="H9" i="10" s="1"/>
  <c r="E29" i="11"/>
  <c r="E38" i="11"/>
  <c r="E40" i="11" s="1"/>
  <c r="F30" i="11"/>
  <c r="F39" i="11"/>
  <c r="G29" i="11"/>
  <c r="G38" i="11"/>
  <c r="F29" i="11"/>
  <c r="F38" i="11"/>
  <c r="E30" i="11"/>
  <c r="F8" i="12"/>
  <c r="F9" i="12" s="1"/>
  <c r="F11" i="12" s="1"/>
  <c r="H4" i="12"/>
  <c r="H7" i="12" s="1"/>
  <c r="G7" i="12"/>
  <c r="C42" i="11" l="1"/>
  <c r="G21" i="8"/>
  <c r="H14" i="9"/>
  <c r="H17" i="9" s="1"/>
  <c r="G39" i="9"/>
  <c r="F42" i="9"/>
  <c r="F32" i="10" s="1"/>
  <c r="G40" i="9"/>
  <c r="H35" i="9"/>
  <c r="H38" i="9" s="1"/>
  <c r="G59" i="9"/>
  <c r="F62" i="9"/>
  <c r="F34" i="10" s="1"/>
  <c r="F60" i="9"/>
  <c r="F40" i="9"/>
  <c r="F23" i="8" s="1"/>
  <c r="E23" i="8"/>
  <c r="E30" i="10"/>
  <c r="E6" i="7" s="1"/>
  <c r="E22" i="8"/>
  <c r="E21" i="8"/>
  <c r="H49" i="9"/>
  <c r="H52" i="9" s="1"/>
  <c r="H33" i="10" s="1"/>
  <c r="F22" i="8"/>
  <c r="G9" i="9"/>
  <c r="H8" i="9"/>
  <c r="G11" i="9"/>
  <c r="G29" i="10" s="1"/>
  <c r="F32" i="9"/>
  <c r="F31" i="10" s="1"/>
  <c r="G29" i="9"/>
  <c r="F30" i="9"/>
  <c r="G18" i="9"/>
  <c r="F21" i="9"/>
  <c r="D23" i="8"/>
  <c r="F40" i="11"/>
  <c r="F5" i="10" s="1"/>
  <c r="F9" i="10" s="1"/>
  <c r="E5" i="10"/>
  <c r="E42" i="11"/>
  <c r="H6" i="10"/>
  <c r="H42" i="11"/>
  <c r="G40" i="11"/>
  <c r="D5" i="10"/>
  <c r="D42" i="11"/>
  <c r="H8" i="12"/>
  <c r="H9" i="12"/>
  <c r="H11" i="12" s="1"/>
  <c r="G8" i="12"/>
  <c r="G9" i="12" s="1"/>
  <c r="G11" i="12" s="1"/>
  <c r="C13" i="12" s="1"/>
  <c r="H50" i="9" l="1"/>
  <c r="F42" i="11"/>
  <c r="F43" i="11" s="1"/>
  <c r="G21" i="9"/>
  <c r="G30" i="10" s="1"/>
  <c r="H18" i="9"/>
  <c r="H21" i="9" s="1"/>
  <c r="H30" i="10" s="1"/>
  <c r="G32" i="9"/>
  <c r="G31" i="10" s="1"/>
  <c r="H29" i="9"/>
  <c r="G30" i="9"/>
  <c r="H59" i="9"/>
  <c r="G62" i="9"/>
  <c r="G34" i="10" s="1"/>
  <c r="G60" i="9"/>
  <c r="G6" i="7"/>
  <c r="H11" i="9"/>
  <c r="H29" i="10" s="1"/>
  <c r="H22" i="8"/>
  <c r="H9" i="9"/>
  <c r="F30" i="10"/>
  <c r="F6" i="7" s="1"/>
  <c r="D22" i="8"/>
  <c r="D21" i="8"/>
  <c r="D13" i="7" s="1"/>
  <c r="G22" i="8"/>
  <c r="H39" i="9"/>
  <c r="H42" i="9" s="1"/>
  <c r="H32" i="10" s="1"/>
  <c r="G42" i="9"/>
  <c r="G32" i="10" s="1"/>
  <c r="H19" i="9"/>
  <c r="H21" i="8"/>
  <c r="G19" i="9"/>
  <c r="G23" i="8" s="1"/>
  <c r="F6" i="10"/>
  <c r="F14" i="10" s="1"/>
  <c r="E9" i="10"/>
  <c r="E6" i="10"/>
  <c r="D9" i="10"/>
  <c r="D6" i="10"/>
  <c r="G5" i="10"/>
  <c r="G42" i="11"/>
  <c r="G43" i="11" s="1"/>
  <c r="H8" i="10"/>
  <c r="H14" i="10"/>
  <c r="H15" i="10"/>
  <c r="E43" i="11"/>
  <c r="H62" i="9" l="1"/>
  <c r="H34" i="10" s="1"/>
  <c r="H60" i="9"/>
  <c r="H32" i="9"/>
  <c r="H31" i="10" s="1"/>
  <c r="H6" i="7" s="1"/>
  <c r="H30" i="9"/>
  <c r="H23" i="8" s="1"/>
  <c r="H10" i="10"/>
  <c r="H11" i="10" s="1"/>
  <c r="H26" i="8"/>
  <c r="H40" i="9"/>
  <c r="F8" i="10"/>
  <c r="F15" i="10"/>
  <c r="F24" i="10" s="1"/>
  <c r="H24" i="10"/>
  <c r="H12" i="10"/>
  <c r="H43" i="11"/>
  <c r="G9" i="10"/>
  <c r="G6" i="10"/>
  <c r="D15" i="10"/>
  <c r="D14" i="10"/>
  <c r="D8" i="10"/>
  <c r="E14" i="10"/>
  <c r="E15" i="10"/>
  <c r="E8" i="10"/>
  <c r="F14" i="8" l="1"/>
  <c r="H26" i="10"/>
  <c r="H35" i="10" s="1"/>
  <c r="H14" i="8"/>
  <c r="D10" i="10"/>
  <c r="D11" i="10" s="1"/>
  <c r="D12" i="10" s="1"/>
  <c r="D26" i="8"/>
  <c r="F10" i="10"/>
  <c r="F11" i="10" s="1"/>
  <c r="F12" i="10" s="1"/>
  <c r="F26" i="8"/>
  <c r="E10" i="10"/>
  <c r="E11" i="10" s="1"/>
  <c r="E12" i="10" s="1"/>
  <c r="E26" i="8"/>
  <c r="E24" i="10"/>
  <c r="H27" i="10"/>
  <c r="D24" i="10"/>
  <c r="G8" i="10"/>
  <c r="G15" i="10"/>
  <c r="G14" i="10"/>
  <c r="H37" i="10" l="1"/>
  <c r="H4" i="6"/>
  <c r="H5" i="6" s="1"/>
  <c r="H6" i="6" s="1"/>
  <c r="D8" i="7"/>
  <c r="H15" i="8"/>
  <c r="F8" i="7"/>
  <c r="E26" i="10"/>
  <c r="E35" i="10" s="1"/>
  <c r="E14" i="8"/>
  <c r="F9" i="7" s="1"/>
  <c r="E8" i="7"/>
  <c r="G10" i="10"/>
  <c r="G11" i="10" s="1"/>
  <c r="G12" i="10" s="1"/>
  <c r="G26" i="8"/>
  <c r="D26" i="10"/>
  <c r="D35" i="10" s="1"/>
  <c r="D14" i="8"/>
  <c r="F15" i="8"/>
  <c r="F26" i="10"/>
  <c r="G24" i="10"/>
  <c r="G14" i="8" s="1"/>
  <c r="H9" i="7" s="1"/>
  <c r="H38" i="10"/>
  <c r="H39" i="10" s="1"/>
  <c r="F8" i="6" l="1"/>
  <c r="D37" i="10"/>
  <c r="D4" i="6"/>
  <c r="E37" i="10"/>
  <c r="E4" i="6"/>
  <c r="E5" i="6" s="1"/>
  <c r="E6" i="6" s="1"/>
  <c r="D9" i="7"/>
  <c r="D8" i="6" s="1"/>
  <c r="D15" i="8"/>
  <c r="E27" i="10"/>
  <c r="E9" i="7"/>
  <c r="E8" i="6" s="1"/>
  <c r="E15" i="8"/>
  <c r="D27" i="10"/>
  <c r="G8" i="7"/>
  <c r="G8" i="6" s="1"/>
  <c r="H8" i="7"/>
  <c r="H8" i="6" s="1"/>
  <c r="H10" i="6" s="1"/>
  <c r="H11" i="6" s="1"/>
  <c r="H12" i="6" s="1"/>
  <c r="G26" i="10"/>
  <c r="G35" i="10" s="1"/>
  <c r="H40" i="10"/>
  <c r="H4" i="7"/>
  <c r="H7" i="7" s="1"/>
  <c r="G9" i="7"/>
  <c r="G15" i="8"/>
  <c r="F35" i="10"/>
  <c r="F27" i="10"/>
  <c r="E38" i="10"/>
  <c r="E39" i="10" s="1"/>
  <c r="D38" i="10"/>
  <c r="D39" i="10" s="1"/>
  <c r="H10" i="7" l="1"/>
  <c r="H24" i="7" s="1"/>
  <c r="E10" i="6"/>
  <c r="E12" i="6" s="1"/>
  <c r="F37" i="10"/>
  <c r="F38" i="10" s="1"/>
  <c r="F39" i="10" s="1"/>
  <c r="F4" i="6"/>
  <c r="F5" i="6" s="1"/>
  <c r="F6" i="6" s="1"/>
  <c r="F10" i="6" s="1"/>
  <c r="F12" i="6" s="1"/>
  <c r="D5" i="6"/>
  <c r="D6" i="6"/>
  <c r="D10" i="6" s="1"/>
  <c r="D12" i="6" s="1"/>
  <c r="C13" i="6" s="1"/>
  <c r="G37" i="10"/>
  <c r="G38" i="10" s="1"/>
  <c r="G39" i="10" s="1"/>
  <c r="G4" i="6"/>
  <c r="G5" i="6" s="1"/>
  <c r="G6" i="6" s="1"/>
  <c r="G10" i="6" s="1"/>
  <c r="G12" i="6" s="1"/>
  <c r="E40" i="10"/>
  <c r="E4" i="7"/>
  <c r="E7" i="7" s="1"/>
  <c r="E10" i="7" s="1"/>
  <c r="E24" i="7" s="1"/>
  <c r="F40" i="10"/>
  <c r="F4" i="7"/>
  <c r="F7" i="7" s="1"/>
  <c r="F10" i="7" s="1"/>
  <c r="F24" i="7" s="1"/>
  <c r="D40" i="10"/>
  <c r="D6" i="8"/>
  <c r="D4" i="7"/>
  <c r="D7" i="7" s="1"/>
  <c r="D10" i="7" s="1"/>
  <c r="D24" i="7" s="1"/>
  <c r="D26" i="7" s="1"/>
  <c r="G27" i="10"/>
  <c r="D27" i="8" l="1"/>
  <c r="D28" i="8" s="1"/>
  <c r="E25" i="7"/>
  <c r="E26" i="7"/>
  <c r="G40" i="10"/>
  <c r="G4" i="7"/>
  <c r="G7" i="7" s="1"/>
  <c r="G10" i="7" s="1"/>
  <c r="G24" i="7" s="1"/>
  <c r="E6" i="8"/>
  <c r="D7" i="8"/>
  <c r="D16" i="8" s="1"/>
  <c r="E27" i="8" l="1"/>
  <c r="E28" i="8" s="1"/>
  <c r="F25" i="7"/>
  <c r="F26" i="7" s="1"/>
  <c r="F6" i="8"/>
  <c r="E7" i="8"/>
  <c r="E16" i="8" s="1"/>
  <c r="G25" i="7" l="1"/>
  <c r="G26" i="7" s="1"/>
  <c r="F27" i="8"/>
  <c r="F28" i="8" s="1"/>
  <c r="G6" i="8"/>
  <c r="F7" i="8"/>
  <c r="F16" i="8" s="1"/>
  <c r="H25" i="7" l="1"/>
  <c r="H26" i="7" s="1"/>
  <c r="H27" i="8" s="1"/>
  <c r="H28" i="8" s="1"/>
  <c r="G27" i="8"/>
  <c r="G28" i="8" s="1"/>
  <c r="H6" i="8"/>
  <c r="H7" i="8" s="1"/>
  <c r="H16" i="8" s="1"/>
  <c r="G7" i="8"/>
  <c r="G16" i="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Kashif</author>
  </authors>
  <commentList>
    <comment ref="A4" authorId="0" shapeId="0" xr:uid="{F5409D48-E42E-475C-AB8A-1CDA58369E4E}">
      <text>
        <r>
          <rPr>
            <b/>
            <sz val="9"/>
            <color indexed="81"/>
            <rFont val="Tahoma"/>
            <charset val="1"/>
          </rPr>
          <t>Kashif:</t>
        </r>
        <r>
          <rPr>
            <sz val="9"/>
            <color indexed="81"/>
            <rFont val="Tahoma"/>
            <charset val="1"/>
          </rPr>
          <t xml:space="preserve">
Operating Profit before tax of Firm
</t>
        </r>
      </text>
    </comment>
    <comment ref="A6" authorId="0" shapeId="0" xr:uid="{13FBE29A-0667-47CB-B6AE-8A590181ACEC}">
      <text>
        <r>
          <rPr>
            <b/>
            <sz val="9"/>
            <color indexed="81"/>
            <rFont val="Tahoma"/>
            <charset val="1"/>
          </rPr>
          <t>Kashif:</t>
        </r>
        <r>
          <rPr>
            <sz val="9"/>
            <color indexed="81"/>
            <rFont val="Tahoma"/>
            <charset val="1"/>
          </rPr>
          <t xml:space="preserve">
Operating Profit 
after tax 
</t>
        </r>
      </text>
    </comment>
  </commentList>
</comments>
</file>

<file path=xl/sharedStrings.xml><?xml version="1.0" encoding="utf-8"?>
<sst xmlns="http://schemas.openxmlformats.org/spreadsheetml/2006/main" count="337" uniqueCount="195">
  <si>
    <t>Option-1</t>
  </si>
  <si>
    <t>Lease Property</t>
  </si>
  <si>
    <t>Start date</t>
  </si>
  <si>
    <t>No of day in a year</t>
  </si>
  <si>
    <t>Property value</t>
  </si>
  <si>
    <t>Land Size</t>
  </si>
  <si>
    <t>Building</t>
  </si>
  <si>
    <t>Rental Yield</t>
  </si>
  <si>
    <t>Increase in Rental Yield</t>
  </si>
  <si>
    <t>Capital Appreciation of property</t>
  </si>
  <si>
    <t>Rent Deposit (non refundable)</t>
  </si>
  <si>
    <t xml:space="preserve">FD rate </t>
  </si>
  <si>
    <t>Income tax</t>
  </si>
  <si>
    <t>Option -2</t>
  </si>
  <si>
    <t>McDonald's franchise</t>
  </si>
  <si>
    <t xml:space="preserve">Start date </t>
  </si>
  <si>
    <t>Franchise Cost</t>
  </si>
  <si>
    <t>Furniture</t>
  </si>
  <si>
    <t>Development Cost</t>
  </si>
  <si>
    <t>Interiors Cost</t>
  </si>
  <si>
    <t>Total</t>
  </si>
  <si>
    <t>Depreciation Rate</t>
  </si>
  <si>
    <t>Franchise cost</t>
  </si>
  <si>
    <t>Particulars</t>
  </si>
  <si>
    <t>Year</t>
  </si>
  <si>
    <t xml:space="preserve">Rental income </t>
  </si>
  <si>
    <t>Interest Income</t>
  </si>
  <si>
    <t>Non- Refudable Deposit</t>
  </si>
  <si>
    <t>Less: Taxes</t>
  </si>
  <si>
    <t>Total Income before tax</t>
  </si>
  <si>
    <t>Total Income after tax</t>
  </si>
  <si>
    <t>Terminal value</t>
  </si>
  <si>
    <t>FCFE</t>
  </si>
  <si>
    <t>Opportunity Cost(Purchase of land)</t>
  </si>
  <si>
    <t>IRR</t>
  </si>
  <si>
    <t>Civil Work Cost</t>
  </si>
  <si>
    <t>Machinery Cost</t>
  </si>
  <si>
    <t>Furniture Cost</t>
  </si>
  <si>
    <t>Total No. of operation days</t>
  </si>
  <si>
    <t>Weekdays</t>
  </si>
  <si>
    <t>Weekends</t>
  </si>
  <si>
    <t>Occupancy</t>
  </si>
  <si>
    <t>Total Capacity</t>
  </si>
  <si>
    <t>Total No. of people visiting outlet per day</t>
  </si>
  <si>
    <t>Total number of rounds</t>
  </si>
  <si>
    <t>APC</t>
  </si>
  <si>
    <t>Revenue per day</t>
  </si>
  <si>
    <t>Outlet</t>
  </si>
  <si>
    <t>Online</t>
  </si>
  <si>
    <t>Total revenue per day</t>
  </si>
  <si>
    <t>Annual revenue</t>
  </si>
  <si>
    <t>Land size</t>
  </si>
  <si>
    <t>Kitchen area</t>
  </si>
  <si>
    <t>Store room</t>
  </si>
  <si>
    <t>Reception area</t>
  </si>
  <si>
    <t>Serving Area</t>
  </si>
  <si>
    <t>Washroom</t>
  </si>
  <si>
    <t>Total Area</t>
  </si>
  <si>
    <t>Average table size</t>
  </si>
  <si>
    <t>Area per table</t>
  </si>
  <si>
    <t>Total no.of tables</t>
  </si>
  <si>
    <t>Total capacity</t>
  </si>
  <si>
    <t>Operation time in a day</t>
  </si>
  <si>
    <t>Turnaround time</t>
  </si>
  <si>
    <t>Total no. of rounds</t>
  </si>
  <si>
    <t>Annual growth</t>
  </si>
  <si>
    <t>Weekday</t>
  </si>
  <si>
    <t>Maximum occupancy</t>
  </si>
  <si>
    <t>Weekend</t>
  </si>
  <si>
    <t>Online Sales</t>
  </si>
  <si>
    <t>as % of total sales</t>
  </si>
  <si>
    <t>People</t>
  </si>
  <si>
    <t>Sq.Ft.</t>
  </si>
  <si>
    <t>rounds</t>
  </si>
  <si>
    <t>Cost as % of revenue</t>
  </si>
  <si>
    <t>Royalty</t>
  </si>
  <si>
    <t>Total online sales</t>
  </si>
  <si>
    <t>Total outlet sales</t>
  </si>
  <si>
    <t>Total Sales</t>
  </si>
  <si>
    <t>Sales Growth rate %</t>
  </si>
  <si>
    <t>Sales</t>
  </si>
  <si>
    <t>Total sales</t>
  </si>
  <si>
    <t>Sq.ft</t>
  </si>
  <si>
    <t>people</t>
  </si>
  <si>
    <t>tables</t>
  </si>
  <si>
    <t xml:space="preserve"> hours</t>
  </si>
  <si>
    <t xml:space="preserve"> hour</t>
  </si>
  <si>
    <t>Less:Direct cost</t>
  </si>
  <si>
    <t>COGS</t>
  </si>
  <si>
    <t>Commision to food aggregator</t>
  </si>
  <si>
    <t>Advertisement cost</t>
  </si>
  <si>
    <t>Total Direct cost</t>
  </si>
  <si>
    <t>Gross profit</t>
  </si>
  <si>
    <t>Gross Margin %</t>
  </si>
  <si>
    <t>Advertisement</t>
  </si>
  <si>
    <t>Food Aggregator Commision</t>
  </si>
  <si>
    <t>Other Cost</t>
  </si>
  <si>
    <t>Salary (Annual)</t>
  </si>
  <si>
    <t>Cleaner</t>
  </si>
  <si>
    <t>Support staff</t>
  </si>
  <si>
    <t>Accountant</t>
  </si>
  <si>
    <t>Rs.</t>
  </si>
  <si>
    <t>Only Payable on online sales</t>
  </si>
  <si>
    <t>Less:Indirect cost</t>
  </si>
  <si>
    <t>Manager</t>
  </si>
  <si>
    <t>No. of employee per shift</t>
  </si>
  <si>
    <t>Year 1</t>
  </si>
  <si>
    <t>Year 2</t>
  </si>
  <si>
    <t>Year 3</t>
  </si>
  <si>
    <t>Year 4</t>
  </si>
  <si>
    <t>No. of shifts</t>
  </si>
  <si>
    <t>Shifts</t>
  </si>
  <si>
    <t>Maintenance</t>
  </si>
  <si>
    <t>Electricity</t>
  </si>
  <si>
    <t>Misc. Expenses</t>
  </si>
  <si>
    <t>Growth rate</t>
  </si>
  <si>
    <t>Salary</t>
  </si>
  <si>
    <t>Total Indirect Expenses</t>
  </si>
  <si>
    <t>EBITDA</t>
  </si>
  <si>
    <t>EBITDA margin %</t>
  </si>
  <si>
    <t>Depreciation</t>
  </si>
  <si>
    <t>EBIT</t>
  </si>
  <si>
    <t>Less:Interest</t>
  </si>
  <si>
    <t>PBT</t>
  </si>
  <si>
    <t>LessIncome tax</t>
  </si>
  <si>
    <t>PAT</t>
  </si>
  <si>
    <t>NP margin %</t>
  </si>
  <si>
    <t xml:space="preserve">Franchise </t>
  </si>
  <si>
    <t>Development</t>
  </si>
  <si>
    <t xml:space="preserve">Interiors </t>
  </si>
  <si>
    <t xml:space="preserve">Civil Work </t>
  </si>
  <si>
    <t xml:space="preserve">Machinery </t>
  </si>
  <si>
    <t>Opening balance</t>
  </si>
  <si>
    <t>Add: Purchases</t>
  </si>
  <si>
    <t>Less: Sales</t>
  </si>
  <si>
    <t>Gross Block</t>
  </si>
  <si>
    <t>Less: Accumulated depreciation</t>
  </si>
  <si>
    <t>Net Block</t>
  </si>
  <si>
    <t>Depreciation on Franchise</t>
  </si>
  <si>
    <t>Depreciation on furniture</t>
  </si>
  <si>
    <t>Depreciation on development</t>
  </si>
  <si>
    <t>Depreciation on interiors</t>
  </si>
  <si>
    <t>Depreciation on civil work</t>
  </si>
  <si>
    <t>Depreciation on machinery</t>
  </si>
  <si>
    <t>Equity and Liabilities</t>
  </si>
  <si>
    <t>Equity</t>
  </si>
  <si>
    <t>Liabilities</t>
  </si>
  <si>
    <t>Equity share capital</t>
  </si>
  <si>
    <t>Reserves and Surplus</t>
  </si>
  <si>
    <t>Total Equity</t>
  </si>
  <si>
    <t>Debt</t>
  </si>
  <si>
    <t>Current Liabilties</t>
  </si>
  <si>
    <t>Non - Current Liabilties</t>
  </si>
  <si>
    <t>Outstanding expenses</t>
  </si>
  <si>
    <t>Total Liabilities</t>
  </si>
  <si>
    <t>Assets</t>
  </si>
  <si>
    <t>Non-Current Assets</t>
  </si>
  <si>
    <t>Fixed Assets</t>
  </si>
  <si>
    <t>Current Assets</t>
  </si>
  <si>
    <t>Stock</t>
  </si>
  <si>
    <t>Cash in bank</t>
  </si>
  <si>
    <t>Check</t>
  </si>
  <si>
    <t>Indirect Expenses</t>
  </si>
  <si>
    <t>Stock days</t>
  </si>
  <si>
    <t>Minimum cash</t>
  </si>
  <si>
    <t>Cost of equity</t>
  </si>
  <si>
    <t>Long term growth rate</t>
  </si>
  <si>
    <t>End of sheet</t>
  </si>
  <si>
    <t>days</t>
  </si>
  <si>
    <t>Operating Activity</t>
  </si>
  <si>
    <t>Investing Activity</t>
  </si>
  <si>
    <t>Financing activity</t>
  </si>
  <si>
    <t>Total Cash generated during the year</t>
  </si>
  <si>
    <t>Add:opening balance of cash</t>
  </si>
  <si>
    <t>Closing balance</t>
  </si>
  <si>
    <t>Add:Non Cash items</t>
  </si>
  <si>
    <t>Cash flow from operations before working capital changes</t>
  </si>
  <si>
    <t>Add:Decrease in current assets/Increase in current Liabilities</t>
  </si>
  <si>
    <t>Total Cash flow from Operations</t>
  </si>
  <si>
    <t>Less:increase in current assets/Decrease in current Liabilities</t>
  </si>
  <si>
    <t>Purchase of assets</t>
  </si>
  <si>
    <t>Total cash flow from investing</t>
  </si>
  <si>
    <t>Equityshare capital</t>
  </si>
  <si>
    <t>Less:Taxes</t>
  </si>
  <si>
    <t>NOPAT</t>
  </si>
  <si>
    <t>Add:Depreciation</t>
  </si>
  <si>
    <t>Add/Less:Changes in working capital</t>
  </si>
  <si>
    <t>Less:Capex</t>
  </si>
  <si>
    <t>FCFE/FCFF</t>
  </si>
  <si>
    <t>Opportunity Cost (Purchase of Land)</t>
  </si>
  <si>
    <t>Terminal Value</t>
  </si>
  <si>
    <t>Total FCFE/FCFF</t>
  </si>
  <si>
    <t>Mc'Donald's IRR</t>
  </si>
  <si>
    <t>Rental IRR</t>
  </si>
  <si>
    <t>Decision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</si>
</sst>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 * #,##0.00_ ;_ * \-#,##0.00_ ;_ * &quot;-&quot;??_ ;_ @_ "/>
    <numFmt numFmtId="165" formatCode="&quot;Year&quot;\ \ 0"/>
    <numFmt numFmtId="166" formatCode="_ * #,##0_ ;_ * \-#,##0_ ;_ * &quot;-&quot;??_ ;_ @_ "/>
    <numFmt numFmtId="167" formatCode="#,##0.00;[Black]\(#,##0\)"/>
    <numFmt numFmtId="168" formatCode="#,##0;[Black]\(#,##0\)"/>
    <numFmt numFmtId="169" formatCode="0.0%"/>
  </numFmts>
  <fonts count="16" x14ac:knownFonts="1">
    <font>
      <sz val="12"/>
      <color theme="1"/>
      <name val="Times New Roman"/>
      <family val="2"/>
    </font>
    <font>
      <sz val="12"/>
      <color theme="1"/>
      <name val="Times New Roman"/>
      <family val="2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indexed="8"/>
      <name val="Calibri"/>
      <family val="2"/>
      <scheme val="minor"/>
    </font>
    <font>
      <sz val="8"/>
      <name val="Times New Roman"/>
      <family val="2"/>
    </font>
    <font>
      <i/>
      <sz val="9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i/>
      <sz val="12"/>
      <color theme="1"/>
      <name val="Calibri"/>
      <family val="2"/>
    </font>
    <font>
      <b/>
      <u/>
      <sz val="12"/>
      <color theme="1"/>
      <name val="Calibri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2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8">
    <xf numFmtId="0" fontId="0" fillId="0" borderId="0" xfId="0"/>
    <xf numFmtId="0" fontId="2" fillId="0" borderId="0" xfId="0" applyFont="1"/>
    <xf numFmtId="0" fontId="2" fillId="2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right"/>
    </xf>
    <xf numFmtId="9" fontId="2" fillId="0" borderId="0" xfId="0" applyNumberFormat="1" applyFont="1"/>
    <xf numFmtId="10" fontId="2" fillId="0" borderId="0" xfId="0" applyNumberFormat="1" applyFont="1"/>
    <xf numFmtId="0" fontId="2" fillId="0" borderId="1" xfId="0" applyFont="1" applyBorder="1"/>
    <xf numFmtId="0" fontId="3" fillId="0" borderId="0" xfId="0" applyFont="1"/>
    <xf numFmtId="9" fontId="2" fillId="0" borderId="0" xfId="2" applyFont="1"/>
    <xf numFmtId="0" fontId="4" fillId="0" borderId="0" xfId="0" applyFont="1"/>
    <xf numFmtId="0" fontId="5" fillId="3" borderId="0" xfId="0" applyFont="1" applyFill="1"/>
    <xf numFmtId="165" fontId="5" fillId="3" borderId="0" xfId="0" applyNumberFormat="1" applyFont="1" applyFill="1"/>
    <xf numFmtId="15" fontId="5" fillId="3" borderId="0" xfId="0" applyNumberFormat="1" applyFont="1" applyFill="1"/>
    <xf numFmtId="0" fontId="6" fillId="3" borderId="0" xfId="0" applyFont="1" applyFill="1"/>
    <xf numFmtId="165" fontId="6" fillId="3" borderId="0" xfId="0" applyNumberFormat="1" applyFont="1" applyFill="1"/>
    <xf numFmtId="15" fontId="6" fillId="3" borderId="0" xfId="0" applyNumberFormat="1" applyFont="1" applyFill="1"/>
    <xf numFmtId="166" fontId="4" fillId="0" borderId="0" xfId="1" applyNumberFormat="1" applyFont="1"/>
    <xf numFmtId="0" fontId="5" fillId="0" borderId="0" xfId="0" applyFont="1"/>
    <xf numFmtId="0" fontId="5" fillId="0" borderId="1" xfId="0" applyFont="1" applyBorder="1"/>
    <xf numFmtId="0" fontId="4" fillId="0" borderId="1" xfId="0" applyFont="1" applyBorder="1"/>
    <xf numFmtId="166" fontId="4" fillId="0" borderId="1" xfId="1" applyNumberFormat="1" applyFont="1" applyBorder="1"/>
    <xf numFmtId="9" fontId="4" fillId="0" borderId="0" xfId="2" applyFont="1"/>
    <xf numFmtId="167" fontId="4" fillId="0" borderId="0" xfId="1" applyNumberFormat="1" applyFont="1"/>
    <xf numFmtId="167" fontId="4" fillId="0" borderId="1" xfId="1" applyNumberFormat="1" applyFont="1" applyBorder="1"/>
    <xf numFmtId="0" fontId="5" fillId="0" borderId="2" xfId="0" applyFont="1" applyBorder="1"/>
    <xf numFmtId="0" fontId="4" fillId="0" borderId="2" xfId="0" applyFont="1" applyBorder="1"/>
    <xf numFmtId="167" fontId="5" fillId="0" borderId="2" xfId="1" applyNumberFormat="1" applyFont="1" applyBorder="1"/>
    <xf numFmtId="168" fontId="5" fillId="0" borderId="2" xfId="1" applyNumberFormat="1" applyFont="1" applyBorder="1"/>
    <xf numFmtId="0" fontId="5" fillId="4" borderId="0" xfId="0" applyFont="1" applyFill="1"/>
    <xf numFmtId="0" fontId="3" fillId="0" borderId="1" xfId="0" applyFont="1" applyBorder="1"/>
    <xf numFmtId="0" fontId="3" fillId="0" borderId="1" xfId="0" applyFont="1" applyBorder="1" applyAlignment="1">
      <alignment horizontal="right"/>
    </xf>
    <xf numFmtId="166" fontId="5" fillId="0" borderId="0" xfId="1" applyNumberFormat="1" applyFont="1"/>
    <xf numFmtId="166" fontId="5" fillId="0" borderId="2" xfId="1" applyNumberFormat="1" applyFont="1" applyBorder="1"/>
    <xf numFmtId="0" fontId="8" fillId="0" borderId="0" xfId="0" applyFont="1"/>
    <xf numFmtId="0" fontId="9" fillId="0" borderId="0" xfId="0" applyFont="1"/>
    <xf numFmtId="9" fontId="8" fillId="0" borderId="0" xfId="2" applyFont="1"/>
    <xf numFmtId="166" fontId="8" fillId="0" borderId="0" xfId="1" applyNumberFormat="1" applyFont="1"/>
    <xf numFmtId="166" fontId="5" fillId="0" borderId="1" xfId="1" applyNumberFormat="1" applyFont="1" applyBorder="1"/>
    <xf numFmtId="0" fontId="10" fillId="0" borderId="0" xfId="0" applyFont="1"/>
    <xf numFmtId="166" fontId="10" fillId="0" borderId="0" xfId="1" applyNumberFormat="1" applyFont="1"/>
    <xf numFmtId="10" fontId="10" fillId="0" borderId="0" xfId="2" applyNumberFormat="1" applyFont="1"/>
    <xf numFmtId="165" fontId="5" fillId="3" borderId="0" xfId="0" applyNumberFormat="1" applyFont="1" applyFill="1" applyAlignment="1">
      <alignment horizontal="right"/>
    </xf>
    <xf numFmtId="0" fontId="2" fillId="0" borderId="0" xfId="0" applyNumberFormat="1" applyFont="1" applyAlignment="1">
      <alignment horizontal="right" vertical="top"/>
    </xf>
    <xf numFmtId="0" fontId="2" fillId="0" borderId="1" xfId="0" applyNumberFormat="1" applyFont="1" applyBorder="1" applyAlignment="1">
      <alignment horizontal="right" vertical="top"/>
    </xf>
    <xf numFmtId="0" fontId="2" fillId="0" borderId="0" xfId="0" applyFont="1" applyBorder="1"/>
    <xf numFmtId="1" fontId="2" fillId="0" borderId="0" xfId="0" applyNumberFormat="1" applyFont="1"/>
    <xf numFmtId="9" fontId="2" fillId="0" borderId="0" xfId="2" applyFont="1" applyBorder="1"/>
    <xf numFmtId="169" fontId="8" fillId="0" borderId="0" xfId="2" applyNumberFormat="1" applyFont="1"/>
    <xf numFmtId="9" fontId="8" fillId="0" borderId="2" xfId="2" applyFont="1" applyBorder="1"/>
    <xf numFmtId="0" fontId="11" fillId="0" borderId="0" xfId="0" applyFont="1"/>
    <xf numFmtId="0" fontId="12" fillId="0" borderId="0" xfId="0" applyFont="1"/>
    <xf numFmtId="166" fontId="4" fillId="0" borderId="2" xfId="1" applyNumberFormat="1" applyFont="1" applyBorder="1"/>
    <xf numFmtId="0" fontId="4" fillId="0" borderId="0" xfId="0" applyFont="1" applyBorder="1"/>
    <xf numFmtId="166" fontId="4" fillId="0" borderId="0" xfId="1" applyNumberFormat="1" applyFont="1" applyBorder="1"/>
    <xf numFmtId="9" fontId="8" fillId="0" borderId="2" xfId="2" applyNumberFormat="1" applyFont="1" applyBorder="1"/>
    <xf numFmtId="0" fontId="6" fillId="3" borderId="0" xfId="0" applyFont="1" applyFill="1" applyBorder="1"/>
    <xf numFmtId="0" fontId="5" fillId="0" borderId="0" xfId="0" applyFont="1" applyBorder="1"/>
    <xf numFmtId="166" fontId="5" fillId="0" borderId="0" xfId="1" applyNumberFormat="1" applyFont="1" applyBorder="1"/>
    <xf numFmtId="2" fontId="2" fillId="0" borderId="0" xfId="0" applyNumberFormat="1" applyFont="1"/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168" fontId="4" fillId="0" borderId="0" xfId="1" applyNumberFormat="1" applyFont="1"/>
    <xf numFmtId="167" fontId="5" fillId="0" borderId="1" xfId="1" applyNumberFormat="1" applyFont="1" applyBorder="1"/>
    <xf numFmtId="167" fontId="5" fillId="0" borderId="0" xfId="0" applyNumberFormat="1" applyFont="1"/>
    <xf numFmtId="169" fontId="5" fillId="4" borderId="0" xfId="2" applyNumberFormat="1" applyFont="1" applyFill="1" applyBorder="1"/>
    <xf numFmtId="167" fontId="5" fillId="0" borderId="2" xfId="0" applyNumberFormat="1" applyFont="1" applyBorder="1"/>
    <xf numFmtId="167" fontId="5" fillId="0" borderId="0" xfId="0" applyNumberFormat="1" applyFont="1" applyBorder="1"/>
    <xf numFmtId="167" fontId="4" fillId="0" borderId="0" xfId="1" applyNumberFormat="1" applyFont="1" applyBorder="1"/>
    <xf numFmtId="165" fontId="6" fillId="0" borderId="0" xfId="0" applyNumberFormat="1" applyFont="1" applyFill="1"/>
    <xf numFmtId="15" fontId="6" fillId="0" borderId="0" xfId="0" applyNumberFormat="1" applyFont="1" applyFill="1"/>
    <xf numFmtId="10" fontId="4" fillId="0" borderId="0" xfId="2" applyNumberFormat="1" applyFont="1"/>
    <xf numFmtId="0" fontId="15" fillId="5" borderId="0" xfId="0" applyFont="1" applyFill="1"/>
    <xf numFmtId="166" fontId="15" fillId="5" borderId="0" xfId="1" applyNumberFormat="1" applyFont="1" applyFill="1"/>
    <xf numFmtId="0" fontId="4" fillId="6" borderId="0" xfId="0" applyFont="1" applyFill="1"/>
    <xf numFmtId="166" fontId="4" fillId="6" borderId="0" xfId="1" applyNumberFormat="1" applyFont="1" applyFill="1"/>
    <xf numFmtId="0" fontId="9" fillId="6" borderId="0" xfId="0" applyFont="1" applyFill="1"/>
    <xf numFmtId="169" fontId="5" fillId="4" borderId="0" xfId="2" applyNumberFormat="1" applyFon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F4921-4046-4D97-819B-6425034D95BD}">
  <dimension ref="A1:H105"/>
  <sheetViews>
    <sheetView showGridLines="0" topLeftCell="A46" workbookViewId="0">
      <selection activeCell="B53" sqref="B53"/>
    </sheetView>
  </sheetViews>
  <sheetFormatPr defaultRowHeight="15.5" x14ac:dyDescent="0.35"/>
  <cols>
    <col min="1" max="1" width="31.83203125" style="1" customWidth="1"/>
    <col min="2" max="2" width="14.83203125" style="1" customWidth="1"/>
    <col min="3" max="3" width="8.6640625" style="1"/>
    <col min="4" max="4" width="11.4140625" style="1" customWidth="1"/>
    <col min="5" max="16384" width="8.6640625" style="1"/>
  </cols>
  <sheetData>
    <row r="1" spans="1:8" x14ac:dyDescent="0.35">
      <c r="A1" s="2" t="s">
        <v>0</v>
      </c>
      <c r="B1" s="2" t="s">
        <v>1</v>
      </c>
      <c r="C1" s="2"/>
      <c r="D1" s="2"/>
      <c r="E1" s="2"/>
      <c r="F1" s="2"/>
      <c r="G1" s="2"/>
      <c r="H1" s="2"/>
    </row>
    <row r="2" spans="1:8" x14ac:dyDescent="0.35">
      <c r="A2" s="1" t="s">
        <v>2</v>
      </c>
      <c r="B2" s="3">
        <v>45383</v>
      </c>
    </row>
    <row r="3" spans="1:8" x14ac:dyDescent="0.35">
      <c r="A3" s="1" t="s">
        <v>3</v>
      </c>
      <c r="B3" s="1">
        <v>356</v>
      </c>
    </row>
    <row r="4" spans="1:8" x14ac:dyDescent="0.35">
      <c r="A4" s="1" t="s">
        <v>4</v>
      </c>
      <c r="B4" s="43">
        <v>45000000</v>
      </c>
      <c r="C4" s="1" t="s">
        <v>101</v>
      </c>
    </row>
    <row r="5" spans="1:8" x14ac:dyDescent="0.35">
      <c r="A5" s="1" t="s">
        <v>5</v>
      </c>
      <c r="B5" s="4">
        <v>3000</v>
      </c>
      <c r="C5" s="1" t="s">
        <v>82</v>
      </c>
    </row>
    <row r="6" spans="1:8" x14ac:dyDescent="0.35">
      <c r="A6" s="1" t="s">
        <v>6</v>
      </c>
      <c r="B6" s="4">
        <v>2400</v>
      </c>
      <c r="C6" s="1" t="s">
        <v>82</v>
      </c>
    </row>
    <row r="7" spans="1:8" x14ac:dyDescent="0.35">
      <c r="A7" s="1" t="s">
        <v>7</v>
      </c>
      <c r="B7" s="5">
        <v>0.05</v>
      </c>
    </row>
    <row r="8" spans="1:8" x14ac:dyDescent="0.35">
      <c r="A8" s="1" t="s">
        <v>8</v>
      </c>
      <c r="B8" s="5">
        <v>0.08</v>
      </c>
    </row>
    <row r="9" spans="1:8" x14ac:dyDescent="0.35">
      <c r="A9" s="1" t="s">
        <v>9</v>
      </c>
      <c r="B9" s="5">
        <v>0.13</v>
      </c>
    </row>
    <row r="10" spans="1:8" x14ac:dyDescent="0.35">
      <c r="A10" s="1" t="s">
        <v>10</v>
      </c>
      <c r="B10" s="43">
        <v>5000000</v>
      </c>
      <c r="C10" s="1" t="s">
        <v>101</v>
      </c>
    </row>
    <row r="11" spans="1:8" x14ac:dyDescent="0.35">
      <c r="A11" s="1" t="s">
        <v>11</v>
      </c>
      <c r="B11" s="5">
        <v>0.06</v>
      </c>
    </row>
    <row r="12" spans="1:8" x14ac:dyDescent="0.35">
      <c r="A12" s="1" t="s">
        <v>12</v>
      </c>
      <c r="B12" s="6">
        <v>0.25169999999999998</v>
      </c>
    </row>
    <row r="14" spans="1:8" x14ac:dyDescent="0.35">
      <c r="A14" s="2" t="s">
        <v>13</v>
      </c>
      <c r="B14" s="2" t="s">
        <v>14</v>
      </c>
      <c r="C14" s="2"/>
      <c r="D14" s="2"/>
      <c r="E14" s="2"/>
      <c r="F14" s="2"/>
      <c r="G14" s="2"/>
      <c r="H14" s="2"/>
    </row>
    <row r="15" spans="1:8" x14ac:dyDescent="0.35">
      <c r="A15" s="1" t="s">
        <v>15</v>
      </c>
      <c r="B15" s="3">
        <v>45383</v>
      </c>
    </row>
    <row r="16" spans="1:8" x14ac:dyDescent="0.35">
      <c r="A16" s="1" t="s">
        <v>3</v>
      </c>
      <c r="B16" s="1">
        <v>365</v>
      </c>
    </row>
    <row r="18" spans="1:3" x14ac:dyDescent="0.35">
      <c r="A18" s="1" t="s">
        <v>16</v>
      </c>
      <c r="B18" s="43">
        <v>3000000</v>
      </c>
      <c r="C18" s="1" t="s">
        <v>101</v>
      </c>
    </row>
    <row r="19" spans="1:3" x14ac:dyDescent="0.35">
      <c r="A19" s="1" t="s">
        <v>37</v>
      </c>
      <c r="B19" s="43">
        <v>1100000</v>
      </c>
      <c r="C19" s="1" t="s">
        <v>101</v>
      </c>
    </row>
    <row r="20" spans="1:3" x14ac:dyDescent="0.35">
      <c r="A20" s="1" t="s">
        <v>18</v>
      </c>
      <c r="B20" s="43">
        <v>5000000</v>
      </c>
      <c r="C20" s="1" t="s">
        <v>101</v>
      </c>
    </row>
    <row r="21" spans="1:3" x14ac:dyDescent="0.35">
      <c r="A21" s="1" t="s">
        <v>19</v>
      </c>
      <c r="B21" s="43">
        <v>2000000</v>
      </c>
      <c r="C21" s="1" t="s">
        <v>101</v>
      </c>
    </row>
    <row r="22" spans="1:3" x14ac:dyDescent="0.35">
      <c r="A22" s="1" t="s">
        <v>35</v>
      </c>
      <c r="B22" s="43">
        <v>1000000</v>
      </c>
      <c r="C22" s="1" t="s">
        <v>101</v>
      </c>
    </row>
    <row r="23" spans="1:3" x14ac:dyDescent="0.35">
      <c r="A23" s="1" t="s">
        <v>36</v>
      </c>
      <c r="B23" s="43">
        <v>3500000</v>
      </c>
      <c r="C23" s="1" t="s">
        <v>101</v>
      </c>
    </row>
    <row r="24" spans="1:3" x14ac:dyDescent="0.35">
      <c r="A24" s="7" t="s">
        <v>20</v>
      </c>
      <c r="B24" s="44">
        <f>SUM(B18:B23)</f>
        <v>15600000</v>
      </c>
      <c r="C24" s="7" t="s">
        <v>101</v>
      </c>
    </row>
    <row r="26" spans="1:3" x14ac:dyDescent="0.35">
      <c r="A26" s="8" t="s">
        <v>21</v>
      </c>
    </row>
    <row r="27" spans="1:3" x14ac:dyDescent="0.35">
      <c r="B27" s="5">
        <v>0.05</v>
      </c>
    </row>
    <row r="28" spans="1:3" x14ac:dyDescent="0.35">
      <c r="B28" s="5">
        <v>0.1</v>
      </c>
    </row>
    <row r="29" spans="1:3" x14ac:dyDescent="0.35">
      <c r="B29" s="9">
        <v>0.1</v>
      </c>
    </row>
    <row r="30" spans="1:3" x14ac:dyDescent="0.35">
      <c r="B30" s="9">
        <v>0.1</v>
      </c>
    </row>
    <row r="31" spans="1:3" x14ac:dyDescent="0.35">
      <c r="B31" s="5">
        <v>0.1</v>
      </c>
    </row>
    <row r="32" spans="1:3" x14ac:dyDescent="0.35">
      <c r="B32" s="9">
        <v>0.15</v>
      </c>
    </row>
    <row r="34" spans="1:3" x14ac:dyDescent="0.35">
      <c r="A34" s="1" t="s">
        <v>51</v>
      </c>
      <c r="B34" s="4">
        <v>3000</v>
      </c>
      <c r="C34" s="1" t="s">
        <v>72</v>
      </c>
    </row>
    <row r="35" spans="1:3" x14ac:dyDescent="0.35">
      <c r="A35" s="1" t="s">
        <v>6</v>
      </c>
      <c r="B35" s="4">
        <v>2400</v>
      </c>
      <c r="C35" s="1" t="s">
        <v>72</v>
      </c>
    </row>
    <row r="36" spans="1:3" x14ac:dyDescent="0.35">
      <c r="A36" s="1" t="s">
        <v>52</v>
      </c>
      <c r="B36" s="4">
        <v>720</v>
      </c>
      <c r="C36" s="1" t="s">
        <v>72</v>
      </c>
    </row>
    <row r="37" spans="1:3" x14ac:dyDescent="0.35">
      <c r="A37" s="1" t="s">
        <v>53</v>
      </c>
      <c r="B37" s="4">
        <v>240</v>
      </c>
      <c r="C37" s="1" t="s">
        <v>72</v>
      </c>
    </row>
    <row r="38" spans="1:3" x14ac:dyDescent="0.35">
      <c r="A38" s="1" t="s">
        <v>56</v>
      </c>
      <c r="B38" s="4">
        <v>72</v>
      </c>
      <c r="C38" s="1" t="s">
        <v>72</v>
      </c>
    </row>
    <row r="39" spans="1:3" x14ac:dyDescent="0.35">
      <c r="A39" s="1" t="s">
        <v>54</v>
      </c>
      <c r="B39" s="4">
        <v>48</v>
      </c>
      <c r="C39" s="1" t="s">
        <v>72</v>
      </c>
    </row>
    <row r="40" spans="1:3" x14ac:dyDescent="0.35">
      <c r="A40" s="1" t="s">
        <v>55</v>
      </c>
      <c r="B40" s="4">
        <v>1320</v>
      </c>
      <c r="C40" s="1" t="s">
        <v>72</v>
      </c>
    </row>
    <row r="41" spans="1:3" x14ac:dyDescent="0.35">
      <c r="A41" s="30" t="s">
        <v>57</v>
      </c>
      <c r="B41" s="31">
        <v>2400</v>
      </c>
      <c r="C41" s="30" t="s">
        <v>72</v>
      </c>
    </row>
    <row r="42" spans="1:3" x14ac:dyDescent="0.35">
      <c r="A42" s="1" t="s">
        <v>58</v>
      </c>
      <c r="B42" s="4">
        <v>4</v>
      </c>
      <c r="C42" s="1" t="s">
        <v>83</v>
      </c>
    </row>
    <row r="43" spans="1:3" x14ac:dyDescent="0.35">
      <c r="A43" s="1" t="s">
        <v>59</v>
      </c>
      <c r="B43" s="4">
        <v>50</v>
      </c>
      <c r="C43" s="1" t="s">
        <v>72</v>
      </c>
    </row>
    <row r="44" spans="1:3" x14ac:dyDescent="0.35">
      <c r="A44" s="1" t="s">
        <v>60</v>
      </c>
      <c r="B44" s="4">
        <v>26</v>
      </c>
      <c r="C44" s="1" t="s">
        <v>84</v>
      </c>
    </row>
    <row r="45" spans="1:3" x14ac:dyDescent="0.35">
      <c r="A45" s="1" t="s">
        <v>61</v>
      </c>
      <c r="B45" s="1">
        <v>104</v>
      </c>
      <c r="C45" s="1" t="s">
        <v>71</v>
      </c>
    </row>
    <row r="47" spans="1:3" x14ac:dyDescent="0.35">
      <c r="A47" s="1" t="s">
        <v>62</v>
      </c>
      <c r="B47" s="4">
        <v>14</v>
      </c>
      <c r="C47" s="1" t="s">
        <v>85</v>
      </c>
    </row>
    <row r="48" spans="1:3" x14ac:dyDescent="0.35">
      <c r="A48" s="1" t="s">
        <v>63</v>
      </c>
      <c r="B48" s="4">
        <v>1</v>
      </c>
      <c r="C48" s="1" t="s">
        <v>86</v>
      </c>
    </row>
    <row r="49" spans="1:3" x14ac:dyDescent="0.35">
      <c r="A49" s="1" t="s">
        <v>64</v>
      </c>
      <c r="B49" s="4">
        <v>14</v>
      </c>
      <c r="C49" s="1" t="s">
        <v>73</v>
      </c>
    </row>
    <row r="51" spans="1:3" x14ac:dyDescent="0.35">
      <c r="A51" s="1" t="s">
        <v>45</v>
      </c>
      <c r="B51" s="1">
        <v>235</v>
      </c>
    </row>
    <row r="52" spans="1:3" x14ac:dyDescent="0.35">
      <c r="A52" s="1" t="s">
        <v>65</v>
      </c>
      <c r="B52" s="9">
        <v>0.05</v>
      </c>
    </row>
    <row r="53" spans="1:3" x14ac:dyDescent="0.35">
      <c r="A53" s="8" t="s">
        <v>41</v>
      </c>
    </row>
    <row r="54" spans="1:3" x14ac:dyDescent="0.35">
      <c r="A54" s="8" t="s">
        <v>66</v>
      </c>
      <c r="B54" s="9">
        <v>0.38</v>
      </c>
    </row>
    <row r="55" spans="1:3" x14ac:dyDescent="0.35">
      <c r="A55" s="1" t="s">
        <v>65</v>
      </c>
      <c r="B55" s="9">
        <v>0.04</v>
      </c>
    </row>
    <row r="56" spans="1:3" x14ac:dyDescent="0.35">
      <c r="A56" s="1" t="s">
        <v>67</v>
      </c>
      <c r="B56" s="9">
        <v>0.5</v>
      </c>
    </row>
    <row r="57" spans="1:3" x14ac:dyDescent="0.35">
      <c r="A57" s="8" t="s">
        <v>68</v>
      </c>
      <c r="B57" s="9">
        <v>0.45</v>
      </c>
    </row>
    <row r="58" spans="1:3" x14ac:dyDescent="0.35">
      <c r="A58" s="1" t="s">
        <v>65</v>
      </c>
      <c r="B58" s="9">
        <v>0.05</v>
      </c>
    </row>
    <row r="59" spans="1:3" x14ac:dyDescent="0.35">
      <c r="A59" s="1" t="s">
        <v>67</v>
      </c>
      <c r="B59" s="9">
        <v>0.6</v>
      </c>
    </row>
    <row r="61" spans="1:3" x14ac:dyDescent="0.35">
      <c r="A61" s="8" t="s">
        <v>69</v>
      </c>
    </row>
    <row r="62" spans="1:3" x14ac:dyDescent="0.35">
      <c r="A62" s="1" t="s">
        <v>70</v>
      </c>
      <c r="B62" s="9">
        <v>0.2</v>
      </c>
    </row>
    <row r="64" spans="1:3" x14ac:dyDescent="0.35">
      <c r="A64" s="8" t="s">
        <v>74</v>
      </c>
    </row>
    <row r="65" spans="1:8" x14ac:dyDescent="0.35">
      <c r="A65" s="1" t="s">
        <v>75</v>
      </c>
      <c r="B65" s="9">
        <v>0.08</v>
      </c>
    </row>
    <row r="66" spans="1:8" x14ac:dyDescent="0.35">
      <c r="A66" s="1" t="s">
        <v>88</v>
      </c>
      <c r="B66" s="9">
        <v>0.36</v>
      </c>
    </row>
    <row r="67" spans="1:8" x14ac:dyDescent="0.35">
      <c r="A67" s="1" t="s">
        <v>94</v>
      </c>
      <c r="B67" s="9">
        <v>0.06</v>
      </c>
    </row>
    <row r="68" spans="1:8" x14ac:dyDescent="0.35">
      <c r="A68" s="1" t="s">
        <v>95</v>
      </c>
      <c r="B68" s="9">
        <v>0.04</v>
      </c>
      <c r="C68" s="1" t="s">
        <v>102</v>
      </c>
    </row>
    <row r="70" spans="1:8" x14ac:dyDescent="0.35">
      <c r="A70" s="8" t="s">
        <v>96</v>
      </c>
    </row>
    <row r="71" spans="1:8" x14ac:dyDescent="0.35">
      <c r="A71" s="8" t="s">
        <v>97</v>
      </c>
      <c r="D71" s="42" t="s">
        <v>106</v>
      </c>
      <c r="E71" s="42" t="s">
        <v>107</v>
      </c>
      <c r="F71" s="42" t="s">
        <v>108</v>
      </c>
      <c r="G71" s="42" t="s">
        <v>109</v>
      </c>
      <c r="H71" s="42" t="s">
        <v>106</v>
      </c>
    </row>
    <row r="72" spans="1:8" x14ac:dyDescent="0.35">
      <c r="A72" s="1" t="s">
        <v>98</v>
      </c>
      <c r="B72" s="1">
        <v>240000</v>
      </c>
      <c r="C72" s="1" t="s">
        <v>101</v>
      </c>
      <c r="D72" s="1">
        <v>240000</v>
      </c>
      <c r="E72" s="46">
        <f>D72*(1+$B78)</f>
        <v>252000</v>
      </c>
      <c r="F72" s="46">
        <f t="shared" ref="F72:H72" si="0">E72*(1+$B78)</f>
        <v>264600</v>
      </c>
      <c r="G72" s="46">
        <f t="shared" si="0"/>
        <v>277830</v>
      </c>
      <c r="H72" s="46">
        <f t="shared" si="0"/>
        <v>291721.5</v>
      </c>
    </row>
    <row r="73" spans="1:8" x14ac:dyDescent="0.35">
      <c r="A73" s="1" t="s">
        <v>99</v>
      </c>
      <c r="B73" s="1">
        <v>360000</v>
      </c>
      <c r="C73" s="1" t="s">
        <v>101</v>
      </c>
      <c r="D73" s="1">
        <f>B73</f>
        <v>360000</v>
      </c>
      <c r="E73" s="46">
        <f t="shared" ref="E73:H73" si="1">D73*(1+$B79)</f>
        <v>385200</v>
      </c>
      <c r="F73" s="46">
        <f t="shared" si="1"/>
        <v>412164</v>
      </c>
      <c r="G73" s="46">
        <f t="shared" si="1"/>
        <v>441015.48000000004</v>
      </c>
      <c r="H73" s="46">
        <f t="shared" si="1"/>
        <v>471886.56360000005</v>
      </c>
    </row>
    <row r="74" spans="1:8" x14ac:dyDescent="0.35">
      <c r="A74" s="1" t="s">
        <v>100</v>
      </c>
      <c r="B74" s="1">
        <v>720000</v>
      </c>
      <c r="C74" s="1" t="s">
        <v>101</v>
      </c>
      <c r="D74" s="1">
        <v>720000</v>
      </c>
      <c r="E74" s="46">
        <f t="shared" ref="E74:H74" si="2">D74*(1+$B80)</f>
        <v>770400</v>
      </c>
      <c r="F74" s="46">
        <f t="shared" si="2"/>
        <v>824328</v>
      </c>
      <c r="G74" s="46">
        <f t="shared" si="2"/>
        <v>882030.96000000008</v>
      </c>
      <c r="H74" s="46">
        <f t="shared" si="2"/>
        <v>943773.1272000001</v>
      </c>
    </row>
    <row r="75" spans="1:8" x14ac:dyDescent="0.35">
      <c r="A75" s="1" t="s">
        <v>104</v>
      </c>
      <c r="B75" s="1">
        <v>1000000</v>
      </c>
      <c r="C75" s="1" t="s">
        <v>101</v>
      </c>
      <c r="D75" s="1">
        <v>1000000</v>
      </c>
      <c r="E75" s="46">
        <f t="shared" ref="E75:H75" si="3">D75*(1+$B81)</f>
        <v>1070000</v>
      </c>
      <c r="F75" s="46">
        <f t="shared" si="3"/>
        <v>1144900</v>
      </c>
      <c r="G75" s="46">
        <f t="shared" si="3"/>
        <v>1225043</v>
      </c>
      <c r="H75" s="46">
        <f t="shared" si="3"/>
        <v>1310796.01</v>
      </c>
    </row>
    <row r="77" spans="1:8" x14ac:dyDescent="0.35">
      <c r="B77" s="45"/>
    </row>
    <row r="78" spans="1:8" x14ac:dyDescent="0.35">
      <c r="A78" s="1" t="s">
        <v>98</v>
      </c>
      <c r="B78" s="47">
        <v>0.05</v>
      </c>
    </row>
    <row r="79" spans="1:8" x14ac:dyDescent="0.35">
      <c r="A79" s="1" t="s">
        <v>99</v>
      </c>
      <c r="B79" s="9">
        <v>7.0000000000000007E-2</v>
      </c>
    </row>
    <row r="80" spans="1:8" x14ac:dyDescent="0.35">
      <c r="A80" s="1" t="s">
        <v>100</v>
      </c>
      <c r="B80" s="9">
        <v>7.0000000000000007E-2</v>
      </c>
    </row>
    <row r="81" spans="1:7" x14ac:dyDescent="0.35">
      <c r="A81" s="1" t="s">
        <v>104</v>
      </c>
      <c r="B81" s="9">
        <v>7.0000000000000007E-2</v>
      </c>
    </row>
    <row r="83" spans="1:7" x14ac:dyDescent="0.35">
      <c r="A83" s="1" t="s">
        <v>105</v>
      </c>
      <c r="C83" s="42" t="s">
        <v>106</v>
      </c>
      <c r="D83" s="42" t="s">
        <v>107</v>
      </c>
      <c r="E83" s="42" t="s">
        <v>108</v>
      </c>
      <c r="F83" s="42" t="s">
        <v>109</v>
      </c>
      <c r="G83" s="42" t="s">
        <v>106</v>
      </c>
    </row>
    <row r="84" spans="1:7" x14ac:dyDescent="0.35">
      <c r="A84" s="1" t="s">
        <v>98</v>
      </c>
      <c r="C84" s="1">
        <v>2</v>
      </c>
      <c r="D84" s="1">
        <v>3</v>
      </c>
      <c r="E84" s="1">
        <v>4</v>
      </c>
      <c r="F84" s="1">
        <v>5</v>
      </c>
      <c r="G84" s="1">
        <v>5</v>
      </c>
    </row>
    <row r="85" spans="1:7" x14ac:dyDescent="0.35">
      <c r="A85" s="1" t="s">
        <v>99</v>
      </c>
      <c r="C85" s="1">
        <v>16</v>
      </c>
      <c r="D85" s="1">
        <v>20</v>
      </c>
      <c r="E85" s="1">
        <v>20</v>
      </c>
      <c r="F85" s="1">
        <v>24</v>
      </c>
      <c r="G85" s="1">
        <v>24</v>
      </c>
    </row>
    <row r="86" spans="1:7" x14ac:dyDescent="0.35">
      <c r="A86" s="1" t="s">
        <v>100</v>
      </c>
      <c r="C86" s="1">
        <v>1</v>
      </c>
      <c r="D86" s="1">
        <v>1</v>
      </c>
      <c r="E86" s="1">
        <v>1</v>
      </c>
      <c r="F86" s="1">
        <v>1</v>
      </c>
      <c r="G86" s="1">
        <v>1</v>
      </c>
    </row>
    <row r="87" spans="1:7" x14ac:dyDescent="0.35">
      <c r="A87" s="1" t="s">
        <v>104</v>
      </c>
      <c r="C87" s="1">
        <v>1</v>
      </c>
      <c r="D87" s="1">
        <v>1</v>
      </c>
      <c r="E87" s="1">
        <v>1</v>
      </c>
      <c r="F87" s="1">
        <v>1</v>
      </c>
      <c r="G87" s="1">
        <v>1</v>
      </c>
    </row>
    <row r="89" spans="1:7" x14ac:dyDescent="0.35">
      <c r="A89" s="1" t="s">
        <v>110</v>
      </c>
      <c r="B89" s="1">
        <v>2</v>
      </c>
      <c r="C89" s="1" t="s">
        <v>111</v>
      </c>
    </row>
    <row r="91" spans="1:7" x14ac:dyDescent="0.35">
      <c r="A91" s="1" t="s">
        <v>112</v>
      </c>
      <c r="B91" s="1">
        <v>2400000</v>
      </c>
      <c r="C91" s="1" t="s">
        <v>101</v>
      </c>
    </row>
    <row r="92" spans="1:7" x14ac:dyDescent="0.35">
      <c r="A92" s="1" t="s">
        <v>113</v>
      </c>
      <c r="B92" s="1">
        <v>1200000</v>
      </c>
      <c r="C92" s="1" t="s">
        <v>101</v>
      </c>
    </row>
    <row r="93" spans="1:7" x14ac:dyDescent="0.35">
      <c r="A93" s="1" t="s">
        <v>114</v>
      </c>
      <c r="B93" s="1">
        <v>600000</v>
      </c>
      <c r="C93" s="1" t="s">
        <v>101</v>
      </c>
    </row>
    <row r="95" spans="1:7" x14ac:dyDescent="0.35">
      <c r="A95" s="8" t="s">
        <v>115</v>
      </c>
    </row>
    <row r="96" spans="1:7" x14ac:dyDescent="0.35">
      <c r="A96" s="1" t="s">
        <v>112</v>
      </c>
      <c r="B96" s="9">
        <v>0.05</v>
      </c>
    </row>
    <row r="97" spans="1:3" x14ac:dyDescent="0.35">
      <c r="A97" s="1" t="s">
        <v>113</v>
      </c>
      <c r="B97" s="9">
        <v>0.02</v>
      </c>
    </row>
    <row r="98" spans="1:3" x14ac:dyDescent="0.35">
      <c r="A98" s="1" t="s">
        <v>114</v>
      </c>
      <c r="B98" s="9">
        <v>0.03</v>
      </c>
    </row>
    <row r="100" spans="1:3" x14ac:dyDescent="0.35">
      <c r="A100" s="1" t="s">
        <v>162</v>
      </c>
      <c r="B100" s="59">
        <v>30</v>
      </c>
      <c r="C100" s="1" t="s">
        <v>168</v>
      </c>
    </row>
    <row r="101" spans="1:3" x14ac:dyDescent="0.35">
      <c r="A101" s="1" t="s">
        <v>163</v>
      </c>
      <c r="B101" s="59">
        <v>7</v>
      </c>
      <c r="C101" s="1" t="s">
        <v>168</v>
      </c>
    </row>
    <row r="102" spans="1:3" x14ac:dyDescent="0.35">
      <c r="A102" s="1" t="s">
        <v>164</v>
      </c>
      <c r="B102" s="1">
        <v>2000000</v>
      </c>
      <c r="C102" s="1" t="s">
        <v>101</v>
      </c>
    </row>
    <row r="103" spans="1:3" x14ac:dyDescent="0.35">
      <c r="A103" s="1" t="s">
        <v>165</v>
      </c>
      <c r="B103" s="9">
        <v>0.18</v>
      </c>
    </row>
    <row r="104" spans="1:3" x14ac:dyDescent="0.35">
      <c r="A104" s="1" t="s">
        <v>166</v>
      </c>
      <c r="B104" s="9">
        <v>0.05</v>
      </c>
    </row>
    <row r="105" spans="1:3" x14ac:dyDescent="0.35">
      <c r="A105" s="50" t="s">
        <v>167</v>
      </c>
    </row>
  </sheetData>
  <phoneticPr fontId="7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71E03-0B24-4D13-980C-81D40894C859}">
  <dimension ref="A1:H13"/>
  <sheetViews>
    <sheetView showGridLines="0" workbookViewId="0">
      <selection activeCell="A17" sqref="A17"/>
    </sheetView>
  </sheetViews>
  <sheetFormatPr defaultRowHeight="15.5" x14ac:dyDescent="0.35"/>
  <cols>
    <col min="1" max="1" width="30.58203125" style="10" customWidth="1"/>
    <col min="2" max="2" width="12.58203125" style="10" customWidth="1"/>
    <col min="3" max="8" width="12.58203125" style="17" customWidth="1"/>
    <col min="9" max="9" width="12.58203125" style="10" customWidth="1"/>
    <col min="10" max="16384" width="8.6640625" style="10"/>
  </cols>
  <sheetData>
    <row r="1" spans="1:8" x14ac:dyDescent="0.35">
      <c r="A1" s="11" t="s">
        <v>23</v>
      </c>
      <c r="B1" s="11"/>
      <c r="C1" s="12">
        <v>0</v>
      </c>
      <c r="D1" s="12">
        <v>1</v>
      </c>
      <c r="E1" s="12">
        <v>2</v>
      </c>
      <c r="F1" s="12">
        <v>3</v>
      </c>
      <c r="G1" s="12">
        <v>4</v>
      </c>
      <c r="H1" s="12">
        <v>5</v>
      </c>
    </row>
    <row r="2" spans="1:8" x14ac:dyDescent="0.35">
      <c r="A2" s="11" t="s">
        <v>24</v>
      </c>
      <c r="B2" s="11"/>
      <c r="C2" s="13">
        <f>Input!B2</f>
        <v>45383</v>
      </c>
      <c r="D2" s="13">
        <f>EOMONTH(C2,11)</f>
        <v>45747</v>
      </c>
      <c r="E2" s="13">
        <f>EOMONTH(D2,12)</f>
        <v>46112</v>
      </c>
      <c r="F2" s="13">
        <f t="shared" ref="F2:H2" si="0">EOMONTH(E2,12)</f>
        <v>46477</v>
      </c>
      <c r="G2" s="13">
        <f t="shared" si="0"/>
        <v>46843</v>
      </c>
      <c r="H2" s="13">
        <f t="shared" si="0"/>
        <v>47208</v>
      </c>
    </row>
    <row r="3" spans="1:8" x14ac:dyDescent="0.35">
      <c r="A3" s="10" t="s">
        <v>33</v>
      </c>
      <c r="C3" s="23">
        <f>-Input!B4</f>
        <v>-45000000</v>
      </c>
    </row>
    <row r="4" spans="1:8" x14ac:dyDescent="0.35">
      <c r="A4" s="10" t="s">
        <v>25</v>
      </c>
      <c r="C4" s="17">
        <f>IF(B$2&gt;=Input!$B$2,MAX((Input!$B$4*Input!$B$7),B4*(1+Input!$B$8)),0)</f>
        <v>0</v>
      </c>
      <c r="D4" s="17">
        <f>IF(C$2&gt;=Input!$B$2,MAX((Input!$B$4*Input!$B$7),C4*(1+Input!$B$8)),0)</f>
        <v>2250000</v>
      </c>
      <c r="E4" s="17">
        <f>IF(D$2&gt;=Input!$B$2,MAX((Input!$B$4*Input!$B$7),D4*(1+Input!$B$8)),0)</f>
        <v>2430000</v>
      </c>
      <c r="F4" s="17">
        <f>IF(E$2&gt;=Input!$B$2,MAX((Input!$B$4*Input!$B$7),E4*(1+Input!$B$8)),0)</f>
        <v>2624400</v>
      </c>
      <c r="G4" s="17">
        <f>IF(F$2&gt;=Input!$B$2,MAX((Input!$B$4*Input!$B$7),F4*(1+Input!$B$8)),0)</f>
        <v>2834352</v>
      </c>
      <c r="H4" s="17">
        <f>IF(G$2&gt;=Input!$B$2,MAX((Input!$B$4*Input!$B$7),G4*(1+Input!$B$8)),0)</f>
        <v>3061100.16</v>
      </c>
    </row>
    <row r="5" spans="1:8" x14ac:dyDescent="0.35">
      <c r="A5" s="10" t="s">
        <v>26</v>
      </c>
      <c r="D5" s="17">
        <f>IF(D$2&gt;=Input!$B$2,Input!$B$10*Input!$B$11,0)</f>
        <v>300000</v>
      </c>
      <c r="E5" s="17">
        <f>IF(E$2&gt;=Input!$B$2,Input!$B$10*Input!$B$11,0)</f>
        <v>300000</v>
      </c>
      <c r="F5" s="17">
        <f>IF(F$2&gt;=Input!$B$2,Input!$B$10*Input!$B$11,0)</f>
        <v>300000</v>
      </c>
      <c r="G5" s="17">
        <f>IF(G$2&gt;=Input!$B$2,Input!$B$10*Input!$B$11,0)</f>
        <v>300000</v>
      </c>
      <c r="H5" s="17">
        <f>IF(H$2&gt;=Input!$B$2,Input!$B$10*Input!$B$11,0)</f>
        <v>300000</v>
      </c>
    </row>
    <row r="6" spans="1:8" x14ac:dyDescent="0.35">
      <c r="A6" s="10" t="s">
        <v>27</v>
      </c>
      <c r="C6" s="17">
        <f>Input!B10</f>
        <v>5000000</v>
      </c>
    </row>
    <row r="7" spans="1:8" x14ac:dyDescent="0.35">
      <c r="A7" s="19" t="s">
        <v>29</v>
      </c>
      <c r="B7" s="20"/>
      <c r="C7" s="24">
        <f>SUM(C3:C6)</f>
        <v>-40000000</v>
      </c>
      <c r="D7" s="21">
        <f t="shared" ref="D7:H7" si="1">SUM(D3:D6)</f>
        <v>2550000</v>
      </c>
      <c r="E7" s="21">
        <f t="shared" si="1"/>
        <v>2730000</v>
      </c>
      <c r="F7" s="21">
        <f t="shared" si="1"/>
        <v>2924400</v>
      </c>
      <c r="G7" s="21">
        <f t="shared" si="1"/>
        <v>3134352</v>
      </c>
      <c r="H7" s="21">
        <f t="shared" si="1"/>
        <v>3361100.16</v>
      </c>
    </row>
    <row r="8" spans="1:8" x14ac:dyDescent="0.35">
      <c r="A8" s="10" t="s">
        <v>28</v>
      </c>
      <c r="D8" s="17">
        <f>D7*Input!$B$12+(C6*Input!$B$12)</f>
        <v>1900335</v>
      </c>
      <c r="E8" s="17">
        <f>E7*Input!$B$12+(D6*Input!$B$12)</f>
        <v>687141</v>
      </c>
      <c r="F8" s="17">
        <f>F7*Input!$B$12+(E6*Input!$B$12)</f>
        <v>736071.48</v>
      </c>
      <c r="G8" s="17">
        <f>G7*Input!$B$12+(F6*Input!$B$12)</f>
        <v>788916.39839999995</v>
      </c>
      <c r="H8" s="17">
        <f>H7*Input!$B$12+(G6*Input!$B$12)</f>
        <v>845988.91027200001</v>
      </c>
    </row>
    <row r="9" spans="1:8" x14ac:dyDescent="0.35">
      <c r="A9" s="19" t="s">
        <v>30</v>
      </c>
      <c r="B9" s="20"/>
      <c r="C9" s="24">
        <f>C7-C8</f>
        <v>-40000000</v>
      </c>
      <c r="D9" s="21">
        <f t="shared" ref="D9:H9" si="2">D7-D8</f>
        <v>649665</v>
      </c>
      <c r="E9" s="21">
        <f t="shared" si="2"/>
        <v>2042859</v>
      </c>
      <c r="F9" s="21">
        <f t="shared" si="2"/>
        <v>2188328.52</v>
      </c>
      <c r="G9" s="21">
        <f t="shared" si="2"/>
        <v>2345435.6016000002</v>
      </c>
      <c r="H9" s="21">
        <f t="shared" si="2"/>
        <v>2515111.2497280003</v>
      </c>
    </row>
    <row r="10" spans="1:8" x14ac:dyDescent="0.35">
      <c r="A10" s="18" t="s">
        <v>31</v>
      </c>
      <c r="H10" s="17">
        <f>Input!B4*(1+Input!B9)^Rentals!H1</f>
        <v>82909583.068499953</v>
      </c>
    </row>
    <row r="11" spans="1:8" x14ac:dyDescent="0.35">
      <c r="A11" s="25" t="s">
        <v>32</v>
      </c>
      <c r="B11" s="26"/>
      <c r="C11" s="27">
        <f>C9+C10</f>
        <v>-40000000</v>
      </c>
      <c r="D11" s="28">
        <f t="shared" ref="D11" si="3">D9+D10</f>
        <v>649665</v>
      </c>
      <c r="E11" s="28">
        <f t="shared" ref="E11" si="4">E9+E10</f>
        <v>2042859</v>
      </c>
      <c r="F11" s="28">
        <f t="shared" ref="F11" si="5">F9+F10</f>
        <v>2188328.52</v>
      </c>
      <c r="G11" s="28">
        <f t="shared" ref="G11" si="6">G9+G10</f>
        <v>2345435.6016000002</v>
      </c>
      <c r="H11" s="28">
        <f t="shared" ref="H11" si="7">H9+H10</f>
        <v>85424694.318227947</v>
      </c>
    </row>
    <row r="13" spans="1:8" x14ac:dyDescent="0.35">
      <c r="A13" s="29" t="s">
        <v>34</v>
      </c>
      <c r="B13" s="29"/>
      <c r="C13" s="77">
        <f>XIRR(C11:H11,C2:H2)</f>
        <v>0.19159794449806214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49A8D-75C3-4FB1-9ACE-FF4CF1F95FF9}">
  <dimension ref="A1:K45"/>
  <sheetViews>
    <sheetView showGridLines="0" workbookViewId="0">
      <pane xSplit="2" ySplit="2" topLeftCell="C14" activePane="bottomRight" state="frozen"/>
      <selection pane="topRight" activeCell="C1" sqref="C1"/>
      <selection pane="bottomLeft" activeCell="A3" sqref="A3"/>
      <selection pane="bottomRight" activeCell="A45" sqref="A45:K45"/>
    </sheetView>
  </sheetViews>
  <sheetFormatPr defaultRowHeight="15.5" x14ac:dyDescent="0.35"/>
  <cols>
    <col min="1" max="1" width="30.58203125" style="10" customWidth="1"/>
    <col min="2" max="2" width="12.58203125" style="10" customWidth="1"/>
    <col min="3" max="8" width="12.58203125" style="17" customWidth="1"/>
    <col min="9" max="9" width="12.58203125" style="10" customWidth="1"/>
    <col min="10" max="16384" width="8.6640625" style="10"/>
  </cols>
  <sheetData>
    <row r="1" spans="1:8" x14ac:dyDescent="0.35">
      <c r="A1" s="14" t="s">
        <v>23</v>
      </c>
      <c r="B1" s="14"/>
      <c r="C1" s="15">
        <v>0</v>
      </c>
      <c r="D1" s="15">
        <v>1</v>
      </c>
      <c r="E1" s="15">
        <v>2</v>
      </c>
      <c r="F1" s="15">
        <v>3</v>
      </c>
      <c r="G1" s="15">
        <v>4</v>
      </c>
      <c r="H1" s="15">
        <v>5</v>
      </c>
    </row>
    <row r="2" spans="1:8" x14ac:dyDescent="0.35">
      <c r="A2" s="14" t="s">
        <v>24</v>
      </c>
      <c r="B2" s="14"/>
      <c r="C2" s="16">
        <f>Input!B2</f>
        <v>45383</v>
      </c>
      <c r="D2" s="16">
        <f>EOMONTH(C2,11)</f>
        <v>45747</v>
      </c>
      <c r="E2" s="16">
        <f>EOMONTH(D2,12)</f>
        <v>46112</v>
      </c>
      <c r="F2" s="16">
        <f t="shared" ref="F2:H2" si="0">EOMONTH(E2,12)</f>
        <v>46477</v>
      </c>
      <c r="G2" s="16">
        <f t="shared" si="0"/>
        <v>46843</v>
      </c>
      <c r="H2" s="16">
        <f t="shared" si="0"/>
        <v>47208</v>
      </c>
    </row>
    <row r="3" spans="1:8" x14ac:dyDescent="0.35">
      <c r="A3" s="10" t="s">
        <v>38</v>
      </c>
      <c r="C3" s="17">
        <f>IF(C2&gt;Input!$B$15,MIN(C2-Input!$B$15+1,Input!$B$16),0)</f>
        <v>0</v>
      </c>
      <c r="D3" s="17">
        <f>IF(D2&gt;Input!$B$15,MIN(D2-Input!$B$15+1,Input!$B$16),0)</f>
        <v>365</v>
      </c>
      <c r="E3" s="17">
        <f>MIN(E2-Input!$B$15+1,Input!$B$16)</f>
        <v>365</v>
      </c>
      <c r="F3" s="17">
        <f>MIN(F2-Input!$B$15+1,Input!$B$16)</f>
        <v>365</v>
      </c>
      <c r="G3" s="17">
        <f>MIN(G2-Input!$B$15+1,Input!$B$16)</f>
        <v>365</v>
      </c>
      <c r="H3" s="17">
        <f>MIN(H2-Input!$B$15+1,Input!$B$16)</f>
        <v>365</v>
      </c>
    </row>
    <row r="4" spans="1:8" x14ac:dyDescent="0.35">
      <c r="A4" s="10" t="s">
        <v>39</v>
      </c>
      <c r="C4" s="17">
        <f>IF(C2&gt;Input!$B$15,NETWORKDAYS(B2,C2),0)</f>
        <v>0</v>
      </c>
      <c r="D4" s="17">
        <f>IF(D2&gt;Input!$B$15,NETWORKDAYS(C2,D2),0)</f>
        <v>261</v>
      </c>
      <c r="E4" s="17">
        <f t="shared" ref="E4:H4" si="1">NETWORKDAYS(D2,E2)</f>
        <v>262</v>
      </c>
      <c r="F4" s="17">
        <f t="shared" si="1"/>
        <v>262</v>
      </c>
      <c r="G4" s="17">
        <f t="shared" si="1"/>
        <v>263</v>
      </c>
      <c r="H4" s="17">
        <f t="shared" si="1"/>
        <v>261</v>
      </c>
    </row>
    <row r="5" spans="1:8" x14ac:dyDescent="0.35">
      <c r="A5" s="10" t="s">
        <v>40</v>
      </c>
      <c r="C5" s="17">
        <f>IF(C3&gt;Input!$B$15,NETWORKDAYS(B3,C3),0)</f>
        <v>0</v>
      </c>
      <c r="D5" s="17">
        <f>D3-D4</f>
        <v>104</v>
      </c>
      <c r="E5" s="17">
        <f t="shared" ref="E5:H5" si="2">E3-E4</f>
        <v>103</v>
      </c>
      <c r="F5" s="17">
        <f t="shared" si="2"/>
        <v>103</v>
      </c>
      <c r="G5" s="17">
        <f t="shared" si="2"/>
        <v>102</v>
      </c>
      <c r="H5" s="17">
        <f t="shared" si="2"/>
        <v>104</v>
      </c>
    </row>
    <row r="7" spans="1:8" x14ac:dyDescent="0.35">
      <c r="A7" s="18" t="s">
        <v>41</v>
      </c>
    </row>
    <row r="8" spans="1:8" x14ac:dyDescent="0.35">
      <c r="A8" s="10" t="s">
        <v>39</v>
      </c>
      <c r="C8" s="17">
        <f>IF(C6&gt;Input!$B$15,NETWORKDAYS(B6,C6),0)</f>
        <v>0</v>
      </c>
      <c r="D8" s="22">
        <f>IF(Revenue!D2&gt;Input!$B$15,MIN(MAX(Input!$B$54,Revenue!C8+Input!$B$55),Input!$B$56),0)</f>
        <v>0.38</v>
      </c>
      <c r="E8" s="22">
        <f>IF(Revenue!E2&gt;Input!$B$15,MIN(MAX(Input!$B$54,Revenue!D8+Input!$B$55),Input!$B$56),0)</f>
        <v>0.42</v>
      </c>
      <c r="F8" s="22">
        <f>IF(Revenue!F2&gt;Input!$B$15,MIN(MAX(Input!$B$54,Revenue!E8+Input!$B$55),Input!$B$56),0)</f>
        <v>0.45999999999999996</v>
      </c>
      <c r="G8" s="22">
        <f>IF(Revenue!G2&gt;Input!$B$15,MIN(MAX(Input!$B$54,Revenue!F8+Input!$B$55),Input!$B$56),0)</f>
        <v>0.49999999999999994</v>
      </c>
      <c r="H8" s="22">
        <f>IF(Revenue!H2&gt;Input!$B$15,MIN(MAX(Input!$B$54,Revenue!G8+Input!$B$55),Input!$B$56),0)</f>
        <v>0.5</v>
      </c>
    </row>
    <row r="9" spans="1:8" x14ac:dyDescent="0.35">
      <c r="A9" s="10" t="s">
        <v>40</v>
      </c>
      <c r="C9" s="17">
        <f>IF(C7&gt;Input!$B$15,NETWORKDAYS(B7,C7),0)</f>
        <v>0</v>
      </c>
      <c r="D9" s="22">
        <f>IF(D2&gt;Input!$B$15,MIN(MAX(Input!$B$57,Revenue!C9+Input!$B$58),Input!$B$59),0)</f>
        <v>0.45</v>
      </c>
      <c r="E9" s="22">
        <f>IF(E2&gt;Input!$B$15,MIN(MAX(Input!$B$57,Revenue!D9+Input!$B$58),Input!$B$59),0)</f>
        <v>0.5</v>
      </c>
      <c r="F9" s="22">
        <f>IF(F2&gt;Input!$B$15,MIN(MAX(Input!$B$57,Revenue!E9+Input!$B$58),Input!$B$59),0)</f>
        <v>0.55000000000000004</v>
      </c>
      <c r="G9" s="22">
        <f>IF(G2&gt;Input!$B$15,MIN(MAX(Input!$B$57,Revenue!F9+Input!$B$58),Input!$B$59),0)</f>
        <v>0.6</v>
      </c>
      <c r="H9" s="22">
        <f>IF(H2&gt;Input!$B$15,MIN(MAX(Input!$B$57,Revenue!G9+Input!$B$58),Input!$B$59),0)</f>
        <v>0.6</v>
      </c>
    </row>
    <row r="11" spans="1:8" x14ac:dyDescent="0.35">
      <c r="A11" s="10" t="s">
        <v>42</v>
      </c>
      <c r="C11" s="32">
        <f>IF(C2&gt;Input!$B$15,Input!$B$45,0)</f>
        <v>0</v>
      </c>
      <c r="D11" s="17">
        <f>IF(D2&gt;Input!$B$15,Input!$B$45,0)</f>
        <v>104</v>
      </c>
      <c r="E11" s="17">
        <f>IF(E2&gt;Input!$B$15,Input!$B$45,0)</f>
        <v>104</v>
      </c>
      <c r="F11" s="17">
        <f>IF(F2&gt;Input!$B$15,Input!$B$45,0)</f>
        <v>104</v>
      </c>
      <c r="G11" s="17">
        <f>IF(G2&gt;Input!$B$15,Input!$B$45,0)</f>
        <v>104</v>
      </c>
      <c r="H11" s="17">
        <f>IF(H2&gt;Input!$B$15,Input!$B$45,0)</f>
        <v>104</v>
      </c>
    </row>
    <row r="13" spans="1:8" x14ac:dyDescent="0.35">
      <c r="A13" s="10" t="s">
        <v>44</v>
      </c>
      <c r="C13" s="17">
        <f>IF(C2&gt;Input!$B$15,Input!$B$49,0)</f>
        <v>0</v>
      </c>
      <c r="D13" s="17">
        <f>IF(D2&gt;Input!$B$15,Input!$B$49,0)</f>
        <v>14</v>
      </c>
      <c r="E13" s="17">
        <f>IF(E2&gt;Input!$B$15,Input!$B$49,0)</f>
        <v>14</v>
      </c>
      <c r="F13" s="17">
        <f>IF(F2&gt;Input!$B$15,Input!$B$49,0)</f>
        <v>14</v>
      </c>
      <c r="G13" s="17">
        <f>IF(G2&gt;Input!$B$15,Input!$B$49,0)</f>
        <v>14</v>
      </c>
      <c r="H13" s="17">
        <f>IF(H2&gt;Input!$B$15,Input!$B$49,0)</f>
        <v>14</v>
      </c>
    </row>
    <row r="15" spans="1:8" x14ac:dyDescent="0.35">
      <c r="A15" s="18" t="s">
        <v>43</v>
      </c>
    </row>
    <row r="16" spans="1:8" x14ac:dyDescent="0.35">
      <c r="A16" s="10" t="s">
        <v>39</v>
      </c>
      <c r="C16" s="17">
        <f>C$11*C8*C$13</f>
        <v>0</v>
      </c>
      <c r="D16" s="17">
        <f>D$11*D8*D$13</f>
        <v>553.28000000000009</v>
      </c>
      <c r="E16" s="17">
        <f t="shared" ref="E16:H16" si="3">E$11*E8*E$13</f>
        <v>611.52</v>
      </c>
      <c r="F16" s="17">
        <f t="shared" si="3"/>
        <v>669.76</v>
      </c>
      <c r="G16" s="17">
        <f t="shared" si="3"/>
        <v>727.99999999999989</v>
      </c>
      <c r="H16" s="17">
        <f t="shared" si="3"/>
        <v>728</v>
      </c>
    </row>
    <row r="17" spans="1:8" x14ac:dyDescent="0.35">
      <c r="A17" s="10" t="s">
        <v>40</v>
      </c>
      <c r="C17" s="17">
        <f>C11*C$9*C$13</f>
        <v>0</v>
      </c>
      <c r="D17" s="17">
        <f>D11*D$9*D$13</f>
        <v>655.20000000000005</v>
      </c>
      <c r="E17" s="17">
        <f t="shared" ref="E17:G17" si="4">E11*E$9*E$13</f>
        <v>728</v>
      </c>
      <c r="F17" s="17">
        <f t="shared" si="4"/>
        <v>800.80000000000007</v>
      </c>
      <c r="G17" s="17">
        <f t="shared" si="4"/>
        <v>873.6</v>
      </c>
      <c r="H17" s="17">
        <f>H11*H$13*H$9</f>
        <v>873.6</v>
      </c>
    </row>
    <row r="19" spans="1:8" x14ac:dyDescent="0.35">
      <c r="A19" s="10" t="s">
        <v>45</v>
      </c>
      <c r="C19" s="17">
        <f>IF(C$2&gt;Input!B15,MAX(Input!$B51,Revenue!B19*(1+Input!$B$52)),0)</f>
        <v>0</v>
      </c>
      <c r="D19" s="17">
        <f>IF(D$2&gt;Input!C15,MAX(Input!$B51,Revenue!C19*(1+Input!$B$52)),0)</f>
        <v>235</v>
      </c>
      <c r="E19" s="17">
        <f>IF(E$2&gt;Input!D15,MAX(Input!$B51,Revenue!D19*(1+Input!$B$52)),0)</f>
        <v>246.75</v>
      </c>
      <c r="F19" s="17">
        <f>IF(F$2&gt;Input!E15,MAX(Input!$B51,Revenue!E19*(1+Input!$B$52)),0)</f>
        <v>259.08750000000003</v>
      </c>
      <c r="G19" s="17">
        <f>IF(G$2&gt;Input!F15,MAX(Input!$B51,Revenue!F19*(1+Input!$B$52)),0)</f>
        <v>272.04187500000006</v>
      </c>
      <c r="H19" s="17">
        <f>IF(H$2&gt;Input!G15,MAX(Input!$B51,Revenue!G19*(1+Input!$B$52)),0)</f>
        <v>285.64396875000006</v>
      </c>
    </row>
    <row r="21" spans="1:8" x14ac:dyDescent="0.35">
      <c r="A21" s="18" t="s">
        <v>46</v>
      </c>
    </row>
    <row r="22" spans="1:8" x14ac:dyDescent="0.35">
      <c r="A22" s="18" t="s">
        <v>47</v>
      </c>
      <c r="C22" s="17">
        <f>C$16*C$19</f>
        <v>0</v>
      </c>
      <c r="D22" s="17">
        <f>D$16*D$19</f>
        <v>130020.80000000002</v>
      </c>
      <c r="E22" s="17">
        <f t="shared" ref="E22:H22" si="5">E$16*E$19</f>
        <v>150892.56</v>
      </c>
      <c r="F22" s="17">
        <f t="shared" si="5"/>
        <v>173526.44400000002</v>
      </c>
      <c r="G22" s="17">
        <f t="shared" si="5"/>
        <v>198046.48500000002</v>
      </c>
      <c r="H22" s="17">
        <f t="shared" si="5"/>
        <v>207948.80925000005</v>
      </c>
    </row>
    <row r="23" spans="1:8" x14ac:dyDescent="0.35">
      <c r="A23" s="10" t="s">
        <v>39</v>
      </c>
      <c r="C23" s="17">
        <f>C$17*C$19</f>
        <v>0</v>
      </c>
      <c r="D23" s="17">
        <f>D$17*D$19</f>
        <v>153972</v>
      </c>
      <c r="E23" s="17">
        <f t="shared" ref="E23:H23" si="6">E$17*E$19</f>
        <v>179634</v>
      </c>
      <c r="F23" s="17">
        <f t="shared" si="6"/>
        <v>207477.27000000005</v>
      </c>
      <c r="G23" s="17">
        <f t="shared" si="6"/>
        <v>237655.78200000006</v>
      </c>
      <c r="H23" s="17">
        <f t="shared" si="6"/>
        <v>249538.57110000006</v>
      </c>
    </row>
    <row r="24" spans="1:8" x14ac:dyDescent="0.35">
      <c r="A24" s="10" t="s">
        <v>40</v>
      </c>
    </row>
    <row r="25" spans="1:8" x14ac:dyDescent="0.35">
      <c r="A25" s="18" t="s">
        <v>48</v>
      </c>
    </row>
    <row r="26" spans="1:8" x14ac:dyDescent="0.35">
      <c r="A26" s="10" t="s">
        <v>39</v>
      </c>
      <c r="C26" s="17">
        <f>Input!$B$62*Revenue!C$22</f>
        <v>0</v>
      </c>
      <c r="D26" s="17">
        <f>Input!$B$62*Revenue!D$22</f>
        <v>26004.160000000003</v>
      </c>
      <c r="E26" s="17">
        <f>Input!$B$62*Revenue!E$22</f>
        <v>30178.512000000002</v>
      </c>
      <c r="F26" s="17">
        <f>Input!$B$62*Revenue!F$22</f>
        <v>34705.288800000002</v>
      </c>
      <c r="G26" s="17">
        <f>Input!$B$62*Revenue!G$22</f>
        <v>39609.297000000006</v>
      </c>
      <c r="H26" s="17">
        <f>Input!$B$62*Revenue!H$22</f>
        <v>41589.76185000001</v>
      </c>
    </row>
    <row r="27" spans="1:8" x14ac:dyDescent="0.35">
      <c r="A27" s="10" t="s">
        <v>40</v>
      </c>
      <c r="C27" s="17">
        <f>Input!$B$62*C$23</f>
        <v>0</v>
      </c>
      <c r="D27" s="17">
        <f>Input!$B$62*D$23</f>
        <v>30794.400000000001</v>
      </c>
      <c r="E27" s="17">
        <f>Input!$B$62*E$23</f>
        <v>35926.800000000003</v>
      </c>
      <c r="F27" s="17">
        <f>Input!$B$62*F$23</f>
        <v>41495.454000000012</v>
      </c>
      <c r="G27" s="17">
        <f>Input!$B$62*G$23</f>
        <v>47531.156400000014</v>
      </c>
      <c r="H27" s="17">
        <f>Input!$B$62*H$23</f>
        <v>49907.714220000016</v>
      </c>
    </row>
    <row r="28" spans="1:8" x14ac:dyDescent="0.35">
      <c r="A28" s="18" t="s">
        <v>49</v>
      </c>
    </row>
    <row r="29" spans="1:8" x14ac:dyDescent="0.35">
      <c r="A29" s="18" t="s">
        <v>39</v>
      </c>
      <c r="B29" s="18"/>
      <c r="C29" s="32">
        <f>C$22+C26</f>
        <v>0</v>
      </c>
      <c r="D29" s="32">
        <f>D$22+D26</f>
        <v>156024.96000000002</v>
      </c>
      <c r="E29" s="32">
        <f t="shared" ref="E29:H29" si="7">E$22+E26</f>
        <v>181071.07199999999</v>
      </c>
      <c r="F29" s="32">
        <f t="shared" si="7"/>
        <v>208231.73280000003</v>
      </c>
      <c r="G29" s="32">
        <f t="shared" si="7"/>
        <v>237655.78200000001</v>
      </c>
      <c r="H29" s="32">
        <f t="shared" si="7"/>
        <v>249538.57110000006</v>
      </c>
    </row>
    <row r="30" spans="1:8" x14ac:dyDescent="0.35">
      <c r="A30" s="18" t="s">
        <v>40</v>
      </c>
      <c r="B30" s="18"/>
      <c r="C30" s="32">
        <f>C$23+C27</f>
        <v>0</v>
      </c>
      <c r="D30" s="32">
        <f>D$23+D27</f>
        <v>184766.4</v>
      </c>
      <c r="E30" s="32">
        <f t="shared" ref="E30:H30" si="8">E$23+E27</f>
        <v>215560.8</v>
      </c>
      <c r="F30" s="32">
        <f t="shared" si="8"/>
        <v>248972.72400000005</v>
      </c>
      <c r="G30" s="32">
        <f t="shared" si="8"/>
        <v>285186.9384000001</v>
      </c>
      <c r="H30" s="32">
        <f t="shared" si="8"/>
        <v>299446.28532000008</v>
      </c>
    </row>
    <row r="32" spans="1:8" x14ac:dyDescent="0.35">
      <c r="A32" s="18" t="s">
        <v>50</v>
      </c>
    </row>
    <row r="33" spans="1:11" x14ac:dyDescent="0.35">
      <c r="A33" s="18" t="s">
        <v>47</v>
      </c>
    </row>
    <row r="34" spans="1:11" x14ac:dyDescent="0.35">
      <c r="A34" s="10" t="s">
        <v>39</v>
      </c>
      <c r="C34" s="17">
        <f>C$22*C$4</f>
        <v>0</v>
      </c>
      <c r="D34" s="17">
        <f>D$22*D$4</f>
        <v>33935428.800000004</v>
      </c>
      <c r="E34" s="17">
        <f t="shared" ref="E34:H34" si="9">E$22*E$4</f>
        <v>39533850.719999999</v>
      </c>
      <c r="F34" s="17">
        <f t="shared" si="9"/>
        <v>45463928.328000002</v>
      </c>
      <c r="G34" s="17">
        <f t="shared" si="9"/>
        <v>52086225.555000007</v>
      </c>
      <c r="H34" s="17">
        <f t="shared" si="9"/>
        <v>54274639.214250013</v>
      </c>
    </row>
    <row r="35" spans="1:11" x14ac:dyDescent="0.35">
      <c r="A35" s="10" t="s">
        <v>40</v>
      </c>
      <c r="C35" s="17">
        <f>C$23*C$5</f>
        <v>0</v>
      </c>
      <c r="D35" s="17">
        <f>D$23*D$5</f>
        <v>16013088</v>
      </c>
      <c r="E35" s="17">
        <f t="shared" ref="E35:H35" si="10">E$23*E$5</f>
        <v>18502302</v>
      </c>
      <c r="F35" s="17">
        <f t="shared" si="10"/>
        <v>21370158.810000006</v>
      </c>
      <c r="G35" s="17">
        <f t="shared" si="10"/>
        <v>24240889.764000006</v>
      </c>
      <c r="H35" s="17">
        <f t="shared" si="10"/>
        <v>25952011.394400008</v>
      </c>
    </row>
    <row r="36" spans="1:11" x14ac:dyDescent="0.35">
      <c r="A36" s="18" t="s">
        <v>77</v>
      </c>
      <c r="C36" s="32">
        <f>C$34+C$35</f>
        <v>0</v>
      </c>
      <c r="D36" s="32">
        <f>D$34+D$35</f>
        <v>49948516.800000004</v>
      </c>
      <c r="E36" s="32">
        <f t="shared" ref="E36:H36" si="11">E$34+E$35</f>
        <v>58036152.719999999</v>
      </c>
      <c r="F36" s="32">
        <f t="shared" si="11"/>
        <v>66834087.138000011</v>
      </c>
      <c r="G36" s="32">
        <f t="shared" si="11"/>
        <v>76327115.319000006</v>
      </c>
      <c r="H36" s="32">
        <f t="shared" si="11"/>
        <v>80226650.608650029</v>
      </c>
    </row>
    <row r="37" spans="1:11" x14ac:dyDescent="0.35">
      <c r="A37" s="18" t="s">
        <v>48</v>
      </c>
    </row>
    <row r="38" spans="1:11" x14ac:dyDescent="0.35">
      <c r="A38" s="10" t="s">
        <v>39</v>
      </c>
      <c r="C38" s="17">
        <f>C$26*C4</f>
        <v>0</v>
      </c>
      <c r="D38" s="17">
        <f>D$26*D4</f>
        <v>6787085.7600000007</v>
      </c>
      <c r="E38" s="17">
        <f t="shared" ref="E38:H38" si="12">E$26*E4</f>
        <v>7906770.1440000003</v>
      </c>
      <c r="F38" s="17">
        <f t="shared" si="12"/>
        <v>9092785.6655999999</v>
      </c>
      <c r="G38" s="17">
        <f t="shared" si="12"/>
        <v>10417245.111000001</v>
      </c>
      <c r="H38" s="17">
        <f t="shared" si="12"/>
        <v>10854927.842850003</v>
      </c>
    </row>
    <row r="39" spans="1:11" x14ac:dyDescent="0.35">
      <c r="A39" s="10" t="s">
        <v>40</v>
      </c>
      <c r="C39" s="17">
        <f>C$27*C$5</f>
        <v>0</v>
      </c>
      <c r="D39" s="17">
        <f>D$27*D$5</f>
        <v>3202617.6</v>
      </c>
      <c r="E39" s="17">
        <f t="shared" ref="E39:H39" si="13">E$27*E$5</f>
        <v>3700460.4000000004</v>
      </c>
      <c r="F39" s="17">
        <f t="shared" si="13"/>
        <v>4274031.762000001</v>
      </c>
      <c r="G39" s="17">
        <f t="shared" si="13"/>
        <v>4848177.952800001</v>
      </c>
      <c r="H39" s="17">
        <f t="shared" si="13"/>
        <v>5190402.278880002</v>
      </c>
    </row>
    <row r="40" spans="1:11" x14ac:dyDescent="0.35">
      <c r="A40" s="18" t="s">
        <v>76</v>
      </c>
      <c r="C40" s="32">
        <f>C38+C39</f>
        <v>0</v>
      </c>
      <c r="D40" s="32">
        <f>D38+D39</f>
        <v>9989703.3600000013</v>
      </c>
      <c r="E40" s="32">
        <f t="shared" ref="E40:H40" si="14">E38+E39</f>
        <v>11607230.544</v>
      </c>
      <c r="F40" s="32">
        <f t="shared" si="14"/>
        <v>13366817.4276</v>
      </c>
      <c r="G40" s="32">
        <f t="shared" si="14"/>
        <v>15265423.063800003</v>
      </c>
      <c r="H40" s="32">
        <f t="shared" si="14"/>
        <v>16045330.121730005</v>
      </c>
    </row>
    <row r="42" spans="1:11" x14ac:dyDescent="0.35">
      <c r="A42" s="26" t="s">
        <v>78</v>
      </c>
      <c r="B42" s="26"/>
      <c r="C42" s="33">
        <f>C$36+C$40</f>
        <v>0</v>
      </c>
      <c r="D42" s="33">
        <f t="shared" ref="D42:H42" si="15">D$36+D$40</f>
        <v>59938220.160000004</v>
      </c>
      <c r="E42" s="33">
        <f t="shared" si="15"/>
        <v>69643383.263999999</v>
      </c>
      <c r="F42" s="33">
        <f t="shared" si="15"/>
        <v>80200904.565600008</v>
      </c>
      <c r="G42" s="33">
        <f t="shared" si="15"/>
        <v>91592538.382800013</v>
      </c>
      <c r="H42" s="33">
        <f t="shared" si="15"/>
        <v>96271980.730380028</v>
      </c>
    </row>
    <row r="43" spans="1:11" x14ac:dyDescent="0.35">
      <c r="A43" s="35" t="s">
        <v>79</v>
      </c>
      <c r="B43" s="34"/>
      <c r="C43" s="36"/>
      <c r="D43" s="36"/>
      <c r="E43" s="36">
        <f>E42/D42-1</f>
        <v>0.16191944101931766</v>
      </c>
      <c r="F43" s="36">
        <f t="shared" ref="F43:H43" si="16">F42/E42-1</f>
        <v>0.15159403243778646</v>
      </c>
      <c r="G43" s="36">
        <f t="shared" si="16"/>
        <v>0.14203871987356775</v>
      </c>
      <c r="H43" s="36">
        <f t="shared" si="16"/>
        <v>5.108977685521543E-2</v>
      </c>
    </row>
    <row r="44" spans="1:11" x14ac:dyDescent="0.35">
      <c r="A44" s="34"/>
      <c r="B44" s="34"/>
      <c r="C44" s="37"/>
      <c r="D44" s="37"/>
      <c r="E44" s="37"/>
      <c r="F44" s="37"/>
      <c r="G44" s="37"/>
      <c r="H44" s="37"/>
    </row>
    <row r="45" spans="1:11" x14ac:dyDescent="0.35">
      <c r="A45" s="76" t="s">
        <v>167</v>
      </c>
      <c r="B45" s="74"/>
      <c r="C45" s="75"/>
      <c r="D45" s="75"/>
      <c r="E45" s="75"/>
      <c r="F45" s="75"/>
      <c r="G45" s="75"/>
      <c r="H45" s="75"/>
      <c r="I45" s="74"/>
      <c r="J45" s="74"/>
      <c r="K45" s="7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E7ED2-DC20-47CE-8410-5B611D5BCB59}">
  <dimension ref="A1:K51"/>
  <sheetViews>
    <sheetView showGridLines="0" topLeftCell="A33" workbookViewId="0">
      <selection activeCell="A42" sqref="A42:K42"/>
    </sheetView>
  </sheetViews>
  <sheetFormatPr defaultRowHeight="15.5" x14ac:dyDescent="0.35"/>
  <cols>
    <col min="1" max="1" width="30.58203125" style="10" customWidth="1"/>
    <col min="2" max="2" width="12.58203125" style="10" customWidth="1"/>
    <col min="3" max="8" width="12.58203125" style="17" customWidth="1"/>
    <col min="9" max="9" width="12.58203125" style="10" customWidth="1"/>
    <col min="10" max="16384" width="8.6640625" style="10"/>
  </cols>
  <sheetData>
    <row r="1" spans="1:8" x14ac:dyDescent="0.35">
      <c r="A1" s="14" t="s">
        <v>23</v>
      </c>
      <c r="B1" s="14"/>
      <c r="C1" s="15">
        <v>0</v>
      </c>
      <c r="D1" s="15">
        <v>1</v>
      </c>
      <c r="E1" s="15">
        <v>2</v>
      </c>
      <c r="F1" s="15">
        <v>3</v>
      </c>
      <c r="G1" s="15">
        <v>4</v>
      </c>
      <c r="H1" s="15">
        <v>5</v>
      </c>
    </row>
    <row r="2" spans="1:8" x14ac:dyDescent="0.35">
      <c r="A2" s="14" t="s">
        <v>24</v>
      </c>
      <c r="B2" s="14"/>
      <c r="C2" s="16">
        <f>Input!B2</f>
        <v>45383</v>
      </c>
      <c r="D2" s="16">
        <f>EOMONTH(C2,11)</f>
        <v>45747</v>
      </c>
      <c r="E2" s="16">
        <f>EOMONTH(D2,12)</f>
        <v>46112</v>
      </c>
      <c r="F2" s="16">
        <f t="shared" ref="F2:H2" si="0">EOMONTH(E2,12)</f>
        <v>46477</v>
      </c>
      <c r="G2" s="16">
        <f t="shared" si="0"/>
        <v>46843</v>
      </c>
      <c r="H2" s="16">
        <f t="shared" si="0"/>
        <v>47208</v>
      </c>
    </row>
    <row r="3" spans="1:8" x14ac:dyDescent="0.35">
      <c r="A3" s="18" t="s">
        <v>80</v>
      </c>
    </row>
    <row r="4" spans="1:8" x14ac:dyDescent="0.35">
      <c r="A4" s="10" t="s">
        <v>47</v>
      </c>
      <c r="C4" s="17">
        <f>Revenue!C36</f>
        <v>0</v>
      </c>
      <c r="D4" s="17">
        <f>Revenue!D36</f>
        <v>49948516.800000004</v>
      </c>
      <c r="E4" s="17">
        <f>Revenue!E36</f>
        <v>58036152.719999999</v>
      </c>
      <c r="F4" s="17">
        <f>Revenue!F36</f>
        <v>66834087.138000011</v>
      </c>
      <c r="G4" s="17">
        <f>Revenue!G36</f>
        <v>76327115.319000006</v>
      </c>
      <c r="H4" s="17">
        <f>Revenue!H36</f>
        <v>80226650.608650029</v>
      </c>
    </row>
    <row r="5" spans="1:8" x14ac:dyDescent="0.35">
      <c r="A5" s="10" t="s">
        <v>48</v>
      </c>
      <c r="C5" s="17">
        <f>Revenue!C40</f>
        <v>0</v>
      </c>
      <c r="D5" s="17">
        <f>Revenue!D40</f>
        <v>9989703.3600000013</v>
      </c>
      <c r="E5" s="17">
        <f>Revenue!E40</f>
        <v>11607230.544</v>
      </c>
      <c r="F5" s="17">
        <f>Revenue!F40</f>
        <v>13366817.4276</v>
      </c>
      <c r="G5" s="17">
        <f>Revenue!G40</f>
        <v>15265423.063800003</v>
      </c>
      <c r="H5" s="17">
        <f>Revenue!H40</f>
        <v>16045330.121730005</v>
      </c>
    </row>
    <row r="6" spans="1:8" x14ac:dyDescent="0.35">
      <c r="A6" s="25" t="s">
        <v>81</v>
      </c>
      <c r="B6" s="25"/>
      <c r="C6" s="33">
        <f>SUM(C4:C5)</f>
        <v>0</v>
      </c>
      <c r="D6" s="33">
        <f t="shared" ref="D6:H6" si="1">SUM(D4:D5)</f>
        <v>59938220.160000004</v>
      </c>
      <c r="E6" s="33">
        <f t="shared" si="1"/>
        <v>69643383.263999999</v>
      </c>
      <c r="F6" s="33">
        <f t="shared" si="1"/>
        <v>80200904.565600008</v>
      </c>
      <c r="G6" s="33">
        <f t="shared" si="1"/>
        <v>91592538.382800013</v>
      </c>
      <c r="H6" s="33">
        <f t="shared" si="1"/>
        <v>96271980.730380028</v>
      </c>
    </row>
    <row r="7" spans="1:8" x14ac:dyDescent="0.35">
      <c r="A7" s="18" t="s">
        <v>87</v>
      </c>
    </row>
    <row r="8" spans="1:8" x14ac:dyDescent="0.35">
      <c r="A8" s="10" t="s">
        <v>88</v>
      </c>
      <c r="D8" s="17">
        <f>D$6*Input!$B$66</f>
        <v>21577759.257600002</v>
      </c>
      <c r="E8" s="17">
        <f>E$6*Input!$B$66</f>
        <v>25071617.97504</v>
      </c>
      <c r="F8" s="17">
        <f>F$6*Input!$B$66</f>
        <v>28872325.643616002</v>
      </c>
      <c r="G8" s="17">
        <f>G$6*Input!$B$66</f>
        <v>32973313.817808002</v>
      </c>
      <c r="H8" s="17">
        <f>H$6*Input!$B$66</f>
        <v>34657913.062936813</v>
      </c>
    </row>
    <row r="9" spans="1:8" x14ac:dyDescent="0.35">
      <c r="A9" s="18" t="s">
        <v>89</v>
      </c>
      <c r="D9" s="17">
        <f>D$5*Input!$B$68</f>
        <v>399588.13440000004</v>
      </c>
      <c r="E9" s="17">
        <f>E$5*Input!$B$68</f>
        <v>464289.22175999999</v>
      </c>
      <c r="F9" s="17">
        <f>F$5*Input!$B$68</f>
        <v>534672.69710400002</v>
      </c>
      <c r="G9" s="17">
        <f>G$5*Input!$B$68</f>
        <v>610616.92255200015</v>
      </c>
      <c r="H9" s="17">
        <f>H$5*Input!$B$68</f>
        <v>641813.20486920024</v>
      </c>
    </row>
    <row r="10" spans="1:8" x14ac:dyDescent="0.35">
      <c r="A10" s="19" t="s">
        <v>91</v>
      </c>
      <c r="B10" s="20"/>
      <c r="C10" s="21"/>
      <c r="D10" s="38">
        <f>D9+D8</f>
        <v>21977347.392000001</v>
      </c>
      <c r="E10" s="38">
        <f t="shared" ref="E10:H10" si="2">E9+E8</f>
        <v>25535907.196800001</v>
      </c>
      <c r="F10" s="38">
        <f t="shared" si="2"/>
        <v>29406998.340720002</v>
      </c>
      <c r="G10" s="38">
        <f t="shared" si="2"/>
        <v>33583930.740359999</v>
      </c>
      <c r="H10" s="38">
        <f t="shared" si="2"/>
        <v>35299726.267806016</v>
      </c>
    </row>
    <row r="11" spans="1:8" x14ac:dyDescent="0.35">
      <c r="A11" s="18" t="s">
        <v>92</v>
      </c>
      <c r="D11" s="32">
        <f>D6-D10</f>
        <v>37960872.768000007</v>
      </c>
      <c r="E11" s="32">
        <f>E6-E10</f>
        <v>44107476.067199998</v>
      </c>
      <c r="F11" s="32">
        <f>F6-F10</f>
        <v>50793906.22488001</v>
      </c>
      <c r="G11" s="32">
        <f>G6-G10</f>
        <v>58008607.642440014</v>
      </c>
      <c r="H11" s="32">
        <f>H6-H10</f>
        <v>60972254.462574013</v>
      </c>
    </row>
    <row r="12" spans="1:8" ht="14" customHeight="1" x14ac:dyDescent="0.35">
      <c r="A12" s="34" t="s">
        <v>93</v>
      </c>
      <c r="B12" s="39"/>
      <c r="C12" s="40"/>
      <c r="D12" s="41">
        <f>D11/D6</f>
        <v>0.63333333333333341</v>
      </c>
      <c r="E12" s="41">
        <f>E11/E6</f>
        <v>0.6333333333333333</v>
      </c>
      <c r="F12" s="41">
        <f>F11/F6</f>
        <v>0.63333333333333341</v>
      </c>
      <c r="G12" s="41">
        <f>G11/G6</f>
        <v>0.63333333333333341</v>
      </c>
      <c r="H12" s="41">
        <f>H11/H6</f>
        <v>0.6333333333333333</v>
      </c>
    </row>
    <row r="13" spans="1:8" x14ac:dyDescent="0.35">
      <c r="A13" s="18" t="s">
        <v>103</v>
      </c>
    </row>
    <row r="14" spans="1:8" x14ac:dyDescent="0.35">
      <c r="A14" s="10" t="s">
        <v>75</v>
      </c>
      <c r="D14" s="17">
        <f>D6*Input!$B$65</f>
        <v>4795057.6128000002</v>
      </c>
      <c r="E14" s="17">
        <f>E6*Input!$B$65</f>
        <v>5571470.6611200003</v>
      </c>
      <c r="F14" s="17">
        <f>F6*Input!$B$65</f>
        <v>6416072.3652480012</v>
      </c>
      <c r="G14" s="17">
        <f>G6*Input!$B$65</f>
        <v>7327403.0706240013</v>
      </c>
      <c r="H14" s="17">
        <f>H6*Input!$B$65</f>
        <v>7701758.458430402</v>
      </c>
    </row>
    <row r="15" spans="1:8" x14ac:dyDescent="0.35">
      <c r="A15" s="10" t="s">
        <v>90</v>
      </c>
      <c r="D15" s="17">
        <f>D6*Input!$B$67</f>
        <v>3596293.2096000002</v>
      </c>
      <c r="E15" s="17">
        <f>E6*Input!$B$67</f>
        <v>4178602.99584</v>
      </c>
      <c r="F15" s="17">
        <f>F6*Input!$B$67</f>
        <v>4812054.2739360007</v>
      </c>
      <c r="G15" s="17">
        <f>G6*Input!$B$67</f>
        <v>5495552.302968001</v>
      </c>
      <c r="H15" s="17">
        <f>H6*Input!$B$67</f>
        <v>5776318.8438228015</v>
      </c>
    </row>
    <row r="16" spans="1:8" x14ac:dyDescent="0.35">
      <c r="A16" s="1" t="s">
        <v>112</v>
      </c>
      <c r="C16" s="17">
        <f>IF(C$2&gt;Input!$A$15,MAX(B16*(1+Input!$B96),Input!$B91),0)</f>
        <v>0</v>
      </c>
      <c r="D16" s="17">
        <f>IF(D$2&gt;Input!B15,MAX(C16*(1+Input!$B96),Input!$B91),0)</f>
        <v>2400000</v>
      </c>
      <c r="E16" s="17">
        <f>IF(E$2&gt;Input!C15,MAX(D16*(1+Input!$B96),Input!$B91),0)</f>
        <v>2520000</v>
      </c>
      <c r="F16" s="17">
        <f>IF(F$2&gt;Input!D15,MAX(E16*(1+Input!$B96),Input!$B91),0)</f>
        <v>2646000</v>
      </c>
      <c r="G16" s="17">
        <f>IF(G$2&gt;Input!E15,MAX(F16*(1+Input!$B96),Input!$B91),0)</f>
        <v>2778300</v>
      </c>
      <c r="H16" s="17">
        <f>IF(H$2&gt;Input!F15,MAX(G16*(1+Input!$B96),Input!$B91),0)</f>
        <v>2917215</v>
      </c>
    </row>
    <row r="17" spans="1:8" x14ac:dyDescent="0.35">
      <c r="A17" s="1" t="s">
        <v>113</v>
      </c>
      <c r="C17" s="17">
        <f>IF(C$2&gt;Input!$A$15,MAX(B17*(1+Input!$B97),Input!$B92),0)</f>
        <v>0</v>
      </c>
      <c r="D17" s="17">
        <f>IF(D$2&gt;Input!B16,MAX(C17*(1+Input!$B97),Input!$B92),0)</f>
        <v>1200000</v>
      </c>
      <c r="E17" s="17">
        <f>IF(E$2&gt;Input!C16,MAX(D17*(1+Input!$B97),Input!$B92),0)</f>
        <v>1224000</v>
      </c>
      <c r="F17" s="17">
        <f>IF(F$2&gt;Input!D16,MAX(E17*(1+Input!$B97),Input!$B92),0)</f>
        <v>1248480</v>
      </c>
      <c r="G17" s="17">
        <f>IF(G$2&gt;Input!E16,MAX(F17*(1+Input!$B97),Input!$B92),0)</f>
        <v>1273449.6000000001</v>
      </c>
      <c r="H17" s="17">
        <f>IF(H$2&gt;Input!F16,MAX(G17*(1+Input!$B97),Input!$B92),0)</f>
        <v>1298918.5920000002</v>
      </c>
    </row>
    <row r="18" spans="1:8" x14ac:dyDescent="0.35">
      <c r="A18" s="1" t="s">
        <v>114</v>
      </c>
      <c r="C18" s="17">
        <f>IF(C$2&gt;Input!$A$15,MAX(B18*(1+Input!$B98),Input!$B93),0)</f>
        <v>0</v>
      </c>
      <c r="D18" s="17">
        <f>IF(D$2&gt;Input!B17,MAX(C18*(1+Input!$B98),Input!$B93),0)</f>
        <v>600000</v>
      </c>
      <c r="E18" s="17">
        <f>IF(E$2&gt;Input!C17,MAX(D18*(1+Input!$B98),Input!$B93),0)</f>
        <v>618000</v>
      </c>
      <c r="F18" s="17">
        <f>IF(F$2&gt;Input!D17,MAX(E18*(1+Input!$B98),Input!$B93),0)</f>
        <v>636540</v>
      </c>
      <c r="G18" s="17">
        <f>IF(G$2&gt;Input!E17,MAX(F18*(1+Input!$B98),Input!$B93),0)</f>
        <v>655636.20000000007</v>
      </c>
      <c r="H18" s="17">
        <f>IF(H$2&gt;Input!F17,MAX(G18*(1+Input!$B98),Input!$B93),0)</f>
        <v>675305.28600000008</v>
      </c>
    </row>
    <row r="19" spans="1:8" x14ac:dyDescent="0.35">
      <c r="A19" s="18" t="s">
        <v>116</v>
      </c>
    </row>
    <row r="20" spans="1:8" x14ac:dyDescent="0.35">
      <c r="A20" s="1" t="s">
        <v>98</v>
      </c>
      <c r="D20" s="17">
        <f>IF(D$2&gt;Input!$B$15,Input!D72*Input!C84*Input!$B$89,0)</f>
        <v>960000</v>
      </c>
      <c r="E20" s="17">
        <f>IF(E$2&gt;Input!$B$15,Input!E72*Input!D84*Input!$B$89,0)</f>
        <v>1512000</v>
      </c>
      <c r="F20" s="17">
        <f>IF(F$2&gt;Input!$B$15,Input!F72*Input!E84*Input!$B$89,0)</f>
        <v>2116800</v>
      </c>
      <c r="G20" s="17">
        <f>IF(G$2&gt;Input!$B$15,Input!G72*Input!F84*Input!$B$89,0)</f>
        <v>2778300</v>
      </c>
      <c r="H20" s="17">
        <f>IF(H$2&gt;Input!$B$15,Input!H72*Input!G84*Input!$B$89,0)</f>
        <v>2917215</v>
      </c>
    </row>
    <row r="21" spans="1:8" x14ac:dyDescent="0.35">
      <c r="A21" s="1" t="s">
        <v>99</v>
      </c>
      <c r="D21" s="17">
        <f>IF(D$2&gt;Input!$B$15,Input!D73*Input!C85*Input!$B$89,0)</f>
        <v>11520000</v>
      </c>
      <c r="E21" s="17">
        <f>IF(E$2&gt;Input!$B$15,Input!E73*Input!D85*Input!$B$89,0)</f>
        <v>15408000</v>
      </c>
      <c r="F21" s="17">
        <f>IF(F$2&gt;Input!$B$15,Input!F73*Input!E85*Input!$B$89,0)</f>
        <v>16486560</v>
      </c>
      <c r="G21" s="17">
        <f>IF(G$2&gt;Input!$B$15,Input!G73*Input!F85*Input!$B$89,0)</f>
        <v>21168743.040000003</v>
      </c>
      <c r="H21" s="17">
        <f>IF(H$2&gt;Input!$B$15,Input!H73*Input!G85*Input!$B$89,0)</f>
        <v>22650555.052800003</v>
      </c>
    </row>
    <row r="22" spans="1:8" x14ac:dyDescent="0.35">
      <c r="A22" s="1" t="s">
        <v>100</v>
      </c>
      <c r="D22" s="17">
        <f>IF(D$2&gt;Input!$B$15,Input!D74*Input!C86*Input!$B$89,0)</f>
        <v>1440000</v>
      </c>
      <c r="E22" s="17">
        <f>IF(E$2&gt;Input!$B$15,Input!E74*Input!D86*Input!$B$89,0)</f>
        <v>1540800</v>
      </c>
      <c r="F22" s="17">
        <f>IF(F$2&gt;Input!$B$15,Input!F74*Input!E86*Input!$B$89,0)</f>
        <v>1648656</v>
      </c>
      <c r="G22" s="17">
        <f>IF(G$2&gt;Input!$B$15,Input!G74*Input!F86*Input!$B$89,0)</f>
        <v>1764061.9200000002</v>
      </c>
      <c r="H22" s="17">
        <f>IF(H$2&gt;Input!$B$15,Input!H74*Input!G86*Input!$B$89,0)</f>
        <v>1887546.2544000002</v>
      </c>
    </row>
    <row r="23" spans="1:8" x14ac:dyDescent="0.35">
      <c r="A23" s="1" t="s">
        <v>104</v>
      </c>
      <c r="D23" s="17">
        <f>IF(D$2&gt;Input!$B$15,Input!D75*Input!C87*Input!$B$89,0)</f>
        <v>2000000</v>
      </c>
      <c r="E23" s="17">
        <f>IF(E$2&gt;Input!$B$15,Input!E75*Input!D87*Input!$B$89,0)</f>
        <v>2140000</v>
      </c>
      <c r="F23" s="17">
        <f>IF(F$2&gt;Input!$B$15,Input!F75*Input!E87*Input!$B$89,0)</f>
        <v>2289800</v>
      </c>
      <c r="G23" s="17">
        <f>IF(G$2&gt;Input!$B$15,Input!G75*Input!F87*Input!$B$89,0)</f>
        <v>2450086</v>
      </c>
      <c r="H23" s="17">
        <f>IF(H$2&gt;Input!$B$15,Input!H75*Input!G87*Input!$B$89,0)</f>
        <v>2621592.02</v>
      </c>
    </row>
    <row r="24" spans="1:8" x14ac:dyDescent="0.35">
      <c r="A24" s="19" t="s">
        <v>117</v>
      </c>
      <c r="B24" s="20"/>
      <c r="C24" s="21"/>
      <c r="D24" s="38">
        <f>SUM(D14:D23)</f>
        <v>28511350.8224</v>
      </c>
      <c r="E24" s="38">
        <f t="shared" ref="E24:H24" si="3">SUM(E14:E23)</f>
        <v>34712873.656959996</v>
      </c>
      <c r="F24" s="38">
        <f t="shared" si="3"/>
        <v>38300962.639183998</v>
      </c>
      <c r="G24" s="38">
        <f t="shared" si="3"/>
        <v>45691532.13359201</v>
      </c>
      <c r="H24" s="38">
        <f t="shared" si="3"/>
        <v>48446424.507453211</v>
      </c>
    </row>
    <row r="26" spans="1:8" x14ac:dyDescent="0.35">
      <c r="A26" s="19" t="s">
        <v>118</v>
      </c>
      <c r="B26" s="20"/>
      <c r="C26" s="21"/>
      <c r="D26" s="38">
        <f>D11-D24</f>
        <v>9449521.9456000067</v>
      </c>
      <c r="E26" s="38">
        <f>E11-E24</f>
        <v>9394602.410240002</v>
      </c>
      <c r="F26" s="38">
        <f>F11-F24</f>
        <v>12492943.585696012</v>
      </c>
      <c r="G26" s="38">
        <f>G11-G24</f>
        <v>12317075.508848004</v>
      </c>
      <c r="H26" s="38">
        <f>H11-H24</f>
        <v>12525829.955120802</v>
      </c>
    </row>
    <row r="27" spans="1:8" x14ac:dyDescent="0.35">
      <c r="A27" s="34" t="s">
        <v>119</v>
      </c>
      <c r="B27" s="34"/>
      <c r="C27" s="37"/>
      <c r="D27" s="48">
        <f>D26/D6</f>
        <v>0.15765436344915329</v>
      </c>
      <c r="E27" s="48">
        <f>E26/E6</f>
        <v>0.13489583604270777</v>
      </c>
      <c r="F27" s="48">
        <f>F26/F6</f>
        <v>0.1557706069945565</v>
      </c>
      <c r="G27" s="48">
        <f>G26/G6</f>
        <v>0.13447684414390032</v>
      </c>
      <c r="H27" s="48">
        <f>H26/H6</f>
        <v>0.13010877993879369</v>
      </c>
    </row>
    <row r="28" spans="1:8" x14ac:dyDescent="0.35">
      <c r="A28" s="18" t="s">
        <v>120</v>
      </c>
    </row>
    <row r="29" spans="1:8" x14ac:dyDescent="0.35">
      <c r="A29" s="10" t="str">
        <f>'Fixed Assets'!A11</f>
        <v>Depreciation on Franchise</v>
      </c>
      <c r="D29" s="17">
        <f>'Fixed Assets'!D11</f>
        <v>150000</v>
      </c>
      <c r="E29" s="17">
        <f>'Fixed Assets'!E11</f>
        <v>150000</v>
      </c>
      <c r="F29" s="17">
        <f>'Fixed Assets'!F11</f>
        <v>150000</v>
      </c>
      <c r="G29" s="17">
        <f>'Fixed Assets'!G11</f>
        <v>150000</v>
      </c>
      <c r="H29" s="17">
        <f>'Fixed Assets'!H11</f>
        <v>150000</v>
      </c>
    </row>
    <row r="30" spans="1:8" x14ac:dyDescent="0.35">
      <c r="A30" s="10" t="str">
        <f>'Fixed Assets'!A21</f>
        <v>Depreciation on furniture</v>
      </c>
      <c r="D30" s="17">
        <f>'Fixed Assets'!D21</f>
        <v>110000</v>
      </c>
      <c r="E30" s="17">
        <f>'Fixed Assets'!E21</f>
        <v>110000</v>
      </c>
      <c r="F30" s="17">
        <f>'Fixed Assets'!F21</f>
        <v>110000</v>
      </c>
      <c r="G30" s="17">
        <f>'Fixed Assets'!G21</f>
        <v>110000</v>
      </c>
      <c r="H30" s="17">
        <f>'Fixed Assets'!H21</f>
        <v>110000</v>
      </c>
    </row>
    <row r="31" spans="1:8" x14ac:dyDescent="0.35">
      <c r="A31" s="10" t="str">
        <f>'Fixed Assets'!A32</f>
        <v>Depreciation on development</v>
      </c>
      <c r="D31" s="17">
        <f>'Fixed Assets'!D32</f>
        <v>500000</v>
      </c>
      <c r="E31" s="17">
        <f>'Fixed Assets'!E32</f>
        <v>500000</v>
      </c>
      <c r="F31" s="17">
        <f>'Fixed Assets'!F32</f>
        <v>500000</v>
      </c>
      <c r="G31" s="17">
        <f>'Fixed Assets'!G32</f>
        <v>500000</v>
      </c>
      <c r="H31" s="17">
        <f>'Fixed Assets'!H32</f>
        <v>500000</v>
      </c>
    </row>
    <row r="32" spans="1:8" x14ac:dyDescent="0.35">
      <c r="A32" s="10" t="str">
        <f>'Fixed Assets'!A42</f>
        <v>Depreciation on interiors</v>
      </c>
      <c r="D32" s="17">
        <f>'Fixed Assets'!D42</f>
        <v>200000</v>
      </c>
      <c r="E32" s="17">
        <f>'Fixed Assets'!E42</f>
        <v>200000</v>
      </c>
      <c r="F32" s="17">
        <f>'Fixed Assets'!F42</f>
        <v>200000</v>
      </c>
      <c r="G32" s="17">
        <f>'Fixed Assets'!G42</f>
        <v>200000</v>
      </c>
      <c r="H32" s="17">
        <f>'Fixed Assets'!H42</f>
        <v>200000</v>
      </c>
    </row>
    <row r="33" spans="1:11" x14ac:dyDescent="0.35">
      <c r="A33" s="10" t="str">
        <f>'Fixed Assets'!A52</f>
        <v>Depreciation on civil work</v>
      </c>
      <c r="D33" s="17">
        <f>'Fixed Assets'!D52</f>
        <v>100000</v>
      </c>
      <c r="E33" s="17">
        <f>'Fixed Assets'!E52</f>
        <v>100000</v>
      </c>
      <c r="F33" s="17">
        <f>'Fixed Assets'!F52</f>
        <v>100000</v>
      </c>
      <c r="G33" s="17">
        <f>'Fixed Assets'!G52</f>
        <v>100000</v>
      </c>
      <c r="H33" s="17">
        <f>'Fixed Assets'!H52</f>
        <v>100000</v>
      </c>
    </row>
    <row r="34" spans="1:11" x14ac:dyDescent="0.35">
      <c r="A34" s="10" t="str">
        <f>'Fixed Assets'!A62</f>
        <v>Depreciation on machinery</v>
      </c>
      <c r="D34" s="17">
        <f>'Fixed Assets'!D62</f>
        <v>525000</v>
      </c>
      <c r="E34" s="17">
        <f>'Fixed Assets'!E62</f>
        <v>525000</v>
      </c>
      <c r="F34" s="17">
        <f>'Fixed Assets'!F62</f>
        <v>525000</v>
      </c>
      <c r="G34" s="17">
        <f>'Fixed Assets'!G62</f>
        <v>525000</v>
      </c>
      <c r="H34" s="17">
        <f>'Fixed Assets'!H62</f>
        <v>525000</v>
      </c>
    </row>
    <row r="35" spans="1:11" x14ac:dyDescent="0.35">
      <c r="A35" s="19" t="s">
        <v>121</v>
      </c>
      <c r="B35" s="19"/>
      <c r="C35" s="38"/>
      <c r="D35" s="38">
        <f>D26-SUM(D29:D34)</f>
        <v>7864521.9456000067</v>
      </c>
      <c r="E35" s="38">
        <f>E26-SUM(E29:E34)</f>
        <v>7809602.410240002</v>
      </c>
      <c r="F35" s="38">
        <f>F26-SUM(F29:F34)</f>
        <v>10907943.585696012</v>
      </c>
      <c r="G35" s="38">
        <f>G26-SUM(G29:G34)</f>
        <v>10732075.508848004</v>
      </c>
      <c r="H35" s="38">
        <f>H26-SUM(H29:H34)</f>
        <v>10940829.955120802</v>
      </c>
    </row>
    <row r="36" spans="1:11" x14ac:dyDescent="0.35">
      <c r="A36" s="10" t="s">
        <v>122</v>
      </c>
    </row>
    <row r="37" spans="1:11" x14ac:dyDescent="0.35">
      <c r="A37" s="18" t="s">
        <v>123</v>
      </c>
      <c r="B37" s="18"/>
      <c r="C37" s="32"/>
      <c r="D37" s="32">
        <f>D35-D36</f>
        <v>7864521.9456000067</v>
      </c>
      <c r="E37" s="32">
        <f>E35-E36</f>
        <v>7809602.410240002</v>
      </c>
      <c r="F37" s="32">
        <f>F35-F36</f>
        <v>10907943.585696012</v>
      </c>
      <c r="G37" s="32">
        <f>G35-G36</f>
        <v>10732075.508848004</v>
      </c>
      <c r="H37" s="32">
        <f>H35-H36</f>
        <v>10940829.955120802</v>
      </c>
    </row>
    <row r="38" spans="1:11" x14ac:dyDescent="0.35">
      <c r="A38" s="10" t="s">
        <v>124</v>
      </c>
      <c r="D38" s="17">
        <f>D37*Input!$B$12</f>
        <v>1979500.1737075215</v>
      </c>
      <c r="E38" s="17">
        <f>E37*Input!$B$12</f>
        <v>1965676.9266574082</v>
      </c>
      <c r="F38" s="17">
        <f>F37*Input!$B$12</f>
        <v>2745529.4005196858</v>
      </c>
      <c r="G38" s="17">
        <f>G37*Input!$B$12</f>
        <v>2701263.4055770426</v>
      </c>
      <c r="H38" s="17">
        <f>H37*Input!$B$12</f>
        <v>2753806.8997039055</v>
      </c>
    </row>
    <row r="39" spans="1:11" x14ac:dyDescent="0.35">
      <c r="A39" s="18" t="s">
        <v>125</v>
      </c>
      <c r="B39" s="18"/>
      <c r="C39" s="32"/>
      <c r="D39" s="32">
        <f>D37-D38</f>
        <v>5885021.7718924852</v>
      </c>
      <c r="E39" s="32">
        <f t="shared" ref="E39:H39" si="4">E37-E38</f>
        <v>5843925.4835825935</v>
      </c>
      <c r="F39" s="32">
        <f t="shared" si="4"/>
        <v>8162414.185176326</v>
      </c>
      <c r="G39" s="32">
        <f t="shared" si="4"/>
        <v>8030812.103270961</v>
      </c>
      <c r="H39" s="32">
        <f t="shared" si="4"/>
        <v>8187023.0554168969</v>
      </c>
    </row>
    <row r="40" spans="1:11" x14ac:dyDescent="0.35">
      <c r="A40" s="49" t="s">
        <v>126</v>
      </c>
      <c r="B40" s="49"/>
      <c r="C40" s="49"/>
      <c r="D40" s="55">
        <f>D39/D6</f>
        <v>9.8184793545469287E-2</v>
      </c>
      <c r="E40" s="55">
        <f>E39/E6</f>
        <v>8.3912142255205893E-2</v>
      </c>
      <c r="F40" s="55">
        <f>F39/F6</f>
        <v>0.10177459006712215</v>
      </c>
      <c r="G40" s="55">
        <f>G39/G6</f>
        <v>8.7679763494567062E-2</v>
      </c>
      <c r="H40" s="55">
        <f>H39/H6</f>
        <v>8.5040558979933428E-2</v>
      </c>
    </row>
    <row r="42" spans="1:11" x14ac:dyDescent="0.35">
      <c r="A42" s="76" t="s">
        <v>167</v>
      </c>
      <c r="B42" s="74"/>
      <c r="C42" s="75"/>
      <c r="D42" s="75"/>
      <c r="E42" s="75"/>
      <c r="F42" s="75"/>
      <c r="G42" s="75"/>
      <c r="H42" s="75"/>
      <c r="I42" s="74"/>
      <c r="J42" s="74"/>
      <c r="K42" s="74"/>
    </row>
    <row r="46" spans="1:11" x14ac:dyDescent="0.35">
      <c r="C46" s="10"/>
      <c r="D46" s="10"/>
      <c r="E46" s="10"/>
      <c r="F46" s="10"/>
      <c r="G46" s="10"/>
      <c r="H46" s="10"/>
    </row>
    <row r="47" spans="1:11" x14ac:dyDescent="0.35">
      <c r="C47" s="10"/>
      <c r="D47" s="10"/>
      <c r="E47" s="10"/>
      <c r="F47" s="10"/>
      <c r="G47" s="10"/>
      <c r="H47" s="10"/>
    </row>
    <row r="48" spans="1:11" x14ac:dyDescent="0.35">
      <c r="C48" s="10"/>
      <c r="D48" s="10"/>
      <c r="E48" s="10"/>
      <c r="F48" s="10"/>
      <c r="G48" s="10"/>
      <c r="H48" s="10"/>
    </row>
    <row r="49" s="10" customFormat="1" x14ac:dyDescent="0.35"/>
    <row r="50" s="10" customFormat="1" x14ac:dyDescent="0.35"/>
    <row r="51" s="10" customFormat="1" x14ac:dyDescent="0.35"/>
  </sheetData>
  <pageMargins left="0.7" right="0.7" top="0.75" bottom="0.75" header="0.3" footer="0.3"/>
  <ignoredErrors>
    <ignoredError sqref="D38:H38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ADF31-5E51-4AA5-AFE1-18B804F6E240}">
  <dimension ref="A1:K64"/>
  <sheetViews>
    <sheetView showGridLines="0" topLeftCell="A56" workbookViewId="0">
      <selection activeCell="A64" sqref="A64:K64"/>
    </sheetView>
  </sheetViews>
  <sheetFormatPr defaultRowHeight="15.5" x14ac:dyDescent="0.35"/>
  <cols>
    <col min="1" max="1" width="30.58203125" style="10" customWidth="1"/>
    <col min="2" max="2" width="12.58203125" style="10" customWidth="1"/>
    <col min="3" max="8" width="12.58203125" style="17" customWidth="1"/>
    <col min="9" max="9" width="12.58203125" style="10" customWidth="1"/>
    <col min="10" max="16384" width="8.6640625" style="10"/>
  </cols>
  <sheetData>
    <row r="1" spans="1:9" x14ac:dyDescent="0.35">
      <c r="A1" s="14" t="s">
        <v>23</v>
      </c>
      <c r="B1" s="14"/>
      <c r="C1" s="15">
        <v>0</v>
      </c>
      <c r="D1" s="15">
        <v>1</v>
      </c>
      <c r="E1" s="15">
        <v>2</v>
      </c>
      <c r="F1" s="15">
        <v>3</v>
      </c>
      <c r="G1" s="15">
        <v>4</v>
      </c>
      <c r="H1" s="15">
        <v>5</v>
      </c>
    </row>
    <row r="2" spans="1:9" x14ac:dyDescent="0.35">
      <c r="A2" s="14" t="s">
        <v>24</v>
      </c>
      <c r="B2" s="14"/>
      <c r="C2" s="16">
        <f>Input!B2</f>
        <v>45383</v>
      </c>
      <c r="D2" s="16">
        <f>EOMONTH(C2,11)</f>
        <v>45747</v>
      </c>
      <c r="E2" s="16">
        <f>EOMONTH(D2,12)</f>
        <v>46112</v>
      </c>
      <c r="F2" s="16">
        <f t="shared" ref="F2:H2" si="0">EOMONTH(E2,12)</f>
        <v>46477</v>
      </c>
      <c r="G2" s="16">
        <f t="shared" si="0"/>
        <v>46843</v>
      </c>
      <c r="H2" s="16">
        <f t="shared" si="0"/>
        <v>47208</v>
      </c>
    </row>
    <row r="3" spans="1:9" x14ac:dyDescent="0.35">
      <c r="A3" s="51" t="s">
        <v>127</v>
      </c>
    </row>
    <row r="4" spans="1:9" x14ac:dyDescent="0.35">
      <c r="A4" s="10" t="s">
        <v>132</v>
      </c>
      <c r="D4" s="17">
        <f t="shared" ref="D4:H4" si="1">C7</f>
        <v>0</v>
      </c>
      <c r="E4" s="17">
        <f t="shared" si="1"/>
        <v>3000000</v>
      </c>
      <c r="F4" s="17">
        <f t="shared" si="1"/>
        <v>3000000</v>
      </c>
      <c r="G4" s="17">
        <f t="shared" si="1"/>
        <v>3000000</v>
      </c>
      <c r="H4" s="17">
        <f t="shared" si="1"/>
        <v>3000000</v>
      </c>
      <c r="I4" s="1"/>
    </row>
    <row r="5" spans="1:9" x14ac:dyDescent="0.35">
      <c r="A5" s="10" t="s">
        <v>133</v>
      </c>
      <c r="D5" s="17">
        <f>Input!B18</f>
        <v>3000000</v>
      </c>
      <c r="I5" s="1"/>
    </row>
    <row r="6" spans="1:9" x14ac:dyDescent="0.35">
      <c r="A6" s="10" t="s">
        <v>134</v>
      </c>
      <c r="D6" s="17">
        <v>0</v>
      </c>
      <c r="E6" s="17">
        <v>0</v>
      </c>
      <c r="F6" s="17">
        <v>0</v>
      </c>
      <c r="G6" s="17">
        <v>0</v>
      </c>
      <c r="H6" s="17">
        <v>0</v>
      </c>
      <c r="I6" s="1"/>
    </row>
    <row r="7" spans="1:9" x14ac:dyDescent="0.35">
      <c r="A7" s="19" t="s">
        <v>135</v>
      </c>
      <c r="B7" s="20"/>
      <c r="C7" s="21"/>
      <c r="D7" s="21">
        <f t="shared" ref="D7:H7" si="2">D4+D5-D6</f>
        <v>3000000</v>
      </c>
      <c r="E7" s="21">
        <f t="shared" si="2"/>
        <v>3000000</v>
      </c>
      <c r="F7" s="21">
        <f t="shared" si="2"/>
        <v>3000000</v>
      </c>
      <c r="G7" s="21">
        <f t="shared" si="2"/>
        <v>3000000</v>
      </c>
      <c r="H7" s="21">
        <f t="shared" si="2"/>
        <v>3000000</v>
      </c>
      <c r="I7" s="1"/>
    </row>
    <row r="8" spans="1:9" x14ac:dyDescent="0.35">
      <c r="A8" s="10" t="s">
        <v>136</v>
      </c>
      <c r="D8" s="17">
        <f>Input!$B$27*'Fixed Assets'!D7</f>
        <v>150000</v>
      </c>
      <c r="E8" s="17">
        <f>Input!$B$27*'Fixed Assets'!E7+D8</f>
        <v>300000</v>
      </c>
      <c r="F8" s="17">
        <f>Input!$B$27*'Fixed Assets'!F7+E8</f>
        <v>450000</v>
      </c>
      <c r="G8" s="17">
        <f>Input!$B$27*'Fixed Assets'!G7+F8</f>
        <v>600000</v>
      </c>
      <c r="H8" s="17">
        <f>Input!$B$27*'Fixed Assets'!H7+G8</f>
        <v>750000</v>
      </c>
      <c r="I8" s="1"/>
    </row>
    <row r="9" spans="1:9" x14ac:dyDescent="0.35">
      <c r="A9" s="25" t="s">
        <v>137</v>
      </c>
      <c r="B9" s="25"/>
      <c r="C9" s="33"/>
      <c r="D9" s="33">
        <f t="shared" ref="D9:H9" si="3">D7-D8</f>
        <v>2850000</v>
      </c>
      <c r="E9" s="33">
        <f t="shared" si="3"/>
        <v>2700000</v>
      </c>
      <c r="F9" s="33">
        <f t="shared" si="3"/>
        <v>2550000</v>
      </c>
      <c r="G9" s="33">
        <f t="shared" si="3"/>
        <v>2400000</v>
      </c>
      <c r="H9" s="33">
        <f t="shared" si="3"/>
        <v>2250000</v>
      </c>
    </row>
    <row r="11" spans="1:9" x14ac:dyDescent="0.35">
      <c r="A11" s="10" t="s">
        <v>138</v>
      </c>
      <c r="D11" s="17">
        <f>D8-C8</f>
        <v>150000</v>
      </c>
      <c r="E11" s="17">
        <f t="shared" ref="E11:H11" si="4">E8-D8</f>
        <v>150000</v>
      </c>
      <c r="F11" s="17">
        <f t="shared" si="4"/>
        <v>150000</v>
      </c>
      <c r="G11" s="17">
        <f t="shared" si="4"/>
        <v>150000</v>
      </c>
      <c r="H11" s="17">
        <f t="shared" si="4"/>
        <v>150000</v>
      </c>
    </row>
    <row r="13" spans="1:9" x14ac:dyDescent="0.35">
      <c r="A13" s="51" t="s">
        <v>17</v>
      </c>
    </row>
    <row r="14" spans="1:9" x14ac:dyDescent="0.35">
      <c r="A14" s="10" t="s">
        <v>132</v>
      </c>
      <c r="D14" s="17">
        <f t="shared" ref="D14:H14" si="5">C17</f>
        <v>0</v>
      </c>
      <c r="E14" s="17">
        <f t="shared" si="5"/>
        <v>1100000</v>
      </c>
      <c r="F14" s="17">
        <f t="shared" si="5"/>
        <v>1100000</v>
      </c>
      <c r="G14" s="17">
        <f t="shared" si="5"/>
        <v>1100000</v>
      </c>
      <c r="H14" s="17">
        <f t="shared" si="5"/>
        <v>1100000</v>
      </c>
    </row>
    <row r="15" spans="1:9" x14ac:dyDescent="0.35">
      <c r="A15" s="10" t="s">
        <v>133</v>
      </c>
      <c r="D15" s="17">
        <f>Input!B19</f>
        <v>1100000</v>
      </c>
    </row>
    <row r="16" spans="1:9" x14ac:dyDescent="0.35">
      <c r="A16" s="10" t="s">
        <v>134</v>
      </c>
      <c r="D16" s="17">
        <v>0</v>
      </c>
      <c r="E16" s="17">
        <v>0</v>
      </c>
      <c r="F16" s="17">
        <v>0</v>
      </c>
      <c r="G16" s="17">
        <v>0</v>
      </c>
      <c r="H16" s="17">
        <v>0</v>
      </c>
    </row>
    <row r="17" spans="1:8" x14ac:dyDescent="0.35">
      <c r="A17" s="19" t="s">
        <v>135</v>
      </c>
      <c r="B17" s="20"/>
      <c r="C17" s="21"/>
      <c r="D17" s="21">
        <f t="shared" ref="D17" si="6">D14+D15-D16</f>
        <v>1100000</v>
      </c>
      <c r="E17" s="21">
        <f t="shared" ref="E17" si="7">E14+E15-E16</f>
        <v>1100000</v>
      </c>
      <c r="F17" s="21">
        <f t="shared" ref="F17" si="8">F14+F15-F16</f>
        <v>1100000</v>
      </c>
      <c r="G17" s="21">
        <f t="shared" ref="G17" si="9">G14+G15-G16</f>
        <v>1100000</v>
      </c>
      <c r="H17" s="21">
        <f t="shared" ref="H17" si="10">H14+H15-H16</f>
        <v>1100000</v>
      </c>
    </row>
    <row r="18" spans="1:8" x14ac:dyDescent="0.35">
      <c r="A18" s="10" t="s">
        <v>136</v>
      </c>
      <c r="D18" s="17">
        <f>C18+D17*Input!$B$28</f>
        <v>110000</v>
      </c>
      <c r="E18" s="17">
        <f>D18+E17*Input!$B$28</f>
        <v>220000</v>
      </c>
      <c r="F18" s="17">
        <f>E18+F17*Input!$B$28</f>
        <v>330000</v>
      </c>
      <c r="G18" s="17">
        <f>F18+G17*Input!$B$28</f>
        <v>440000</v>
      </c>
      <c r="H18" s="17">
        <f>G18+H17*Input!$B$28</f>
        <v>550000</v>
      </c>
    </row>
    <row r="19" spans="1:8" x14ac:dyDescent="0.35">
      <c r="A19" s="25" t="s">
        <v>137</v>
      </c>
      <c r="B19" s="25"/>
      <c r="C19" s="33"/>
      <c r="D19" s="33">
        <f t="shared" ref="D19" si="11">D17-D18</f>
        <v>990000</v>
      </c>
      <c r="E19" s="33">
        <f t="shared" ref="E19" si="12">E17-E18</f>
        <v>880000</v>
      </c>
      <c r="F19" s="33">
        <f t="shared" ref="F19" si="13">F17-F18</f>
        <v>770000</v>
      </c>
      <c r="G19" s="33">
        <f t="shared" ref="G19" si="14">G17-G18</f>
        <v>660000</v>
      </c>
      <c r="H19" s="33">
        <f t="shared" ref="H19" si="15">H17-H18</f>
        <v>550000</v>
      </c>
    </row>
    <row r="21" spans="1:8" x14ac:dyDescent="0.35">
      <c r="A21" s="10" t="s">
        <v>139</v>
      </c>
      <c r="D21" s="17">
        <f>D18-C18</f>
        <v>110000</v>
      </c>
      <c r="E21" s="17">
        <f t="shared" ref="E21:H21" si="16">E18-D18</f>
        <v>110000</v>
      </c>
      <c r="F21" s="17">
        <f t="shared" si="16"/>
        <v>110000</v>
      </c>
      <c r="G21" s="17">
        <f t="shared" si="16"/>
        <v>110000</v>
      </c>
      <c r="H21" s="17">
        <f t="shared" si="16"/>
        <v>110000</v>
      </c>
    </row>
    <row r="24" spans="1:8" x14ac:dyDescent="0.35">
      <c r="A24" s="51" t="s">
        <v>128</v>
      </c>
    </row>
    <row r="25" spans="1:8" x14ac:dyDescent="0.35">
      <c r="A25" s="10" t="s">
        <v>132</v>
      </c>
      <c r="D25" s="17">
        <f t="shared" ref="D25:H25" si="17">C28</f>
        <v>0</v>
      </c>
      <c r="E25" s="17">
        <f t="shared" si="17"/>
        <v>5000000</v>
      </c>
      <c r="F25" s="17">
        <f t="shared" si="17"/>
        <v>5000000</v>
      </c>
      <c r="G25" s="17">
        <f t="shared" si="17"/>
        <v>5000000</v>
      </c>
      <c r="H25" s="17">
        <f t="shared" si="17"/>
        <v>5000000</v>
      </c>
    </row>
    <row r="26" spans="1:8" x14ac:dyDescent="0.35">
      <c r="A26" s="10" t="s">
        <v>133</v>
      </c>
      <c r="D26" s="17">
        <f>Input!B20</f>
        <v>5000000</v>
      </c>
    </row>
    <row r="27" spans="1:8" x14ac:dyDescent="0.35">
      <c r="A27" s="10" t="s">
        <v>134</v>
      </c>
      <c r="D27" s="17">
        <v>0</v>
      </c>
      <c r="E27" s="17">
        <v>0</v>
      </c>
      <c r="F27" s="17">
        <v>0</v>
      </c>
      <c r="G27" s="17">
        <v>0</v>
      </c>
      <c r="H27" s="17">
        <v>0</v>
      </c>
    </row>
    <row r="28" spans="1:8" x14ac:dyDescent="0.35">
      <c r="A28" s="19" t="s">
        <v>135</v>
      </c>
      <c r="B28" s="20"/>
      <c r="C28" s="21"/>
      <c r="D28" s="21">
        <f t="shared" ref="D28" si="18">D25+D26-D27</f>
        <v>5000000</v>
      </c>
      <c r="E28" s="21">
        <f t="shared" ref="E28" si="19">E25+E26-E27</f>
        <v>5000000</v>
      </c>
      <c r="F28" s="21">
        <f t="shared" ref="F28" si="20">F25+F26-F27</f>
        <v>5000000</v>
      </c>
      <c r="G28" s="21">
        <f t="shared" ref="G28" si="21">G25+G26-G27</f>
        <v>5000000</v>
      </c>
      <c r="H28" s="21">
        <f t="shared" ref="H28" si="22">H25+H26-H27</f>
        <v>5000000</v>
      </c>
    </row>
    <row r="29" spans="1:8" x14ac:dyDescent="0.35">
      <c r="A29" s="10" t="s">
        <v>136</v>
      </c>
      <c r="D29" s="17">
        <f>C29+D28*Input!$B$29</f>
        <v>500000</v>
      </c>
      <c r="E29" s="17">
        <f>D29+E28*Input!$B$29</f>
        <v>1000000</v>
      </c>
      <c r="F29" s="17">
        <f>E29+F28*Input!$B$29</f>
        <v>1500000</v>
      </c>
      <c r="G29" s="17">
        <f>F29+G28*Input!$B$29</f>
        <v>2000000</v>
      </c>
      <c r="H29" s="17">
        <f>G29+H28*Input!$B$29</f>
        <v>2500000</v>
      </c>
    </row>
    <row r="30" spans="1:8" x14ac:dyDescent="0.35">
      <c r="A30" s="25" t="s">
        <v>137</v>
      </c>
      <c r="B30" s="25"/>
      <c r="C30" s="33"/>
      <c r="D30" s="33">
        <f t="shared" ref="D30" si="23">D28-D29</f>
        <v>4500000</v>
      </c>
      <c r="E30" s="33">
        <f t="shared" ref="E30" si="24">E28-E29</f>
        <v>4000000</v>
      </c>
      <c r="F30" s="33">
        <f t="shared" ref="F30" si="25">F28-F29</f>
        <v>3500000</v>
      </c>
      <c r="G30" s="33">
        <f t="shared" ref="G30" si="26">G28-G29</f>
        <v>3000000</v>
      </c>
      <c r="H30" s="33">
        <f t="shared" ref="H30" si="27">H28-H29</f>
        <v>2500000</v>
      </c>
    </row>
    <row r="32" spans="1:8" x14ac:dyDescent="0.35">
      <c r="A32" s="10" t="s">
        <v>140</v>
      </c>
      <c r="D32" s="17">
        <f>D29-C29</f>
        <v>500000</v>
      </c>
      <c r="E32" s="17">
        <f t="shared" ref="E32:H32" si="28">E29-D29</f>
        <v>500000</v>
      </c>
      <c r="F32" s="17">
        <f t="shared" si="28"/>
        <v>500000</v>
      </c>
      <c r="G32" s="17">
        <f t="shared" si="28"/>
        <v>500000</v>
      </c>
      <c r="H32" s="17">
        <f t="shared" si="28"/>
        <v>500000</v>
      </c>
    </row>
    <row r="34" spans="1:8" x14ac:dyDescent="0.35">
      <c r="A34" s="51" t="s">
        <v>129</v>
      </c>
    </row>
    <row r="35" spans="1:8" x14ac:dyDescent="0.35">
      <c r="A35" s="10" t="s">
        <v>132</v>
      </c>
      <c r="D35" s="17">
        <f t="shared" ref="D35:H35" si="29">C38</f>
        <v>0</v>
      </c>
      <c r="E35" s="17">
        <f t="shared" si="29"/>
        <v>2000000</v>
      </c>
      <c r="F35" s="17">
        <f t="shared" si="29"/>
        <v>2000000</v>
      </c>
      <c r="G35" s="17">
        <f t="shared" si="29"/>
        <v>2000000</v>
      </c>
      <c r="H35" s="17">
        <f t="shared" si="29"/>
        <v>2000000</v>
      </c>
    </row>
    <row r="36" spans="1:8" x14ac:dyDescent="0.35">
      <c r="A36" s="10" t="s">
        <v>133</v>
      </c>
      <c r="D36" s="17">
        <f>Input!B21</f>
        <v>2000000</v>
      </c>
    </row>
    <row r="37" spans="1:8" x14ac:dyDescent="0.35">
      <c r="A37" s="10" t="s">
        <v>134</v>
      </c>
      <c r="D37" s="17">
        <v>0</v>
      </c>
      <c r="E37" s="17">
        <v>0</v>
      </c>
      <c r="F37" s="17">
        <v>0</v>
      </c>
      <c r="G37" s="17">
        <v>0</v>
      </c>
      <c r="H37" s="17">
        <v>0</v>
      </c>
    </row>
    <row r="38" spans="1:8" x14ac:dyDescent="0.35">
      <c r="A38" s="19" t="s">
        <v>135</v>
      </c>
      <c r="B38" s="20"/>
      <c r="C38" s="21"/>
      <c r="D38" s="21">
        <f t="shared" ref="D38" si="30">D35+D36-D37</f>
        <v>2000000</v>
      </c>
      <c r="E38" s="21">
        <f t="shared" ref="E38" si="31">E35+E36-E37</f>
        <v>2000000</v>
      </c>
      <c r="F38" s="21">
        <f t="shared" ref="F38" si="32">F35+F36-F37</f>
        <v>2000000</v>
      </c>
      <c r="G38" s="21">
        <f t="shared" ref="G38" si="33">G35+G36-G37</f>
        <v>2000000</v>
      </c>
      <c r="H38" s="21">
        <f t="shared" ref="H38" si="34">H35+H36-H37</f>
        <v>2000000</v>
      </c>
    </row>
    <row r="39" spans="1:8" x14ac:dyDescent="0.35">
      <c r="A39" s="10" t="s">
        <v>136</v>
      </c>
      <c r="D39" s="17">
        <f>C39+D38*Input!$B$30</f>
        <v>200000</v>
      </c>
      <c r="E39" s="17">
        <f>D39+E38*Input!$B$30</f>
        <v>400000</v>
      </c>
      <c r="F39" s="17">
        <f>E39+F38*Input!$B$30</f>
        <v>600000</v>
      </c>
      <c r="G39" s="17">
        <f>F39+G38*Input!$B$30</f>
        <v>800000</v>
      </c>
      <c r="H39" s="17">
        <f>G39+H38*Input!$B$30</f>
        <v>1000000</v>
      </c>
    </row>
    <row r="40" spans="1:8" x14ac:dyDescent="0.35">
      <c r="A40" s="25" t="s">
        <v>137</v>
      </c>
      <c r="B40" s="25"/>
      <c r="C40" s="33"/>
      <c r="D40" s="33">
        <f t="shared" ref="D40" si="35">D38-D39</f>
        <v>1800000</v>
      </c>
      <c r="E40" s="33">
        <f t="shared" ref="E40" si="36">E38-E39</f>
        <v>1600000</v>
      </c>
      <c r="F40" s="33">
        <f t="shared" ref="F40" si="37">F38-F39</f>
        <v>1400000</v>
      </c>
      <c r="G40" s="33">
        <f t="shared" ref="G40" si="38">G38-G39</f>
        <v>1200000</v>
      </c>
      <c r="H40" s="33">
        <f t="shared" ref="H40" si="39">H38-H39</f>
        <v>1000000</v>
      </c>
    </row>
    <row r="42" spans="1:8" x14ac:dyDescent="0.35">
      <c r="A42" s="10" t="s">
        <v>141</v>
      </c>
      <c r="D42" s="17">
        <f>D39-C39</f>
        <v>200000</v>
      </c>
      <c r="E42" s="17">
        <f t="shared" ref="E42:H42" si="40">E39-D39</f>
        <v>200000</v>
      </c>
      <c r="F42" s="17">
        <f t="shared" si="40"/>
        <v>200000</v>
      </c>
      <c r="G42" s="17">
        <f t="shared" si="40"/>
        <v>200000</v>
      </c>
      <c r="H42" s="17">
        <f t="shared" si="40"/>
        <v>200000</v>
      </c>
    </row>
    <row r="44" spans="1:8" x14ac:dyDescent="0.35">
      <c r="A44" s="51" t="s">
        <v>130</v>
      </c>
    </row>
    <row r="45" spans="1:8" x14ac:dyDescent="0.35">
      <c r="A45" s="10" t="s">
        <v>132</v>
      </c>
      <c r="D45" s="17">
        <f t="shared" ref="D45:H45" si="41">C48</f>
        <v>0</v>
      </c>
      <c r="E45" s="17">
        <f t="shared" si="41"/>
        <v>1000000</v>
      </c>
      <c r="F45" s="17">
        <f t="shared" si="41"/>
        <v>1000000</v>
      </c>
      <c r="G45" s="17">
        <f t="shared" si="41"/>
        <v>1000000</v>
      </c>
      <c r="H45" s="17">
        <f t="shared" si="41"/>
        <v>1000000</v>
      </c>
    </row>
    <row r="46" spans="1:8" x14ac:dyDescent="0.35">
      <c r="A46" s="10" t="s">
        <v>133</v>
      </c>
      <c r="D46" s="17">
        <f>Input!B22</f>
        <v>1000000</v>
      </c>
    </row>
    <row r="47" spans="1:8" x14ac:dyDescent="0.35">
      <c r="A47" s="10" t="s">
        <v>134</v>
      </c>
      <c r="D47" s="17">
        <v>0</v>
      </c>
      <c r="E47" s="17">
        <v>0</v>
      </c>
      <c r="F47" s="17">
        <v>0</v>
      </c>
      <c r="G47" s="17">
        <v>0</v>
      </c>
      <c r="H47" s="17">
        <v>0</v>
      </c>
    </row>
    <row r="48" spans="1:8" x14ac:dyDescent="0.35">
      <c r="A48" s="19" t="s">
        <v>135</v>
      </c>
      <c r="B48" s="20"/>
      <c r="C48" s="21"/>
      <c r="D48" s="21">
        <f t="shared" ref="D48" si="42">D45+D46-D47</f>
        <v>1000000</v>
      </c>
      <c r="E48" s="21">
        <f t="shared" ref="E48" si="43">E45+E46-E47</f>
        <v>1000000</v>
      </c>
      <c r="F48" s="21">
        <f t="shared" ref="F48" si="44">F45+F46-F47</f>
        <v>1000000</v>
      </c>
      <c r="G48" s="21">
        <f t="shared" ref="G48" si="45">G45+G46-G47</f>
        <v>1000000</v>
      </c>
      <c r="H48" s="21">
        <f t="shared" ref="H48" si="46">H45+H46-H47</f>
        <v>1000000</v>
      </c>
    </row>
    <row r="49" spans="1:11" x14ac:dyDescent="0.35">
      <c r="A49" s="10" t="s">
        <v>136</v>
      </c>
      <c r="D49" s="17">
        <f>C49+D48*Input!$B$31</f>
        <v>100000</v>
      </c>
      <c r="E49" s="17">
        <f>D49+E48*Input!$B$31</f>
        <v>200000</v>
      </c>
      <c r="F49" s="17">
        <f>E49+F48*Input!$B$31</f>
        <v>300000</v>
      </c>
      <c r="G49" s="17">
        <f>F49+G48*Input!$B$31</f>
        <v>400000</v>
      </c>
      <c r="H49" s="17">
        <f>G49+H48*Input!$B$31</f>
        <v>500000</v>
      </c>
    </row>
    <row r="50" spans="1:11" x14ac:dyDescent="0.35">
      <c r="A50" s="25" t="s">
        <v>137</v>
      </c>
      <c r="B50" s="25"/>
      <c r="C50" s="33"/>
      <c r="D50" s="33">
        <f t="shared" ref="D50" si="47">D48-D49</f>
        <v>900000</v>
      </c>
      <c r="E50" s="33">
        <f t="shared" ref="E50" si="48">E48-E49</f>
        <v>800000</v>
      </c>
      <c r="F50" s="33">
        <f t="shared" ref="F50" si="49">F48-F49</f>
        <v>700000</v>
      </c>
      <c r="G50" s="33">
        <f t="shared" ref="G50" si="50">G48-G49</f>
        <v>600000</v>
      </c>
      <c r="H50" s="33">
        <f t="shared" ref="H50" si="51">H48-H49</f>
        <v>500000</v>
      </c>
    </row>
    <row r="52" spans="1:11" x14ac:dyDescent="0.35">
      <c r="A52" s="10" t="s">
        <v>142</v>
      </c>
      <c r="D52" s="17">
        <f>D49-C49</f>
        <v>100000</v>
      </c>
      <c r="E52" s="17">
        <f t="shared" ref="E52:H52" si="52">E49-D49</f>
        <v>100000</v>
      </c>
      <c r="F52" s="17">
        <f t="shared" si="52"/>
        <v>100000</v>
      </c>
      <c r="G52" s="17">
        <f t="shared" si="52"/>
        <v>100000</v>
      </c>
      <c r="H52" s="17">
        <f t="shared" si="52"/>
        <v>100000</v>
      </c>
    </row>
    <row r="54" spans="1:11" x14ac:dyDescent="0.35">
      <c r="A54" s="51" t="s">
        <v>131</v>
      </c>
    </row>
    <row r="55" spans="1:11" x14ac:dyDescent="0.35">
      <c r="A55" s="10" t="s">
        <v>132</v>
      </c>
      <c r="D55" s="17">
        <f t="shared" ref="D55:H55" si="53">C58</f>
        <v>0</v>
      </c>
      <c r="E55" s="17">
        <f t="shared" si="53"/>
        <v>3500000</v>
      </c>
      <c r="F55" s="17">
        <f t="shared" si="53"/>
        <v>3500000</v>
      </c>
      <c r="G55" s="17">
        <f t="shared" si="53"/>
        <v>3500000</v>
      </c>
      <c r="H55" s="17">
        <f t="shared" si="53"/>
        <v>3500000</v>
      </c>
    </row>
    <row r="56" spans="1:11" x14ac:dyDescent="0.35">
      <c r="A56" s="10" t="s">
        <v>133</v>
      </c>
      <c r="D56" s="17">
        <f>Input!B23</f>
        <v>3500000</v>
      </c>
    </row>
    <row r="57" spans="1:11" x14ac:dyDescent="0.35">
      <c r="A57" s="10" t="s">
        <v>134</v>
      </c>
      <c r="D57" s="17">
        <v>0</v>
      </c>
      <c r="E57" s="17">
        <v>0</v>
      </c>
      <c r="F57" s="17">
        <v>0</v>
      </c>
      <c r="G57" s="17">
        <v>0</v>
      </c>
      <c r="H57" s="17">
        <v>0</v>
      </c>
    </row>
    <row r="58" spans="1:11" x14ac:dyDescent="0.35">
      <c r="A58" s="19" t="s">
        <v>135</v>
      </c>
      <c r="B58" s="20"/>
      <c r="C58" s="21"/>
      <c r="D58" s="21">
        <f t="shared" ref="D58" si="54">D55+D56-D57</f>
        <v>3500000</v>
      </c>
      <c r="E58" s="21">
        <f t="shared" ref="E58" si="55">E55+E56-E57</f>
        <v>3500000</v>
      </c>
      <c r="F58" s="21">
        <f t="shared" ref="F58" si="56">F55+F56-F57</f>
        <v>3500000</v>
      </c>
      <c r="G58" s="21">
        <f t="shared" ref="G58" si="57">G55+G56-G57</f>
        <v>3500000</v>
      </c>
      <c r="H58" s="21">
        <f t="shared" ref="H58" si="58">H55+H56-H57</f>
        <v>3500000</v>
      </c>
    </row>
    <row r="59" spans="1:11" x14ac:dyDescent="0.35">
      <c r="A59" s="10" t="s">
        <v>136</v>
      </c>
      <c r="D59" s="17">
        <f>C59+D58*Input!$B$32</f>
        <v>525000</v>
      </c>
      <c r="E59" s="17">
        <f>D59+E58*Input!$B$32</f>
        <v>1050000</v>
      </c>
      <c r="F59" s="17">
        <f>E59+F58*Input!$B$32</f>
        <v>1575000</v>
      </c>
      <c r="G59" s="17">
        <f>F59+G58*Input!$B$32</f>
        <v>2100000</v>
      </c>
      <c r="H59" s="17">
        <f>G59+H58*Input!$B$32</f>
        <v>2625000</v>
      </c>
    </row>
    <row r="60" spans="1:11" x14ac:dyDescent="0.35">
      <c r="A60" s="25" t="s">
        <v>137</v>
      </c>
      <c r="B60" s="25"/>
      <c r="C60" s="33"/>
      <c r="D60" s="33">
        <f t="shared" ref="D60" si="59">D58-D59</f>
        <v>2975000</v>
      </c>
      <c r="E60" s="33">
        <f t="shared" ref="E60" si="60">E58-E59</f>
        <v>2450000</v>
      </c>
      <c r="F60" s="33">
        <f t="shared" ref="F60" si="61">F58-F59</f>
        <v>1925000</v>
      </c>
      <c r="G60" s="33">
        <f t="shared" ref="G60" si="62">G58-G59</f>
        <v>1400000</v>
      </c>
      <c r="H60" s="33">
        <f t="shared" ref="H60" si="63">H58-H59</f>
        <v>875000</v>
      </c>
    </row>
    <row r="62" spans="1:11" x14ac:dyDescent="0.35">
      <c r="A62" s="10" t="s">
        <v>143</v>
      </c>
      <c r="D62" s="17">
        <f>D59-C59</f>
        <v>525000</v>
      </c>
      <c r="E62" s="17">
        <f t="shared" ref="E62:H62" si="64">E59-D59</f>
        <v>525000</v>
      </c>
      <c r="F62" s="17">
        <f t="shared" si="64"/>
        <v>525000</v>
      </c>
      <c r="G62" s="17">
        <f t="shared" si="64"/>
        <v>525000</v>
      </c>
      <c r="H62" s="17">
        <f t="shared" si="64"/>
        <v>525000</v>
      </c>
    </row>
    <row r="64" spans="1:11" x14ac:dyDescent="0.35">
      <c r="A64" s="76" t="s">
        <v>167</v>
      </c>
      <c r="B64" s="74"/>
      <c r="C64" s="75"/>
      <c r="D64" s="75"/>
      <c r="E64" s="75"/>
      <c r="F64" s="75"/>
      <c r="G64" s="75"/>
      <c r="H64" s="75"/>
      <c r="I64" s="74"/>
      <c r="J64" s="74"/>
      <c r="K64" s="7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F444E-D44D-41B7-8F13-301A03249FBB}">
  <dimension ref="A1:K31"/>
  <sheetViews>
    <sheetView showGridLines="0" workbookViewId="0">
      <pane xSplit="1" ySplit="2" topLeftCell="B20" activePane="bottomRight" state="frozen"/>
      <selection pane="topRight" activeCell="B1" sqref="B1"/>
      <selection pane="bottomLeft" activeCell="A3" sqref="A3"/>
      <selection pane="bottomRight" activeCell="A31" sqref="A31:K31"/>
    </sheetView>
  </sheetViews>
  <sheetFormatPr defaultRowHeight="15.5" x14ac:dyDescent="0.35"/>
  <cols>
    <col min="1" max="1" width="30.58203125" style="10" customWidth="1"/>
    <col min="2" max="2" width="12.58203125" style="10" customWidth="1"/>
    <col min="3" max="8" width="12.58203125" style="17" customWidth="1"/>
    <col min="9" max="9" width="12.58203125" style="10" customWidth="1"/>
    <col min="10" max="16384" width="8.6640625" style="10"/>
  </cols>
  <sheetData>
    <row r="1" spans="1:8" x14ac:dyDescent="0.35">
      <c r="A1" s="14" t="s">
        <v>23</v>
      </c>
      <c r="B1" s="14"/>
      <c r="C1" s="15">
        <v>0</v>
      </c>
      <c r="D1" s="15">
        <v>1</v>
      </c>
      <c r="E1" s="15">
        <v>2</v>
      </c>
      <c r="F1" s="15">
        <v>3</v>
      </c>
      <c r="G1" s="15">
        <v>4</v>
      </c>
      <c r="H1" s="15">
        <v>5</v>
      </c>
    </row>
    <row r="2" spans="1:8" x14ac:dyDescent="0.35">
      <c r="A2" s="56" t="s">
        <v>24</v>
      </c>
      <c r="B2" s="14"/>
      <c r="C2" s="16">
        <f>Input!B2</f>
        <v>45383</v>
      </c>
      <c r="D2" s="16">
        <f>EOMONTH(C2,11)</f>
        <v>45747</v>
      </c>
      <c r="E2" s="16">
        <f>EOMONTH(D2,12)</f>
        <v>46112</v>
      </c>
      <c r="F2" s="16">
        <f t="shared" ref="F2:H2" si="0">EOMONTH(E2,12)</f>
        <v>46477</v>
      </c>
      <c r="G2" s="16">
        <f t="shared" si="0"/>
        <v>46843</v>
      </c>
      <c r="H2" s="16">
        <f t="shared" si="0"/>
        <v>47208</v>
      </c>
    </row>
    <row r="3" spans="1:8" x14ac:dyDescent="0.35">
      <c r="A3" s="18" t="s">
        <v>144</v>
      </c>
    </row>
    <row r="4" spans="1:8" x14ac:dyDescent="0.35">
      <c r="A4" s="18" t="s">
        <v>145</v>
      </c>
    </row>
    <row r="5" spans="1:8" x14ac:dyDescent="0.35">
      <c r="A5" s="10" t="s">
        <v>147</v>
      </c>
      <c r="D5" s="17">
        <f>Input!$B$24</f>
        <v>15600000</v>
      </c>
      <c r="E5" s="17">
        <f>Input!$B$24</f>
        <v>15600000</v>
      </c>
      <c r="F5" s="17">
        <f>Input!$B$24</f>
        <v>15600000</v>
      </c>
      <c r="G5" s="17">
        <f>Input!$B$24</f>
        <v>15600000</v>
      </c>
      <c r="H5" s="17">
        <f>Input!$B$24</f>
        <v>15600000</v>
      </c>
    </row>
    <row r="6" spans="1:8" x14ac:dyDescent="0.35">
      <c r="A6" s="10" t="s">
        <v>148</v>
      </c>
      <c r="D6" s="17">
        <f>'P&amp;L'!D39</f>
        <v>5885021.7718924852</v>
      </c>
      <c r="E6" s="17">
        <f>D6+'P&amp;L'!E39</f>
        <v>11728947.255475078</v>
      </c>
      <c r="F6" s="17">
        <f>E6+'P&amp;L'!F39</f>
        <v>19891361.440651402</v>
      </c>
      <c r="G6" s="17">
        <f>F6+'P&amp;L'!G39</f>
        <v>27922173.543922365</v>
      </c>
      <c r="H6" s="17">
        <f>G6+'P&amp;L'!H39</f>
        <v>36109196.599339262</v>
      </c>
    </row>
    <row r="7" spans="1:8" x14ac:dyDescent="0.35">
      <c r="A7" s="19" t="s">
        <v>149</v>
      </c>
      <c r="B7" s="20"/>
      <c r="C7" s="38"/>
      <c r="D7" s="38">
        <f t="shared" ref="D7:H7" si="1">D5+D6</f>
        <v>21485021.771892484</v>
      </c>
      <c r="E7" s="38">
        <f t="shared" si="1"/>
        <v>27328947.255475078</v>
      </c>
      <c r="F7" s="38">
        <f t="shared" si="1"/>
        <v>35491361.440651402</v>
      </c>
      <c r="G7" s="38">
        <f t="shared" si="1"/>
        <v>43522173.543922365</v>
      </c>
      <c r="H7" s="38">
        <f t="shared" si="1"/>
        <v>51709196.599339262</v>
      </c>
    </row>
    <row r="9" spans="1:8" x14ac:dyDescent="0.35">
      <c r="A9" s="10" t="s">
        <v>146</v>
      </c>
    </row>
    <row r="10" spans="1:8" x14ac:dyDescent="0.35">
      <c r="A10" s="10" t="s">
        <v>152</v>
      </c>
    </row>
    <row r="11" spans="1:8" x14ac:dyDescent="0.35">
      <c r="A11" s="10" t="s">
        <v>150</v>
      </c>
      <c r="D11" s="17">
        <v>0</v>
      </c>
      <c r="E11" s="17">
        <v>0</v>
      </c>
      <c r="F11" s="17">
        <v>0</v>
      </c>
      <c r="G11" s="17">
        <v>0</v>
      </c>
      <c r="H11" s="17">
        <v>0</v>
      </c>
    </row>
    <row r="13" spans="1:8" x14ac:dyDescent="0.35">
      <c r="A13" s="18" t="s">
        <v>151</v>
      </c>
    </row>
    <row r="14" spans="1:8" x14ac:dyDescent="0.35">
      <c r="A14" s="10" t="s">
        <v>153</v>
      </c>
      <c r="D14" s="17">
        <f>'P&amp;L'!D24/365*Input!$B$100</f>
        <v>2343398.6977315065</v>
      </c>
      <c r="E14" s="17">
        <f>'P&amp;L'!E24/365*Input!$B$100</f>
        <v>2853112.9033117802</v>
      </c>
      <c r="F14" s="17">
        <f>'P&amp;L'!F24/365*Input!$B$100</f>
        <v>3148024.3265082738</v>
      </c>
      <c r="G14" s="17">
        <f>'P&amp;L'!G24/365*Input!$B$100</f>
        <v>3755468.3945418089</v>
      </c>
      <c r="H14" s="17">
        <f>'P&amp;L'!H24/365*Input!$B$100</f>
        <v>3981897.9047221816</v>
      </c>
    </row>
    <row r="15" spans="1:8" x14ac:dyDescent="0.35">
      <c r="A15" s="57" t="s">
        <v>154</v>
      </c>
      <c r="B15" s="57"/>
      <c r="C15" s="58"/>
      <c r="D15" s="58">
        <f>D14+D11</f>
        <v>2343398.6977315065</v>
      </c>
      <c r="E15" s="58">
        <f t="shared" ref="E15:H15" si="2">E14+E11</f>
        <v>2853112.9033117802</v>
      </c>
      <c r="F15" s="58">
        <f t="shared" si="2"/>
        <v>3148024.3265082738</v>
      </c>
      <c r="G15" s="58">
        <f t="shared" si="2"/>
        <v>3755468.3945418089</v>
      </c>
      <c r="H15" s="58">
        <f t="shared" si="2"/>
        <v>3981897.9047221816</v>
      </c>
    </row>
    <row r="16" spans="1:8" x14ac:dyDescent="0.35">
      <c r="A16" s="25" t="s">
        <v>20</v>
      </c>
      <c r="B16" s="25"/>
      <c r="C16" s="33"/>
      <c r="D16" s="33">
        <f>D7+D15</f>
        <v>23828420.46962399</v>
      </c>
      <c r="E16" s="33">
        <f t="shared" ref="E16:H16" si="3">E7+E15</f>
        <v>30182060.158786859</v>
      </c>
      <c r="F16" s="33">
        <f t="shared" si="3"/>
        <v>38639385.767159678</v>
      </c>
      <c r="G16" s="33">
        <f t="shared" si="3"/>
        <v>47277641.938464172</v>
      </c>
      <c r="H16" s="33">
        <f t="shared" si="3"/>
        <v>55691094.504061446</v>
      </c>
    </row>
    <row r="18" spans="1:11" x14ac:dyDescent="0.35">
      <c r="A18" s="18" t="s">
        <v>155</v>
      </c>
    </row>
    <row r="19" spans="1:11" x14ac:dyDescent="0.35">
      <c r="A19" s="18" t="s">
        <v>156</v>
      </c>
    </row>
    <row r="20" spans="1:11" x14ac:dyDescent="0.35">
      <c r="A20" s="18" t="s">
        <v>157</v>
      </c>
    </row>
    <row r="21" spans="1:11" x14ac:dyDescent="0.35">
      <c r="A21" s="10" t="s">
        <v>135</v>
      </c>
      <c r="D21" s="17">
        <f ca="1">SUMIF('Fixed Assets'!$A$1:$H$62,'Balance Sheet'!$A21,'Fixed Assets'!D$1:D$62)</f>
        <v>15600000</v>
      </c>
      <c r="E21" s="17">
        <f ca="1">SUMIF('Fixed Assets'!$A$1:$H$62,'Balance Sheet'!$A21,'Fixed Assets'!E$1:E$62)</f>
        <v>15600000</v>
      </c>
      <c r="F21" s="17">
        <f ca="1">SUMIF('Fixed Assets'!$A$1:$H$62,'Balance Sheet'!$A21,'Fixed Assets'!F$1:F$62)</f>
        <v>15600000</v>
      </c>
      <c r="G21" s="17">
        <f ca="1">SUMIF('Fixed Assets'!$A$1:$H$62,'Balance Sheet'!$A21,'Fixed Assets'!G$1:G$62)</f>
        <v>15600000</v>
      </c>
      <c r="H21" s="17">
        <f ca="1">SUMIF('Fixed Assets'!$A$1:$H$62,'Balance Sheet'!$A21,'Fixed Assets'!H$1:H$62)</f>
        <v>15600000</v>
      </c>
    </row>
    <row r="22" spans="1:11" x14ac:dyDescent="0.35">
      <c r="A22" s="10" t="s">
        <v>136</v>
      </c>
      <c r="D22" s="17">
        <f ca="1">SUMIF('Fixed Assets'!$A$1:$H$62,'Balance Sheet'!$A22,'Fixed Assets'!D$1:D$62)</f>
        <v>1585000</v>
      </c>
      <c r="E22" s="17">
        <f ca="1">SUMIF('Fixed Assets'!$A$1:$H$62,'Balance Sheet'!$A22,'Fixed Assets'!E$1:E$62)</f>
        <v>3170000</v>
      </c>
      <c r="F22" s="17">
        <f ca="1">SUMIF('Fixed Assets'!$A$1:$H$62,'Balance Sheet'!$A22,'Fixed Assets'!F$1:F$62)</f>
        <v>4755000</v>
      </c>
      <c r="G22" s="17">
        <f ca="1">SUMIF('Fixed Assets'!$A$1:$H$62,'Balance Sheet'!$A22,'Fixed Assets'!G$1:G$62)</f>
        <v>6340000</v>
      </c>
      <c r="H22" s="17">
        <f ca="1">SUMIF('Fixed Assets'!$A$1:$H$62,'Balance Sheet'!$A22,'Fixed Assets'!H$1:H$62)</f>
        <v>7925000</v>
      </c>
    </row>
    <row r="23" spans="1:11" x14ac:dyDescent="0.35">
      <c r="A23" s="18" t="s">
        <v>137</v>
      </c>
      <c r="B23" s="18"/>
      <c r="C23" s="32"/>
      <c r="D23" s="32">
        <f ca="1">SUMIF('Fixed Assets'!$A$1:$H$62,'Balance Sheet'!$A23,'Fixed Assets'!D$1:D$62)</f>
        <v>14015000</v>
      </c>
      <c r="E23" s="32">
        <f ca="1">SUMIF('Fixed Assets'!$A$1:$H$62,'Balance Sheet'!$A23,'Fixed Assets'!E$1:E$62)</f>
        <v>12430000</v>
      </c>
      <c r="F23" s="32">
        <f ca="1">SUMIF('Fixed Assets'!$A$1:$H$62,'Balance Sheet'!$A23,'Fixed Assets'!F$1:F$62)</f>
        <v>10845000</v>
      </c>
      <c r="G23" s="32">
        <f ca="1">SUMIF('Fixed Assets'!$A$1:$H$62,'Balance Sheet'!$A23,'Fixed Assets'!G$1:G$62)</f>
        <v>9260000</v>
      </c>
      <c r="H23" s="32">
        <f ca="1">SUMIF('Fixed Assets'!$A$1:$H$62,'Balance Sheet'!$A23,'Fixed Assets'!H$1:H$62)</f>
        <v>7675000</v>
      </c>
    </row>
    <row r="25" spans="1:11" x14ac:dyDescent="0.35">
      <c r="A25" s="18" t="s">
        <v>158</v>
      </c>
    </row>
    <row r="26" spans="1:11" x14ac:dyDescent="0.35">
      <c r="A26" s="10" t="s">
        <v>159</v>
      </c>
      <c r="D26" s="17">
        <f>'P&amp;L'!D8/365*Input!$B$101</f>
        <v>413820.04055671237</v>
      </c>
      <c r="E26" s="17">
        <f>'P&amp;L'!E8/365*Input!$B$101</f>
        <v>480825.55020624661</v>
      </c>
      <c r="F26" s="17">
        <f>'P&amp;L'!F8/365*Input!$B$101</f>
        <v>553715.8342611288</v>
      </c>
      <c r="G26" s="17">
        <f>'P&amp;L'!G8/365*Input!$B$101</f>
        <v>632364.9225333042</v>
      </c>
      <c r="H26" s="17">
        <f>'P&amp;L'!H8/365*Input!$B$101</f>
        <v>664672.30531659641</v>
      </c>
    </row>
    <row r="27" spans="1:11" x14ac:dyDescent="0.35">
      <c r="A27" s="10" t="s">
        <v>160</v>
      </c>
      <c r="D27" s="17">
        <f>'Cash Flow'!D26</f>
        <v>9399600.4290672801</v>
      </c>
      <c r="E27" s="17">
        <f>'Cash Flow'!E26</f>
        <v>17271234.608580612</v>
      </c>
      <c r="F27" s="17">
        <f>'Cash Flow'!F26</f>
        <v>27240669.932898548</v>
      </c>
      <c r="G27" s="17">
        <f>'Cash Flow'!G26</f>
        <v>37385277.015930869</v>
      </c>
      <c r="H27" s="17">
        <f>'Cash Flow'!H26</f>
        <v>47351422.198744848</v>
      </c>
    </row>
    <row r="28" spans="1:11" x14ac:dyDescent="0.35">
      <c r="A28" s="26" t="s">
        <v>20</v>
      </c>
      <c r="B28" s="26"/>
      <c r="C28" s="52"/>
      <c r="D28" s="52">
        <f ca="1">D23+D26+D27</f>
        <v>23828420.46962399</v>
      </c>
      <c r="E28" s="52">
        <f t="shared" ref="E28:H28" ca="1" si="4">E23+E26+E27</f>
        <v>30182060.158786856</v>
      </c>
      <c r="F28" s="52">
        <f t="shared" ca="1" si="4"/>
        <v>38639385.767159678</v>
      </c>
      <c r="G28" s="52">
        <f t="shared" ca="1" si="4"/>
        <v>47277641.938464172</v>
      </c>
      <c r="H28" s="52">
        <f t="shared" ca="1" si="4"/>
        <v>55691094.504061446</v>
      </c>
    </row>
    <row r="29" spans="1:11" x14ac:dyDescent="0.35">
      <c r="A29" s="10" t="s">
        <v>161</v>
      </c>
      <c r="D29" s="17">
        <v>0</v>
      </c>
      <c r="E29" s="17">
        <v>0</v>
      </c>
      <c r="F29" s="17">
        <v>0</v>
      </c>
      <c r="G29" s="17">
        <v>0</v>
      </c>
      <c r="H29" s="17">
        <v>0</v>
      </c>
    </row>
    <row r="31" spans="1:11" x14ac:dyDescent="0.35">
      <c r="A31" s="76" t="s">
        <v>167</v>
      </c>
      <c r="B31" s="74"/>
      <c r="C31" s="75"/>
      <c r="D31" s="75"/>
      <c r="E31" s="75"/>
      <c r="F31" s="75"/>
      <c r="G31" s="75"/>
      <c r="H31" s="75"/>
      <c r="I31" s="74"/>
      <c r="J31" s="74"/>
      <c r="K31" s="7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4CEFE-B19B-4E32-B0B4-D5649135EB67}">
  <dimension ref="A1:K28"/>
  <sheetViews>
    <sheetView showGridLines="0" workbookViewId="0">
      <pane xSplit="2" ySplit="2" topLeftCell="C22" activePane="bottomRight" state="frozen"/>
      <selection pane="topRight" activeCell="C1" sqref="C1"/>
      <selection pane="bottomLeft" activeCell="A3" sqref="A3"/>
      <selection pane="bottomRight" activeCell="A28" sqref="A28:K28"/>
    </sheetView>
  </sheetViews>
  <sheetFormatPr defaultRowHeight="15.5" x14ac:dyDescent="0.35"/>
  <cols>
    <col min="1" max="1" width="30.58203125" style="10" customWidth="1"/>
    <col min="2" max="2" width="12.58203125" style="10" customWidth="1"/>
    <col min="3" max="8" width="12.58203125" style="17" customWidth="1"/>
    <col min="9" max="9" width="12.58203125" style="10" customWidth="1"/>
    <col min="10" max="16384" width="8.6640625" style="10"/>
  </cols>
  <sheetData>
    <row r="1" spans="1:9" x14ac:dyDescent="0.35">
      <c r="A1" s="14" t="s">
        <v>23</v>
      </c>
      <c r="B1" s="14"/>
      <c r="C1" s="15">
        <v>0</v>
      </c>
      <c r="D1" s="15">
        <v>1</v>
      </c>
      <c r="E1" s="15">
        <v>2</v>
      </c>
      <c r="F1" s="15">
        <v>3</v>
      </c>
      <c r="G1" s="15">
        <v>4</v>
      </c>
      <c r="H1" s="15">
        <v>5</v>
      </c>
    </row>
    <row r="2" spans="1:9" x14ac:dyDescent="0.35">
      <c r="A2" s="14" t="s">
        <v>24</v>
      </c>
      <c r="B2" s="14"/>
      <c r="C2" s="16">
        <f>Input!B2</f>
        <v>45383</v>
      </c>
      <c r="D2" s="16">
        <f>EOMONTH(C2,11)</f>
        <v>45747</v>
      </c>
      <c r="E2" s="16">
        <f>EOMONTH(D2,12)</f>
        <v>46112</v>
      </c>
      <c r="F2" s="16">
        <f t="shared" ref="F2:H2" si="0">EOMONTH(E2,12)</f>
        <v>46477</v>
      </c>
      <c r="G2" s="16">
        <f t="shared" si="0"/>
        <v>46843</v>
      </c>
      <c r="H2" s="16">
        <f t="shared" si="0"/>
        <v>47208</v>
      </c>
    </row>
    <row r="3" spans="1:9" x14ac:dyDescent="0.35">
      <c r="A3" s="18" t="s">
        <v>169</v>
      </c>
    </row>
    <row r="4" spans="1:9" x14ac:dyDescent="0.35">
      <c r="A4" s="18" t="s">
        <v>125</v>
      </c>
      <c r="D4" s="17">
        <f>'P&amp;L'!D39</f>
        <v>5885021.7718924852</v>
      </c>
      <c r="E4" s="17">
        <f>'P&amp;L'!E39</f>
        <v>5843925.4835825935</v>
      </c>
      <c r="F4" s="17">
        <f>'P&amp;L'!F39</f>
        <v>8162414.185176326</v>
      </c>
      <c r="G4" s="17">
        <f>'P&amp;L'!G39</f>
        <v>8030812.103270961</v>
      </c>
      <c r="H4" s="17">
        <f>'P&amp;L'!H39</f>
        <v>8187023.0554168969</v>
      </c>
    </row>
    <row r="5" spans="1:9" x14ac:dyDescent="0.35">
      <c r="A5" s="10" t="s">
        <v>175</v>
      </c>
    </row>
    <row r="6" spans="1:9" x14ac:dyDescent="0.35">
      <c r="A6" s="10" t="s">
        <v>120</v>
      </c>
      <c r="D6" s="17">
        <f>SUM('P&amp;L'!D29:D34)</f>
        <v>1585000</v>
      </c>
      <c r="E6" s="17">
        <f>SUM('P&amp;L'!E29:E34)</f>
        <v>1585000</v>
      </c>
      <c r="F6" s="17">
        <f>SUM('P&amp;L'!F29:F34)</f>
        <v>1585000</v>
      </c>
      <c r="G6" s="17">
        <f>SUM('P&amp;L'!G29:G34)</f>
        <v>1585000</v>
      </c>
      <c r="H6" s="17">
        <f>SUM('P&amp;L'!H29:H34)</f>
        <v>1585000</v>
      </c>
    </row>
    <row r="7" spans="1:9" ht="31" x14ac:dyDescent="0.35">
      <c r="A7" s="61" t="s">
        <v>176</v>
      </c>
      <c r="B7" s="18"/>
      <c r="C7" s="32"/>
      <c r="D7" s="32">
        <f>D4+D6</f>
        <v>7470021.7718924852</v>
      </c>
      <c r="E7" s="32">
        <f t="shared" ref="E7:H7" si="1">E4+E6</f>
        <v>7428925.4835825935</v>
      </c>
      <c r="F7" s="32">
        <f t="shared" si="1"/>
        <v>9747414.185176326</v>
      </c>
      <c r="G7" s="32">
        <f t="shared" si="1"/>
        <v>9615812.103270961</v>
      </c>
      <c r="H7" s="32">
        <f t="shared" si="1"/>
        <v>9772023.0554168969</v>
      </c>
    </row>
    <row r="8" spans="1:9" ht="46.5" x14ac:dyDescent="0.35">
      <c r="A8" s="60" t="s">
        <v>179</v>
      </c>
      <c r="D8" s="23">
        <f>-('Balance Sheet'!D26-'Balance Sheet'!C26)</f>
        <v>-413820.04055671237</v>
      </c>
      <c r="E8" s="23">
        <f>-('Balance Sheet'!E26-'Balance Sheet'!D26)</f>
        <v>-67005.509649534244</v>
      </c>
      <c r="F8" s="23">
        <f>-('Balance Sheet'!F26-'Balance Sheet'!E26)</f>
        <v>-72890.284054882184</v>
      </c>
      <c r="G8" s="23">
        <f>-('Balance Sheet'!G26-'Balance Sheet'!F26)</f>
        <v>-78649.088272175402</v>
      </c>
      <c r="H8" s="23">
        <f>-('Balance Sheet'!H26-'Balance Sheet'!G26)</f>
        <v>-32307.382783292211</v>
      </c>
    </row>
    <row r="9" spans="1:9" ht="31" x14ac:dyDescent="0.35">
      <c r="A9" s="60" t="s">
        <v>177</v>
      </c>
      <c r="D9" s="17">
        <f>('Balance Sheet'!D14-'Balance Sheet'!C14)</f>
        <v>2343398.6977315065</v>
      </c>
      <c r="E9" s="17">
        <f>('Balance Sheet'!E14-'Balance Sheet'!D14)</f>
        <v>509714.20558027364</v>
      </c>
      <c r="F9" s="17">
        <f>('Balance Sheet'!F14-'Balance Sheet'!E14)</f>
        <v>294911.42319649365</v>
      </c>
      <c r="G9" s="17">
        <f>('Balance Sheet'!G14-'Balance Sheet'!F14)</f>
        <v>607444.06803353503</v>
      </c>
      <c r="H9" s="17">
        <f>('Balance Sheet'!H14-'Balance Sheet'!G14)</f>
        <v>226429.51018037274</v>
      </c>
    </row>
    <row r="10" spans="1:9" x14ac:dyDescent="0.35">
      <c r="A10" s="19" t="s">
        <v>178</v>
      </c>
      <c r="B10" s="19"/>
      <c r="C10" s="38"/>
      <c r="D10" s="38">
        <f>D7+D8+D9</f>
        <v>9399600.4290672801</v>
      </c>
      <c r="E10" s="38">
        <f t="shared" ref="E10:H10" si="2">E7+E8+E9</f>
        <v>7871634.1795133334</v>
      </c>
      <c r="F10" s="38">
        <f t="shared" si="2"/>
        <v>9969435.3243179359</v>
      </c>
      <c r="G10" s="38">
        <f t="shared" si="2"/>
        <v>10144607.083032321</v>
      </c>
      <c r="H10" s="38">
        <f t="shared" si="2"/>
        <v>9966145.1828139778</v>
      </c>
      <c r="I10" s="18"/>
    </row>
    <row r="11" spans="1:9" x14ac:dyDescent="0.35">
      <c r="A11" s="18"/>
      <c r="B11" s="18"/>
      <c r="C11" s="32"/>
      <c r="D11" s="32"/>
      <c r="E11" s="32"/>
      <c r="F11" s="32"/>
      <c r="G11" s="32"/>
      <c r="H11" s="32"/>
      <c r="I11" s="18"/>
    </row>
    <row r="12" spans="1:9" x14ac:dyDescent="0.35">
      <c r="A12" s="18" t="s">
        <v>170</v>
      </c>
      <c r="B12" s="18"/>
      <c r="C12" s="32"/>
      <c r="D12" s="32"/>
      <c r="E12" s="32"/>
      <c r="F12" s="32"/>
      <c r="G12" s="32"/>
      <c r="H12" s="32"/>
    </row>
    <row r="13" spans="1:9" x14ac:dyDescent="0.35">
      <c r="A13" s="10" t="s">
        <v>180</v>
      </c>
      <c r="D13" s="23">
        <f ca="1">-('Balance Sheet'!D21-'Balance Sheet'!C21)</f>
        <v>-15600000</v>
      </c>
    </row>
    <row r="14" spans="1:9" x14ac:dyDescent="0.35">
      <c r="A14" s="1" t="s">
        <v>22</v>
      </c>
      <c r="D14" s="62">
        <f>-Input!B18</f>
        <v>-3000000</v>
      </c>
    </row>
    <row r="15" spans="1:9" x14ac:dyDescent="0.35">
      <c r="A15" s="1" t="s">
        <v>17</v>
      </c>
      <c r="D15" s="62">
        <f>-Input!B19</f>
        <v>-1100000</v>
      </c>
    </row>
    <row r="16" spans="1:9" x14ac:dyDescent="0.35">
      <c r="A16" s="1" t="s">
        <v>18</v>
      </c>
      <c r="D16" s="62">
        <f>-Input!B20</f>
        <v>-5000000</v>
      </c>
    </row>
    <row r="17" spans="1:11" x14ac:dyDescent="0.35">
      <c r="A17" s="1" t="s">
        <v>19</v>
      </c>
      <c r="D17" s="62">
        <f>-Input!B21</f>
        <v>-2000000</v>
      </c>
    </row>
    <row r="18" spans="1:11" x14ac:dyDescent="0.35">
      <c r="A18" s="1" t="s">
        <v>35</v>
      </c>
      <c r="D18" s="62">
        <f>-Input!B22</f>
        <v>-1000000</v>
      </c>
    </row>
    <row r="19" spans="1:11" x14ac:dyDescent="0.35">
      <c r="A19" s="1" t="s">
        <v>36</v>
      </c>
      <c r="D19" s="62">
        <f>-Input!B23</f>
        <v>-3500000</v>
      </c>
    </row>
    <row r="20" spans="1:11" x14ac:dyDescent="0.35">
      <c r="A20" s="19" t="s">
        <v>181</v>
      </c>
      <c r="B20" s="19"/>
      <c r="C20" s="38"/>
      <c r="D20" s="63">
        <f>SUM(D14:D19)</f>
        <v>-15600000</v>
      </c>
      <c r="E20" s="63">
        <f t="shared" ref="E20:H20" si="3">SUM(E14:E19)</f>
        <v>0</v>
      </c>
      <c r="F20" s="63">
        <f t="shared" si="3"/>
        <v>0</v>
      </c>
      <c r="G20" s="63">
        <f t="shared" si="3"/>
        <v>0</v>
      </c>
      <c r="H20" s="63">
        <f t="shared" si="3"/>
        <v>0</v>
      </c>
    </row>
    <row r="21" spans="1:11" x14ac:dyDescent="0.35">
      <c r="A21" s="18" t="s">
        <v>171</v>
      </c>
    </row>
    <row r="22" spans="1:11" x14ac:dyDescent="0.35">
      <c r="A22" s="18"/>
    </row>
    <row r="23" spans="1:11" x14ac:dyDescent="0.35">
      <c r="A23" s="10" t="s">
        <v>182</v>
      </c>
      <c r="D23" s="17">
        <f>'Balance Sheet'!D5-'Balance Sheet'!C5</f>
        <v>15600000</v>
      </c>
      <c r="E23" s="17">
        <f>'Balance Sheet'!E5-'Balance Sheet'!D5</f>
        <v>0</v>
      </c>
      <c r="F23" s="17">
        <f>'Balance Sheet'!F5-'Balance Sheet'!E5</f>
        <v>0</v>
      </c>
      <c r="G23" s="17">
        <f>'Balance Sheet'!G5-'Balance Sheet'!F5</f>
        <v>0</v>
      </c>
      <c r="H23" s="17">
        <f>'Balance Sheet'!H5-'Balance Sheet'!G5</f>
        <v>0</v>
      </c>
    </row>
    <row r="24" spans="1:11" x14ac:dyDescent="0.35">
      <c r="A24" s="10" t="s">
        <v>172</v>
      </c>
      <c r="D24" s="17">
        <f>D10+D20+D23</f>
        <v>9399600.4290672801</v>
      </c>
      <c r="E24" s="17">
        <f t="shared" ref="E24:H24" si="4">E10+E20+E23</f>
        <v>7871634.1795133334</v>
      </c>
      <c r="F24" s="17">
        <f t="shared" si="4"/>
        <v>9969435.3243179359</v>
      </c>
      <c r="G24" s="17">
        <f t="shared" si="4"/>
        <v>10144607.083032321</v>
      </c>
      <c r="H24" s="17">
        <f t="shared" si="4"/>
        <v>9966145.1828139778</v>
      </c>
    </row>
    <row r="25" spans="1:11" x14ac:dyDescent="0.35">
      <c r="A25" s="10" t="s">
        <v>173</v>
      </c>
      <c r="D25" s="17">
        <f>C26</f>
        <v>0</v>
      </c>
      <c r="E25" s="17">
        <f t="shared" ref="E25:H25" si="5">D26</f>
        <v>9399600.4290672801</v>
      </c>
      <c r="F25" s="17">
        <f t="shared" si="5"/>
        <v>17271234.608580612</v>
      </c>
      <c r="G25" s="17">
        <f t="shared" si="5"/>
        <v>27240669.932898548</v>
      </c>
      <c r="H25" s="17">
        <f t="shared" si="5"/>
        <v>37385277.015930869</v>
      </c>
    </row>
    <row r="26" spans="1:11" x14ac:dyDescent="0.35">
      <c r="A26" s="25" t="s">
        <v>174</v>
      </c>
      <c r="B26" s="25"/>
      <c r="C26" s="33"/>
      <c r="D26" s="33">
        <f>D24+D25</f>
        <v>9399600.4290672801</v>
      </c>
      <c r="E26" s="33">
        <f t="shared" ref="E26:H26" si="6">E24+E25</f>
        <v>17271234.608580612</v>
      </c>
      <c r="F26" s="33">
        <f t="shared" si="6"/>
        <v>27240669.932898548</v>
      </c>
      <c r="G26" s="33">
        <f t="shared" si="6"/>
        <v>37385277.015930869</v>
      </c>
      <c r="H26" s="33">
        <f t="shared" si="6"/>
        <v>47351422.198744848</v>
      </c>
    </row>
    <row r="28" spans="1:11" x14ac:dyDescent="0.35">
      <c r="A28" s="76" t="s">
        <v>167</v>
      </c>
      <c r="B28" s="74"/>
      <c r="C28" s="75"/>
      <c r="D28" s="75"/>
      <c r="E28" s="75"/>
      <c r="F28" s="75"/>
      <c r="G28" s="75"/>
      <c r="H28" s="75"/>
      <c r="I28" s="74"/>
      <c r="J28" s="74"/>
      <c r="K28" s="7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F1F03-05BE-4DC5-8C91-7D3D8F2171B8}">
  <dimension ref="A1:K15"/>
  <sheetViews>
    <sheetView showGridLines="0" tabSelected="1" workbookViewId="0">
      <selection activeCell="A15" sqref="A15:K15"/>
    </sheetView>
  </sheetViews>
  <sheetFormatPr defaultRowHeight="15.5" x14ac:dyDescent="0.35"/>
  <cols>
    <col min="1" max="1" width="30.58203125" style="10" customWidth="1"/>
    <col min="2" max="2" width="12.58203125" style="10" customWidth="1"/>
    <col min="3" max="8" width="12.58203125" style="17" customWidth="1"/>
    <col min="9" max="9" width="12.58203125" style="10" customWidth="1"/>
    <col min="10" max="16384" width="8.6640625" style="10"/>
  </cols>
  <sheetData>
    <row r="1" spans="1:11" x14ac:dyDescent="0.35">
      <c r="A1" s="14" t="s">
        <v>23</v>
      </c>
      <c r="B1" s="14"/>
      <c r="C1" s="15">
        <v>0</v>
      </c>
      <c r="D1" s="15">
        <v>1</v>
      </c>
      <c r="E1" s="15">
        <v>2</v>
      </c>
      <c r="F1" s="15">
        <v>3</v>
      </c>
      <c r="G1" s="15">
        <v>4</v>
      </c>
      <c r="H1" s="15">
        <v>5</v>
      </c>
    </row>
    <row r="2" spans="1:11" x14ac:dyDescent="0.35">
      <c r="A2" s="14" t="s">
        <v>24</v>
      </c>
      <c r="B2" s="14"/>
      <c r="C2" s="16">
        <f>Input!B2</f>
        <v>45383</v>
      </c>
      <c r="D2" s="16">
        <f>EOMONTH(C2,11)</f>
        <v>45747</v>
      </c>
      <c r="E2" s="16">
        <f>EOMONTH(D2,12)</f>
        <v>46112</v>
      </c>
      <c r="F2" s="16">
        <f t="shared" ref="F2:H2" si="0">EOMONTH(E2,12)</f>
        <v>46477</v>
      </c>
      <c r="G2" s="16">
        <f t="shared" si="0"/>
        <v>46843</v>
      </c>
      <c r="H2" s="16">
        <f t="shared" si="0"/>
        <v>47208</v>
      </c>
    </row>
    <row r="3" spans="1:11" x14ac:dyDescent="0.35">
      <c r="A3" s="18" t="s">
        <v>189</v>
      </c>
      <c r="C3" s="64">
        <f>-Input!B4</f>
        <v>-45000000</v>
      </c>
      <c r="D3" s="10"/>
      <c r="E3" s="10"/>
      <c r="F3" s="10"/>
      <c r="G3" s="10"/>
      <c r="H3" s="10"/>
    </row>
    <row r="4" spans="1:11" x14ac:dyDescent="0.35">
      <c r="A4" s="10" t="s">
        <v>121</v>
      </c>
      <c r="D4" s="17">
        <f>'P&amp;L'!D35</f>
        <v>7864521.9456000067</v>
      </c>
      <c r="E4" s="17">
        <f>'P&amp;L'!E35</f>
        <v>7809602.410240002</v>
      </c>
      <c r="F4" s="17">
        <f>'P&amp;L'!F35</f>
        <v>10907943.585696012</v>
      </c>
      <c r="G4" s="17">
        <f>'P&amp;L'!G35</f>
        <v>10732075.508848004</v>
      </c>
      <c r="H4" s="17">
        <f>'P&amp;L'!H35</f>
        <v>10940829.955120802</v>
      </c>
    </row>
    <row r="5" spans="1:11" x14ac:dyDescent="0.35">
      <c r="A5" s="10" t="s">
        <v>183</v>
      </c>
      <c r="D5" s="17">
        <f>D4*Input!$B$12</f>
        <v>1979500.1737075215</v>
      </c>
      <c r="E5" s="17">
        <f>E4*Input!$B$12</f>
        <v>1965676.9266574082</v>
      </c>
      <c r="F5" s="17">
        <f>F4*Input!$B$12</f>
        <v>2745529.4005196858</v>
      </c>
      <c r="G5" s="17">
        <f>G4*Input!$B$12</f>
        <v>2701263.4055770426</v>
      </c>
      <c r="H5" s="17">
        <f>H4*Input!$B$12</f>
        <v>2753806.8997039055</v>
      </c>
    </row>
    <row r="6" spans="1:11" x14ac:dyDescent="0.35">
      <c r="A6" s="18" t="s">
        <v>184</v>
      </c>
      <c r="B6" s="18"/>
      <c r="C6" s="32"/>
      <c r="D6" s="32">
        <f>D4-D5</f>
        <v>5885021.7718924852</v>
      </c>
      <c r="E6" s="32">
        <f>E4-E5</f>
        <v>5843925.4835825935</v>
      </c>
      <c r="F6" s="32">
        <f>F4-F5</f>
        <v>8162414.185176326</v>
      </c>
      <c r="G6" s="32">
        <f>G4-G5</f>
        <v>8030812.103270961</v>
      </c>
      <c r="H6" s="32">
        <f>H4-H5</f>
        <v>8187023.0554168969</v>
      </c>
    </row>
    <row r="7" spans="1:11" x14ac:dyDescent="0.35">
      <c r="A7" s="10" t="s">
        <v>185</v>
      </c>
      <c r="D7" s="17">
        <f>'Cash Flow'!D6</f>
        <v>1585000</v>
      </c>
      <c r="E7" s="17">
        <f>'Cash Flow'!E6</f>
        <v>1585000</v>
      </c>
      <c r="F7" s="17">
        <f>'Cash Flow'!F6</f>
        <v>1585000</v>
      </c>
      <c r="G7" s="17">
        <f>'Cash Flow'!G6</f>
        <v>1585000</v>
      </c>
      <c r="H7" s="17">
        <f>'Cash Flow'!H6</f>
        <v>1585000</v>
      </c>
    </row>
    <row r="8" spans="1:11" x14ac:dyDescent="0.35">
      <c r="A8" s="10" t="s">
        <v>186</v>
      </c>
      <c r="D8" s="17">
        <f>SUM('Cash Flow'!D8:D9)</f>
        <v>1929578.6571747942</v>
      </c>
      <c r="E8" s="17">
        <f>SUM('Cash Flow'!E8:E9)</f>
        <v>442708.6959307394</v>
      </c>
      <c r="F8" s="17">
        <f>SUM('Cash Flow'!F8:F9)</f>
        <v>222021.13914161146</v>
      </c>
      <c r="G8" s="17">
        <f>SUM('Cash Flow'!G8:G9)</f>
        <v>528794.97976135963</v>
      </c>
      <c r="H8" s="17">
        <f>SUM('Cash Flow'!H8:H9)</f>
        <v>194122.12739708053</v>
      </c>
    </row>
    <row r="9" spans="1:11" x14ac:dyDescent="0.35">
      <c r="A9" s="53" t="s">
        <v>187</v>
      </c>
      <c r="B9" s="53"/>
      <c r="C9" s="68">
        <f>-Input!B24</f>
        <v>-15600000</v>
      </c>
      <c r="D9" s="54"/>
      <c r="E9" s="54"/>
      <c r="F9" s="54"/>
      <c r="G9" s="54"/>
      <c r="H9" s="54"/>
    </row>
    <row r="10" spans="1:11" x14ac:dyDescent="0.35">
      <c r="A10" s="25" t="s">
        <v>188</v>
      </c>
      <c r="B10" s="25"/>
      <c r="C10" s="66">
        <f>C9+C8+C7+C6+C3</f>
        <v>-60600000</v>
      </c>
      <c r="D10" s="33">
        <f t="shared" ref="D10:H10" si="1">D9+D8+D7+D6</f>
        <v>9399600.4290672801</v>
      </c>
      <c r="E10" s="33">
        <f t="shared" si="1"/>
        <v>7871634.1795133334</v>
      </c>
      <c r="F10" s="33">
        <f t="shared" si="1"/>
        <v>9969435.3243179377</v>
      </c>
      <c r="G10" s="33">
        <f t="shared" si="1"/>
        <v>10144607.083032321</v>
      </c>
      <c r="H10" s="33">
        <f t="shared" si="1"/>
        <v>9966145.1828139778</v>
      </c>
    </row>
    <row r="11" spans="1:11" x14ac:dyDescent="0.35">
      <c r="A11" s="57" t="s">
        <v>190</v>
      </c>
      <c r="B11" s="57"/>
      <c r="C11" s="67"/>
      <c r="D11" s="58"/>
      <c r="E11" s="58"/>
      <c r="F11" s="58"/>
      <c r="G11" s="58"/>
      <c r="H11" s="58">
        <f>H10*(1+Input!B104)/(Input!B103-Input!B104)</f>
        <v>80495788.015035987</v>
      </c>
    </row>
    <row r="12" spans="1:11" x14ac:dyDescent="0.35">
      <c r="A12" s="25" t="s">
        <v>191</v>
      </c>
      <c r="B12" s="25"/>
      <c r="C12" s="66">
        <f t="shared" ref="C12:G12" si="2">C11+C10</f>
        <v>-60600000</v>
      </c>
      <c r="D12" s="33">
        <f t="shared" si="2"/>
        <v>9399600.4290672801</v>
      </c>
      <c r="E12" s="33">
        <f t="shared" si="2"/>
        <v>7871634.1795133334</v>
      </c>
      <c r="F12" s="33">
        <f t="shared" si="2"/>
        <v>9969435.3243179377</v>
      </c>
      <c r="G12" s="33">
        <f t="shared" si="2"/>
        <v>10144607.083032321</v>
      </c>
      <c r="H12" s="33">
        <f>H11+H10</f>
        <v>90461933.197849959</v>
      </c>
    </row>
    <row r="13" spans="1:11" x14ac:dyDescent="0.35">
      <c r="A13" s="29" t="s">
        <v>34</v>
      </c>
      <c r="B13" s="29"/>
      <c r="C13" s="65">
        <f>XIRR(C12:H12,C2:H2)</f>
        <v>0.19861515164375307</v>
      </c>
    </row>
    <row r="15" spans="1:11" x14ac:dyDescent="0.35">
      <c r="A15" s="76" t="s">
        <v>167</v>
      </c>
      <c r="B15" s="74"/>
      <c r="C15" s="75"/>
      <c r="D15" s="75"/>
      <c r="E15" s="75"/>
      <c r="F15" s="75"/>
      <c r="G15" s="75"/>
      <c r="H15" s="75"/>
      <c r="I15" s="74"/>
      <c r="J15" s="74"/>
      <c r="K15" s="74"/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D9982-F5D9-4E71-8C55-23B2D42CA7B0}">
  <dimension ref="A1:K8"/>
  <sheetViews>
    <sheetView showGridLines="0" workbookViewId="0">
      <selection activeCell="A8" sqref="A8:K8"/>
    </sheetView>
  </sheetViews>
  <sheetFormatPr defaultRowHeight="15.5" x14ac:dyDescent="0.35"/>
  <cols>
    <col min="1" max="1" width="30.58203125" style="10" customWidth="1"/>
    <col min="2" max="2" width="12.58203125" style="10" customWidth="1"/>
    <col min="3" max="3" width="17.33203125" style="17" bestFit="1" customWidth="1"/>
    <col min="4" max="8" width="12.58203125" style="17" customWidth="1"/>
    <col min="9" max="9" width="12.58203125" style="10" customWidth="1"/>
    <col min="10" max="16384" width="8.6640625" style="10"/>
  </cols>
  <sheetData>
    <row r="1" spans="1:11" x14ac:dyDescent="0.35">
      <c r="A1" s="14" t="s">
        <v>23</v>
      </c>
      <c r="B1" s="14"/>
      <c r="C1" s="15">
        <v>0</v>
      </c>
      <c r="D1" s="69"/>
      <c r="E1" s="69"/>
      <c r="F1" s="69"/>
      <c r="G1" s="69"/>
      <c r="H1" s="69"/>
    </row>
    <row r="2" spans="1:11" x14ac:dyDescent="0.35">
      <c r="A2" s="14" t="s">
        <v>24</v>
      </c>
      <c r="B2" s="14"/>
      <c r="C2" s="16">
        <f>Input!B2</f>
        <v>45383</v>
      </c>
      <c r="D2" s="70"/>
      <c r="E2" s="70"/>
      <c r="F2" s="70"/>
      <c r="G2" s="70"/>
      <c r="H2" s="70"/>
    </row>
    <row r="4" spans="1:11" x14ac:dyDescent="0.35">
      <c r="A4" s="10" t="s">
        <v>192</v>
      </c>
      <c r="C4" s="71">
        <f>'Mc''Donalds Franchise'!C13</f>
        <v>0.19861515164375307</v>
      </c>
    </row>
    <row r="5" spans="1:11" x14ac:dyDescent="0.35">
      <c r="A5" s="10" t="s">
        <v>193</v>
      </c>
      <c r="C5" s="71">
        <f>Rentals!C13</f>
        <v>0.19159794449806214</v>
      </c>
    </row>
    <row r="6" spans="1:11" x14ac:dyDescent="0.35">
      <c r="A6" s="72" t="s">
        <v>194</v>
      </c>
      <c r="B6" s="72"/>
      <c r="C6" s="73" t="str">
        <f>IF(C4&gt;C5,"Go For McDonald's","Go for Rental")</f>
        <v>Go For McDonald's</v>
      </c>
    </row>
    <row r="8" spans="1:11" x14ac:dyDescent="0.35">
      <c r="A8" s="76" t="s">
        <v>167</v>
      </c>
      <c r="B8" s="74"/>
      <c r="C8" s="75"/>
      <c r="D8" s="75"/>
      <c r="E8" s="75"/>
      <c r="F8" s="75"/>
      <c r="G8" s="75"/>
      <c r="H8" s="75"/>
      <c r="I8" s="74"/>
      <c r="J8" s="74"/>
      <c r="K8" s="7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Input</vt:lpstr>
      <vt:lpstr>Rentals</vt:lpstr>
      <vt:lpstr>Revenue</vt:lpstr>
      <vt:lpstr>P&amp;L</vt:lpstr>
      <vt:lpstr>Fixed Assets</vt:lpstr>
      <vt:lpstr>Balance Sheet</vt:lpstr>
      <vt:lpstr>Cash Flow</vt:lpstr>
      <vt:lpstr>Mc'Donalds Franchise</vt:lpstr>
      <vt:lpstr>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kashif peerzada</dc:creator>
  <cp:lastModifiedBy>kashif peerzada</cp:lastModifiedBy>
  <dcterms:created xsi:type="dcterms:W3CDTF">2025-01-28T03:19:13Z</dcterms:created>
  <dcterms:modified xsi:type="dcterms:W3CDTF">2025-01-29T10:05:05Z</dcterms:modified>
</cp:coreProperties>
</file>