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iTree Planting" sheetId="2" r:id="rId5"/>
    <sheet state="visible" name="COMET" sheetId="3" r:id="rId6"/>
    <sheet state="visible" name="Empirical Results" sheetId="4" r:id="rId7"/>
    <sheet state="visible" name="old" sheetId="5" r:id="rId8"/>
    <sheet state="visible" name="Nates Empirical" sheetId="6" r:id="rId9"/>
    <sheet state="visible" name="empirical_simple" sheetId="7" r:id="rId10"/>
    <sheet state="visible" name="Nates scratch" sheetId="8" r:id="rId11"/>
  </sheets>
  <definedNames/>
  <calcPr/>
</workbook>
</file>

<file path=xl/sharedStrings.xml><?xml version="1.0" encoding="utf-8"?>
<sst xmlns="http://schemas.openxmlformats.org/spreadsheetml/2006/main" count="3471" uniqueCount="522">
  <si>
    <t>source</t>
  </si>
  <si>
    <t>Practice</t>
  </si>
  <si>
    <t>context</t>
  </si>
  <si>
    <t>State</t>
  </si>
  <si>
    <t>County</t>
  </si>
  <si>
    <t>City (i-Tree)</t>
  </si>
  <si>
    <t>location</t>
  </si>
  <si>
    <t>lat</t>
  </si>
  <si>
    <t>long</t>
  </si>
  <si>
    <t>species common</t>
  </si>
  <si>
    <t>species latin</t>
  </si>
  <si>
    <t>size (ha)</t>
  </si>
  <si>
    <t>size (ac)</t>
  </si>
  <si>
    <t>between row spacing (m)</t>
  </si>
  <si>
    <t>within row spacing (m)</t>
  </si>
  <si>
    <t>density reported</t>
  </si>
  <si>
    <t>density calculated (tph)</t>
  </si>
  <si>
    <t>soil</t>
  </si>
  <si>
    <t>length of time (yrs)</t>
  </si>
  <si>
    <t># trees</t>
  </si>
  <si>
    <t>COMET sp group</t>
  </si>
  <si>
    <t>COMET assumptions / general assumptions</t>
  </si>
  <si>
    <t>FVS variant</t>
  </si>
  <si>
    <t>FVS location code</t>
  </si>
  <si>
    <t>Slope (degree)</t>
  </si>
  <si>
    <t>slope (%)</t>
  </si>
  <si>
    <t>Aspect</t>
  </si>
  <si>
    <t>Elevation (m)</t>
  </si>
  <si>
    <t>Elevation (feet)</t>
  </si>
  <si>
    <t>SI</t>
  </si>
  <si>
    <t>SI sp</t>
  </si>
  <si>
    <t>TPA</t>
  </si>
  <si>
    <t>estimated survival and height at 5 years</t>
  </si>
  <si>
    <t>notes</t>
  </si>
  <si>
    <t>pruning</t>
  </si>
  <si>
    <t>fertilizer</t>
  </si>
  <si>
    <t>COMET</t>
  </si>
  <si>
    <t>iTree Planter</t>
  </si>
  <si>
    <t>iTree Eco</t>
  </si>
  <si>
    <t>FVS</t>
  </si>
  <si>
    <t>Udawatta</t>
  </si>
  <si>
    <t>Alley Cropping</t>
  </si>
  <si>
    <t>contour strip planting for watershed protection within corn soy rotation field</t>
  </si>
  <si>
    <t>Missouri</t>
  </si>
  <si>
    <t>Knox</t>
  </si>
  <si>
    <t>Novelty</t>
  </si>
  <si>
    <t>40°01′N, 92°11′W</t>
  </si>
  <si>
    <t>pin oak</t>
  </si>
  <si>
    <t>Quercus palustris</t>
  </si>
  <si>
    <t>22.8- to 36.5</t>
  </si>
  <si>
    <t>75 total, 25 per species</t>
  </si>
  <si>
    <t xml:space="preserve">333 total trees,111 of each species, planting in repeating pattern in each row. </t>
  </si>
  <si>
    <t>COMET doesn't go down to species, just species group, and it won't allow multiple records of the same species group and age, these three are being run as a single scenario</t>
  </si>
  <si>
    <t>CS</t>
  </si>
  <si>
    <t>not available in WSS, allowing FVS default</t>
  </si>
  <si>
    <t>10.12 each species, 30.36 total</t>
  </si>
  <si>
    <t>swamp white oak</t>
  </si>
  <si>
    <t>Quercus bicolor</t>
  </si>
  <si>
    <t>bur oak</t>
  </si>
  <si>
    <t>Quercus macrocarpa</t>
  </si>
  <si>
    <t>Dold</t>
  </si>
  <si>
    <t>Silvopasture</t>
  </si>
  <si>
    <t>Arkansas</t>
  </si>
  <si>
    <t>Washington</t>
  </si>
  <si>
    <t>Fayetteville</t>
  </si>
  <si>
    <t>36.091, -94.190</t>
  </si>
  <si>
    <t>n red oak</t>
  </si>
  <si>
    <t>Quercus rubra</t>
  </si>
  <si>
    <t>233 trees</t>
  </si>
  <si>
    <t>SN</t>
  </si>
  <si>
    <t>post oak</t>
  </si>
  <si>
    <t>Trees were pruned periodically to achieve a 2.4 m trunk. (8 ft) - modelled in FVS as purning every year starting at age ten, pruning up to either 8 feet or 50% of crown, whichever is lower.</t>
  </si>
  <si>
    <t>pecan</t>
  </si>
  <si>
    <t>Carya illinoinensis</t>
  </si>
  <si>
    <t>119 trees</t>
  </si>
  <si>
    <t>Bazrgar</t>
  </si>
  <si>
    <t>New York (proxy)</t>
  </si>
  <si>
    <t>Niagara (proxy)</t>
  </si>
  <si>
    <t>Ransomville</t>
  </si>
  <si>
    <t>43* 32' 28" N, 80d 12' 32" W</t>
  </si>
  <si>
    <t>black walnut</t>
  </si>
  <si>
    <t>Juglans nigra</t>
  </si>
  <si>
    <t>Other Hardwoods</t>
  </si>
  <si>
    <t>study doesn't tell us the number of trees per species. I am assuming equal number, so 30 ha x 111 tph /5 species = 666 trees of each species</t>
  </si>
  <si>
    <t>NE</t>
  </si>
  <si>
    <t>black locust</t>
  </si>
  <si>
    <t>Pseudoacacia robiniana</t>
  </si>
  <si>
    <t>white ash</t>
  </si>
  <si>
    <t>Fraxinus americana</t>
  </si>
  <si>
    <t>Norway Spruce</t>
  </si>
  <si>
    <t>Picea abies</t>
  </si>
  <si>
    <t>Pine</t>
  </si>
  <si>
    <t>red oak</t>
  </si>
  <si>
    <t>Deciduous Oaks/Beech/Chesnut</t>
  </si>
  <si>
    <t>Tufekcioglu</t>
  </si>
  <si>
    <t>Riparian Buffer</t>
  </si>
  <si>
    <t>Iowa</t>
  </si>
  <si>
    <t>Story</t>
  </si>
  <si>
    <t>42d 11'N, 93d 30' W</t>
  </si>
  <si>
    <t>poplar</t>
  </si>
  <si>
    <t>populus x euroamericana 'Eugenei'</t>
  </si>
  <si>
    <t>study doesn't tell us number of trees. I did a per hectare estimate (4630 tph) based on the spacing of the planting. I used the "Cottonwood/Willow/Aspen" species group.</t>
  </si>
  <si>
    <t>Ares and Brauer_s</t>
  </si>
  <si>
    <t>Conway</t>
  </si>
  <si>
    <t>Petit Jean Township</t>
  </si>
  <si>
    <t>35d 9"N, 92d 52"W</t>
  </si>
  <si>
    <t>loblolly pine</t>
  </si>
  <si>
    <t>Pinus taeda</t>
  </si>
  <si>
    <t>16 whole study</t>
  </si>
  <si>
    <t>n/a</t>
  </si>
  <si>
    <t>308 (1 ha)</t>
  </si>
  <si>
    <t>pine (loblolly, shortleaf, slash,longleaf)</t>
  </si>
  <si>
    <t>white oak</t>
  </si>
  <si>
    <t>no info</t>
  </si>
  <si>
    <t>doing 100 trees in COMET - just one scenario. Multiplied by trees per hectare to get the estimates for each scenarios on a per hectare basis. Did the same thingin iTree but starting with 1000 trees.</t>
  </si>
  <si>
    <t>[not modelled - not similar enough to FVS fert regime] the pasture was fertilized annually during the years ['84-'93; years 1-10] with grazing with 54 kg ha 1 of N, P, and K applied as 19-19-19 fertilizer.</t>
  </si>
  <si>
    <t>Ares and Brauer_d</t>
  </si>
  <si>
    <t>568 (1 ha)</t>
  </si>
  <si>
    <t>Ares and Brauer_q</t>
  </si>
  <si>
    <t>932 (1 ha)</t>
  </si>
  <si>
    <t>Ares and Brauer_s_p</t>
  </si>
  <si>
    <t>with pruning</t>
  </si>
  <si>
    <t>pruning to 5 meters (16.4 ft) in 1999 - age 15</t>
  </si>
  <si>
    <t>Ares and Brauer_d_p</t>
  </si>
  <si>
    <t>Ares and Brauer_q_p</t>
  </si>
  <si>
    <t>Hou</t>
  </si>
  <si>
    <t>Windbreaks</t>
  </si>
  <si>
    <t>green ash</t>
  </si>
  <si>
    <t>Fraxinus pennsylvanica</t>
  </si>
  <si>
    <t>skip</t>
  </si>
  <si>
    <t>Fourtier</t>
  </si>
  <si>
    <t>riparian buffer in pasture. 1 row silver maple planted directly next to stream, then three rows poplar</t>
  </si>
  <si>
    <t>Canada</t>
  </si>
  <si>
    <t>Bromptonville</t>
  </si>
  <si>
    <t>deltoides x trichocarpa</t>
  </si>
  <si>
    <t>P x generosa</t>
  </si>
  <si>
    <t>2222 (1 ha)</t>
  </si>
  <si>
    <t>Orleans County, Vermont (proxy)</t>
  </si>
  <si>
    <t>ne</t>
  </si>
  <si>
    <t>hold for last</t>
  </si>
  <si>
    <t>Carolina poplar (deltoides x nigra)</t>
  </si>
  <si>
    <t>P x canadensis</t>
  </si>
  <si>
    <t>P nigra x P maximowiczii</t>
  </si>
  <si>
    <t>Japanese Poplar x balsam poplar</t>
  </si>
  <si>
    <t>P. maximowiczii x P balsamifera</t>
  </si>
  <si>
    <t>carolina poplar x Japanese poplar</t>
  </si>
  <si>
    <t>P.  x canadensis x P maximowiczii</t>
  </si>
  <si>
    <t>riparian buffer in pasture1 row silver maple planted directly next to stream, then three rows poplar</t>
  </si>
  <si>
    <t>Magog</t>
  </si>
  <si>
    <t>St Isidore de Clifton</t>
  </si>
  <si>
    <t>riprian buffer in hayfield1 row silver maple planted directly next to stream, then three rows poplar</t>
  </si>
  <si>
    <t>Roxton Falls</t>
  </si>
  <si>
    <t>Sharrow and Ismail</t>
  </si>
  <si>
    <t>Oregon</t>
  </si>
  <si>
    <t>Benton</t>
  </si>
  <si>
    <t>Philomath</t>
  </si>
  <si>
    <t>44n 123W</t>
  </si>
  <si>
    <t>Douglas fir</t>
  </si>
  <si>
    <t>Pseudotsuga menziesii</t>
  </si>
  <si>
    <t>.6*570=342</t>
  </si>
  <si>
    <t>pn</t>
  </si>
  <si>
    <t>not available</t>
  </si>
  <si>
    <t>no information</t>
  </si>
  <si>
    <t>none</t>
  </si>
  <si>
    <t>Possu</t>
  </si>
  <si>
    <t>Montana</t>
  </si>
  <si>
    <t>ponderosa pine</t>
  </si>
  <si>
    <t>pinus ponderosa</t>
  </si>
  <si>
    <t>unknown</t>
  </si>
  <si>
    <t>42, 18, 29, 54, 28, 29</t>
  </si>
  <si>
    <t>Nebraska</t>
  </si>
  <si>
    <t>16, 40, 15, 16, 37, 39, 21, 40</t>
  </si>
  <si>
    <t>Thomas_NF</t>
  </si>
  <si>
    <t>planted Feb 2001</t>
  </si>
  <si>
    <t>Howard</t>
  </si>
  <si>
    <t>New Franklin</t>
  </si>
  <si>
    <t>Hickory/pecan/walnut</t>
  </si>
  <si>
    <t>JUNI</t>
  </si>
  <si>
    <t>56% survival at 3 years (assumed same at 5 yr)</t>
  </si>
  <si>
    <r>
      <rPr>
        <color rgb="FF1155CC"/>
        <u/>
      </rPr>
      <t>(PDF) Cultivar influences rootstock and scion survival of grafted black walnut</t>
    </r>
  </si>
  <si>
    <t>Thomas_MV</t>
  </si>
  <si>
    <t>Lawrence</t>
  </si>
  <si>
    <t>Mount Vernon</t>
  </si>
  <si>
    <t>84% survival at 3 years (assumed same at 5 yr)</t>
  </si>
  <si>
    <r>
      <rPr>
        <color rgb="FF1155CC"/>
        <u/>
      </rPr>
      <t>(PDF) Cultivar influences rootstock and scion survival of grafted black walnut</t>
    </r>
  </si>
  <si>
    <t>Thomas_FV</t>
  </si>
  <si>
    <t>planted Nov 1999</t>
  </si>
  <si>
    <t>Fayetteville (literral township)</t>
  </si>
  <si>
    <t>42% survival at 3 years (assumed same at 5 yr)</t>
  </si>
  <si>
    <r>
      <rPr>
        <color rgb="FF1155CC"/>
        <u/>
      </rPr>
      <t>(PDF) Cultivar influences rootstock and scion survival of grafted black walnut</t>
    </r>
  </si>
  <si>
    <t>not modelled - Eastern half received 4.5 metric ton/ha pourly litter (2-3% %) and the Western half 56 kg/ha N annually each spring.</t>
  </si>
  <si>
    <t>Thomas_BN</t>
  </si>
  <si>
    <t>planted Dec 1999 and Jan 2003</t>
  </si>
  <si>
    <t>Logan</t>
  </si>
  <si>
    <t>Booneville</t>
  </si>
  <si>
    <t>11 and 8</t>
  </si>
  <si>
    <t>72% survival at 3 years (assumed same at 5 yr)</t>
  </si>
  <si>
    <r>
      <rPr>
        <color rgb="FF1155CC"/>
        <u/>
      </rPr>
      <t>(PDF) Cultivar influences rootstock and scion survival of grafted black walnut</t>
    </r>
  </si>
  <si>
    <t>Matzek</t>
  </si>
  <si>
    <t>riparian buffer in pasture</t>
  </si>
  <si>
    <t>California</t>
  </si>
  <si>
    <t>Marin</t>
  </si>
  <si>
    <t>various</t>
  </si>
  <si>
    <t>various, including many salix spp</t>
  </si>
  <si>
    <t>up to 45 years</t>
  </si>
  <si>
    <t>Ahamed_Kentland</t>
  </si>
  <si>
    <t>Virginia</t>
  </si>
  <si>
    <t>Montgomery</t>
  </si>
  <si>
    <t>Prices Fork</t>
  </si>
  <si>
    <t>Kentland Farm</t>
  </si>
  <si>
    <t>honey locust</t>
  </si>
  <si>
    <t>Gleditsia triacanthos</t>
  </si>
  <si>
    <t>other hardwoods</t>
  </si>
  <si>
    <t>sn</t>
  </si>
  <si>
    <t>assumed Kentland site is separated by species. It seems this way from text and from aerial imagery - therefore two separate FVS scenarios</t>
  </si>
  <si>
    <t>"pruned" - assumed pruned to 10 feet at 20 years old</t>
  </si>
  <si>
    <t>hickory/pecan/walnut</t>
  </si>
  <si>
    <t>two scenarios, I think the species are separated.</t>
  </si>
  <si>
    <t>"pruned"  - assumed pruned to 10 feet at 20 years old</t>
  </si>
  <si>
    <t>Ahamed_Catawba</t>
  </si>
  <si>
    <t>Catawba sustainability Center</t>
  </si>
  <si>
    <t>Orefice_A</t>
  </si>
  <si>
    <t>New York</t>
  </si>
  <si>
    <t>Schuyler</t>
  </si>
  <si>
    <t>Watkins Glen (guessed)</t>
  </si>
  <si>
    <t>ANGUS GLEN FARMS?</t>
  </si>
  <si>
    <t>Black Locust/Black Walnut</t>
  </si>
  <si>
    <t>Robinia pseudoacacia/ Juglans nigra</t>
  </si>
  <si>
    <t>642 (one hectare)</t>
  </si>
  <si>
    <t>Other hardwoods (Both ROPS and JUNI only fit in that category)</t>
  </si>
  <si>
    <t>QURU</t>
  </si>
  <si>
    <t>Orefice_B</t>
  </si>
  <si>
    <t>White Pine</t>
  </si>
  <si>
    <t>Pinus strobus</t>
  </si>
  <si>
    <t>280 (one hectare)</t>
  </si>
  <si>
    <t>pine</t>
  </si>
  <si>
    <t>Orefice_C</t>
  </si>
  <si>
    <t>goat silvopasture</t>
  </si>
  <si>
    <t>Vermont</t>
  </si>
  <si>
    <t>Addison</t>
  </si>
  <si>
    <t>"Mixed softwood/hardwood"</t>
  </si>
  <si>
    <t>not enough data</t>
  </si>
  <si>
    <t>Orefice_D</t>
  </si>
  <si>
    <t>Dutchess</t>
  </si>
  <si>
    <t>Apple/Maple</t>
  </si>
  <si>
    <t>Malus/Acer</t>
  </si>
  <si>
    <t>Orefice_E</t>
  </si>
  <si>
    <t>St. Lawrence</t>
  </si>
  <si>
    <t>Black Walnut</t>
  </si>
  <si>
    <t>939 (one hectare)</t>
  </si>
  <si>
    <t>Adewopo</t>
  </si>
  <si>
    <t>Florida</t>
  </si>
  <si>
    <t>Hardee</t>
  </si>
  <si>
    <t>Ona</t>
  </si>
  <si>
    <t>University of Florida Range Cattle Research and Education Center</t>
  </si>
  <si>
    <t>27°23´76˝ N</t>
  </si>
  <si>
    <t>82°56'11˝ W</t>
  </si>
  <si>
    <t>slash pine</t>
  </si>
  <si>
    <t>Pinus elliottii</t>
  </si>
  <si>
    <t>14,490 (378 meters per row* 23 double [2] rows * 1 tree/ 1.2 meters)</t>
  </si>
  <si>
    <t>Pine (Loblolly/Shortleaf/Longleaf/Slash)</t>
  </si>
  <si>
    <t>[not modelled - not similar enough to FVS fert regime] "periodic application of 67 kg N/ha*yr. No fert applied in '93-7,'00,'02,'08,'09,11</t>
  </si>
  <si>
    <t>Zhou</t>
  </si>
  <si>
    <t>planted 1965</t>
  </si>
  <si>
    <t>Saunders</t>
  </si>
  <si>
    <t>Mead</t>
  </si>
  <si>
    <t>UniversityofNebraskaAgriculturalResearchandDevelopmentCenter</t>
  </si>
  <si>
    <t>41°29 N</t>
  </si>
  <si>
    <t>96°30W</t>
  </si>
  <si>
    <t>1.312 total</t>
  </si>
  <si>
    <t>rr</t>
  </si>
  <si>
    <t>ash</t>
  </si>
  <si>
    <t>cs</t>
  </si>
  <si>
    <t>zhou is a two row windbreak, one row being alternating cedar and ash, the other row being alternating ash and pine. Single FVS scenario.</t>
  </si>
  <si>
    <t>Austrian pine</t>
  </si>
  <si>
    <t>Pinus nigra</t>
  </si>
  <si>
    <t>using shortleaf pine in FVS-cs</t>
  </si>
  <si>
    <t>eastern red cedar</t>
  </si>
  <si>
    <t>Juniperus virginia</t>
  </si>
  <si>
    <t>cedar (eastern red)</t>
  </si>
  <si>
    <t>slope, aspect, and elevation are the output of the Summarize Elevation tool in ArcGIS Pro. THe mean value for each was used. Elevation source data was NED_1r3_arcsec except for Bazrgar, which was NED_1_arcsec</t>
  </si>
  <si>
    <t>iTREE Planting</t>
  </si>
  <si>
    <t>state</t>
  </si>
  <si>
    <t>county</t>
  </si>
  <si>
    <t>city</t>
  </si>
  <si>
    <t>INPUT</t>
  </si>
  <si>
    <t>Electricity Emissions Factor</t>
  </si>
  <si>
    <t>default</t>
  </si>
  <si>
    <t>Fuel Emissions Factor</t>
  </si>
  <si>
    <t>Years for he Project</t>
  </si>
  <si>
    <t>to match empirical data</t>
  </si>
  <si>
    <t>Tree mortality</t>
  </si>
  <si>
    <t>3% per year</t>
  </si>
  <si>
    <t>spp</t>
  </si>
  <si>
    <t>Q palustris</t>
  </si>
  <si>
    <t>DBH in inches</t>
  </si>
  <si>
    <t>lowest it will go</t>
  </si>
  <si>
    <t>dist to nearest building in feet</t>
  </si>
  <si>
    <t>&gt;60</t>
  </si>
  <si>
    <t>furthest option</t>
  </si>
  <si>
    <t>tree is _ of building</t>
  </si>
  <si>
    <t>south</t>
  </si>
  <si>
    <t>to minimize any modelled-in effect of building, as there is no building in reality</t>
  </si>
  <si>
    <t>building vintage</t>
  </si>
  <si>
    <t>built after 1980</t>
  </si>
  <si>
    <t>default / arbitrary</t>
  </si>
  <si>
    <t>building climate control</t>
  </si>
  <si>
    <t>tree condition</t>
  </si>
  <si>
    <t>excellent</t>
  </si>
  <si>
    <t>tree exposure to sunlight</t>
  </si>
  <si>
    <t>full sun</t>
  </si>
  <si>
    <t>number of trees</t>
  </si>
  <si>
    <t>OUTPUT</t>
  </si>
  <si>
    <t>biomass</t>
  </si>
  <si>
    <t>2.7 tonnes</t>
  </si>
  <si>
    <t>CO2 Sequestered</t>
  </si>
  <si>
    <t>5180.1 kg</t>
  </si>
  <si>
    <t>run 2, with a row (group) for each sp. Including multiple groups in a run does not seem to produce any effect as opposed to doing groups separately. This makes sense because there is no input parameter having to do with total area or anything else related to competition or density-depending processes</t>
  </si>
  <si>
    <t>Q bicolor</t>
  </si>
  <si>
    <t>Q macrocarpa</t>
  </si>
  <si>
    <t>CO2 Sequestered (mtCO2e)</t>
  </si>
  <si>
    <t>Carya Illinoinensis</t>
  </si>
  <si>
    <t>CO2 Sequestered mtCO2e</t>
  </si>
  <si>
    <t>Niagara</t>
  </si>
  <si>
    <t>Robinia Pseudoacacia</t>
  </si>
  <si>
    <t>Roland</t>
  </si>
  <si>
    <t>Populus (Genus)</t>
  </si>
  <si>
    <t>this exact hybrid was not available.</t>
  </si>
  <si>
    <t>part sun</t>
  </si>
  <si>
    <t>due to dense planting</t>
  </si>
  <si>
    <t>Udawatta_05</t>
  </si>
  <si>
    <t>total tonnes CO₂ equivalen, 4.4 hectares, 333 trees, deciduous oaks, beech, chestnut</t>
  </si>
  <si>
    <t xml:space="preserve">modelled as year 0 of a 5 year-old system, as COMET only outputs 10 year intervals of projections, so starting with 1 year old trees, we wouldn't get an estimate for year 5. We could interpolate between t=0 and t=10 , but doing it this way is better, because carbon seems to be only a function of age of trees and species group. This is what I tested here. In other words, inputting a stand of 5 year ofd trees will get you the same result as a five year projection of new trees, if only projections were reported in samll enough intervals. </t>
  </si>
  <si>
    <t>t</t>
  </si>
  <si>
    <t>age</t>
  </si>
  <si>
    <t>result:</t>
  </si>
  <si>
    <t>mtCO2e total</t>
  </si>
  <si>
    <t>per ha</t>
  </si>
  <si>
    <t>per tree</t>
  </si>
  <si>
    <t>for each species</t>
  </si>
  <si>
    <t>per ha for each species</t>
  </si>
  <si>
    <t>Dold 2019</t>
  </si>
  <si>
    <t>233 trees, oak, beech, chestnut, hardwood silvopasture</t>
  </si>
  <si>
    <t>year</t>
  </si>
  <si>
    <t>119 trees, hardwood silvopasture, hickory pecan walnut</t>
  </si>
  <si>
    <t>black walnut and black locust and white ash (all identical, as they all fall into the same species group - Other Hardwoods)</t>
  </si>
  <si>
    <t xml:space="preserve">usng Pine as species group because it's the only </t>
  </si>
  <si>
    <t>N red oak</t>
  </si>
  <si>
    <t>Cottonwood/Willow/Aspen, age 7, 4630 trees (per ha)</t>
  </si>
  <si>
    <t>pre-defined scenario, riparian buffer (mixed hardwoods), age 7, 247 acres (to be divided by 100 to produce per-hectare figures)</t>
  </si>
  <si>
    <t>247 acres</t>
  </si>
  <si>
    <t>1 hectare</t>
  </si>
  <si>
    <t>Pools</t>
  </si>
  <si>
    <t>Age #1</t>
  </si>
  <si>
    <t>Mg-C-ha</t>
  </si>
  <si>
    <t>Mg-C-ha-yr</t>
  </si>
  <si>
    <t>Age #2</t>
  </si>
  <si>
    <t>Age #3</t>
  </si>
  <si>
    <t>Notes on C assumptions</t>
  </si>
  <si>
    <t xml:space="preserve">above and belowground biomass, assuming 50% C. </t>
  </si>
  <si>
    <t>alleys were 4.5 m wide and trees were planted every 30 m, specified as 75 trees per hectare. Actually 25/hectare trees of each of 3x species planted together</t>
  </si>
  <si>
    <t>Uduwatta study total</t>
  </si>
  <si>
    <t>reported AGWC -assuming 25% BGWC</t>
  </si>
  <si>
    <t>13 YO study reported above and belowground C, assumed 0.25 BGBC for 33 YO</t>
  </si>
  <si>
    <t>agb + bgb</t>
  </si>
  <si>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</si>
  <si>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</si>
  <si>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</si>
  <si>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</si>
  <si>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t>abg + bgb</t>
  </si>
  <si>
    <t>bgb unrealistic, applied root:shoot</t>
  </si>
  <si>
    <t>Zhou total</t>
  </si>
  <si>
    <t>23554 kg woody biomass per 100 m of shelterbelt extracted by plot digitizer</t>
  </si>
  <si>
    <t>assuming total width of 8 m</t>
  </si>
  <si>
    <t>assuming 50% C</t>
  </si>
  <si>
    <t>back-calculated trees/ha below</t>
  </si>
  <si>
    <t>Comet</t>
  </si>
  <si>
    <t>Itree Plant (FS)</t>
  </si>
  <si>
    <t>Itree Eco</t>
  </si>
  <si>
    <t>Sharrow</t>
  </si>
  <si>
    <r>
      <rPr>
        <rFont val="Roboto"/>
        <color rgb="FF1155CC"/>
        <u/>
      </rPr>
      <t>(PDF) Cultivar influences rootstock and scion survival of grafted black walnut</t>
    </r>
  </si>
  <si>
    <t>Ahamed_Kentland_HL</t>
  </si>
  <si>
    <t>Ahamed_Kentland_BW</t>
  </si>
  <si>
    <t>Udwatta</t>
  </si>
  <si>
    <t>Dold_A</t>
  </si>
  <si>
    <t>Dold_B</t>
  </si>
  <si>
    <t>Bazrgar_A</t>
  </si>
  <si>
    <t>Bazrgar_B</t>
  </si>
  <si>
    <t>Bazrgar_C</t>
  </si>
  <si>
    <t>Bazrgar_D</t>
  </si>
  <si>
    <t>Bazrgar_E</t>
  </si>
  <si>
    <t>iTree Planting (FS)</t>
  </si>
  <si>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</si>
  <si>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</si>
  <si>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</si>
  <si>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</si>
  <si>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t>Age</t>
  </si>
  <si>
    <t xml:space="preserve">Uduwatta </t>
  </si>
  <si>
    <t>COMET QUPA</t>
  </si>
  <si>
    <t>COMET QUBI</t>
  </si>
  <si>
    <t>COMET QUMA</t>
  </si>
  <si>
    <t>COMET TOTAL</t>
  </si>
  <si>
    <t>FVS QUPA</t>
  </si>
  <si>
    <t>FVS QUBI</t>
  </si>
  <si>
    <t>FVS QUMA</t>
  </si>
  <si>
    <t>FVS TOTAL</t>
  </si>
  <si>
    <t>iTree Planting full sun QUPA</t>
  </si>
  <si>
    <t>iTree Planting full sun QUBI</t>
  </si>
  <si>
    <t>iTree Planting full sun QUMA</t>
  </si>
  <si>
    <t>iTree Planting full sun total</t>
  </si>
  <si>
    <t>iTree Planting part sun QUPA</t>
  </si>
  <si>
    <t>iTree Planting part sun QUBI</t>
  </si>
  <si>
    <t>iTree Planting part sun QUMA</t>
  </si>
  <si>
    <t>iTree Planting part sun total</t>
  </si>
  <si>
    <t>iTree Eco QUPA</t>
  </si>
  <si>
    <t>iTree Eco QUBI</t>
  </si>
  <si>
    <t>iTree Eco QUMA</t>
  </si>
  <si>
    <t>iTree Eco total</t>
  </si>
  <si>
    <t>\</t>
  </si>
  <si>
    <t>DOLD QURA</t>
  </si>
  <si>
    <t>FVS with pruning</t>
  </si>
  <si>
    <t>iTree Planter full sun</t>
  </si>
  <si>
    <t>iTree Planter part sun</t>
  </si>
  <si>
    <t>DOLD CA</t>
  </si>
  <si>
    <t>COMET Juglans nigra</t>
  </si>
  <si>
    <t>COMET Robinia pseudoacacia</t>
  </si>
  <si>
    <t>COMET Fraxinus americana</t>
  </si>
  <si>
    <t>COMET Picea abies</t>
  </si>
  <si>
    <t>COMET Querucs rubra</t>
  </si>
  <si>
    <t>COMET total</t>
  </si>
  <si>
    <t>FVS Fraxinus americana</t>
  </si>
  <si>
    <t>FVS Juglans nigra</t>
  </si>
  <si>
    <t>FVS Robinia pseduoacacia</t>
  </si>
  <si>
    <t>FVS Picea abies</t>
  </si>
  <si>
    <t>FVS Quercus rubra</t>
  </si>
  <si>
    <t>FVS All Species</t>
  </si>
  <si>
    <t>iTree Eco Fraxinus americana</t>
  </si>
  <si>
    <t>iTree Eco Juglans nigra</t>
  </si>
  <si>
    <t>iTree Eco Robinia pseudoacacia</t>
  </si>
  <si>
    <t>iTree Eco Picea abies</t>
  </si>
  <si>
    <t>iTree Eco Quercus rubra</t>
  </si>
  <si>
    <t>iTree Eco ALL SPP</t>
  </si>
  <si>
    <t>iTree Planting full sun Juglans nigra</t>
  </si>
  <si>
    <t>iTree Planting full sun Robinia pseudoacacia</t>
  </si>
  <si>
    <t>iTree Planting full sun Picea abies</t>
  </si>
  <si>
    <t>iTree Planting full sun Quercus rubra</t>
  </si>
  <si>
    <t>iTree Planting full sun Fraxinus americana</t>
  </si>
  <si>
    <t>iTree Planting part sun Juglans nigra</t>
  </si>
  <si>
    <t>iTree Planting partsun Robinia pseudoacacia</t>
  </si>
  <si>
    <t>iTree Planting part sun Picea abies</t>
  </si>
  <si>
    <t>iTree Planting part sun Quercus rubra</t>
  </si>
  <si>
    <t>iTree Planting part sun Fraxinus americana</t>
  </si>
  <si>
    <t>iTree Planting full sun all species</t>
  </si>
  <si>
    <t>iTree Planting part sun all species</t>
  </si>
  <si>
    <t>iTree Planter FS</t>
  </si>
  <si>
    <t>walnut</t>
  </si>
  <si>
    <t>locust</t>
  </si>
  <si>
    <t xml:space="preserve">ash </t>
  </si>
  <si>
    <t xml:space="preserve">spruce </t>
  </si>
  <si>
    <t>oak</t>
  </si>
  <si>
    <t>COMET predefined scenario</t>
  </si>
  <si>
    <t>Ares</t>
  </si>
  <si>
    <t>COMET 100 trees</t>
  </si>
  <si>
    <t>COMET single row 1 ha</t>
  </si>
  <si>
    <t>COMET double row 1 hectare</t>
  </si>
  <si>
    <t>COMET quad row hectare</t>
  </si>
  <si>
    <t>iTree Planter FS 100 trees</t>
  </si>
  <si>
    <t>iTree Planting FS single row 1 hectare</t>
  </si>
  <si>
    <t>iTree Plantng FS double row 1 hectare</t>
  </si>
  <si>
    <t>iTree Planting FS quad row 1 hectare</t>
  </si>
  <si>
    <t>iTree Planter PS 100 trees</t>
  </si>
  <si>
    <t>iTree Planter PS single row 1 hectare</t>
  </si>
  <si>
    <t>iTree Planter PS double row 1 hectare</t>
  </si>
  <si>
    <t>iTree Planter PS quad row 1 hectare</t>
  </si>
  <si>
    <t>iTree Eco 100 trees</t>
  </si>
  <si>
    <t>iTree Eco single row 1 hectare</t>
  </si>
  <si>
    <t>iTree Eco double row 1 hectare</t>
  </si>
  <si>
    <t>iTree Eco quad row 1 hectare</t>
  </si>
  <si>
    <t>FVS single row without pruning</t>
  </si>
  <si>
    <t>FVS double row without pruning</t>
  </si>
  <si>
    <t>FVS quadruple row without pruning</t>
  </si>
  <si>
    <t>FVS single row with pruning</t>
  </si>
  <si>
    <t>FVS double row with pruning</t>
  </si>
  <si>
    <t>FVS quadruple row with pruning</t>
  </si>
  <si>
    <t>single row</t>
  </si>
  <si>
    <t>double row</t>
  </si>
  <si>
    <t>quad row</t>
  </si>
  <si>
    <t>single prune</t>
  </si>
  <si>
    <t>double prune</t>
  </si>
  <si>
    <t>quad prune</t>
  </si>
  <si>
    <t>iTree Planting FS</t>
  </si>
  <si>
    <t>iTree Planting PS</t>
  </si>
  <si>
    <t>iTre Planting PS</t>
  </si>
  <si>
    <t>iTree ECO</t>
  </si>
  <si>
    <t>COMET total (both species fall in same category)</t>
  </si>
  <si>
    <t>iTree Planter FS ROPS</t>
  </si>
  <si>
    <t>iTree Planter FS JUNI</t>
  </si>
  <si>
    <t>iTree Planter PS ROPS</t>
  </si>
  <si>
    <t>iTree Eco ROPS</t>
  </si>
  <si>
    <t>iTree Eco JUNI</t>
  </si>
  <si>
    <t>FVS ROPS approx</t>
  </si>
  <si>
    <t>FVS JUNI approx</t>
  </si>
  <si>
    <t>FVS Total</t>
  </si>
  <si>
    <t>Average</t>
  </si>
  <si>
    <t>Zhou  et al</t>
  </si>
  <si>
    <t>COMET-green ash</t>
  </si>
  <si>
    <t>COMET-Austrian Pine</t>
  </si>
  <si>
    <t>COMET-E red cedar</t>
  </si>
  <si>
    <t>iTree Planting FS FRPE</t>
  </si>
  <si>
    <t>iTree Planting FS PINI</t>
  </si>
  <si>
    <t>iTree Planting FS JUVI</t>
  </si>
  <si>
    <t>iTree Planting PS FRPE</t>
  </si>
  <si>
    <t>iTree Planting PS PINI</t>
  </si>
  <si>
    <t>iTree Planting PS JUVI</t>
  </si>
  <si>
    <t>iTree Eco FRPE</t>
  </si>
  <si>
    <t>iTree Eco PINI</t>
  </si>
  <si>
    <t>iTree Eco JUVI</t>
  </si>
  <si>
    <t>FVS FRPE approx</t>
  </si>
  <si>
    <t>FVS PINI approx</t>
  </si>
  <si>
    <t>FVS JUVI approx</t>
  </si>
  <si>
    <t>FVS total</t>
  </si>
  <si>
    <t>totals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</si>
</sst>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m-d"/>
    <numFmt numFmtId="166" formatCode="0.000"/>
    <numFmt numFmtId="167" formatCode="0.0000"/>
  </numFmts>
  <fonts count="21">
    <font>
      <sz val="10.0"/>
      <color rgb="FF000000"/>
      <name val="Arial"/>
      <scheme val="minor"/>
    </font>
    <font>
      <i/>
      <color theme="1"/>
      <name val="Roboto Slab"/>
    </font>
    <font>
      <color theme="1"/>
      <name val="Arial"/>
      <scheme val="minor"/>
    </font>
    <font>
      <i/>
      <color theme="1"/>
      <name val="Arial"/>
      <scheme val="minor"/>
    </font>
    <font>
      <b/>
      <color theme="1"/>
      <name val="Arial"/>
      <scheme val="minor"/>
    </font>
    <font>
      <color rgb="FF741B47"/>
      <name val="Arial"/>
      <scheme val="minor"/>
    </font>
    <font>
      <color rgb="FF7F6000"/>
      <name val="Arial"/>
      <scheme val="minor"/>
    </font>
    <font>
      <u/>
      <color rgb="FF0000FF"/>
      <name val="Roboto"/>
    </font>
    <font>
      <u/>
      <color rgb="FF0000FF"/>
      <name val="Roboto"/>
    </font>
    <font>
      <b/>
      <color rgb="FF2F3324"/>
      <name val="Helvetica"/>
    </font>
    <font>
      <color rgb="FF2F3324"/>
      <name val="Helvetica"/>
    </font>
    <font>
      <sz val="11.0"/>
      <color rgb="FF000000"/>
      <name val="Arial"/>
    </font>
    <font>
      <color rgb="FF000000"/>
      <name val="Arial"/>
    </font>
    <font>
      <sz val="11.0"/>
      <color rgb="FF000000"/>
      <name val="&quot;Aptos Narrow&quot;"/>
    </font>
    <font>
      <color rgb="FF434343"/>
      <name val="Roboto"/>
    </font>
    <font>
      <color rgb="FF2A3243"/>
      <name val="Roboto"/>
    </font>
    <font>
      <color theme="1"/>
      <name val="Arial"/>
    </font>
    <font>
      <b/>
      <color rgb="FF434343"/>
      <name val="Roboto"/>
    </font>
    <font>
      <color rgb="FF2C481F"/>
      <name val="Roboto"/>
    </font>
    <font>
      <u/>
      <color rgb="FF434343"/>
      <name val="Roboto"/>
    </font>
    <font>
      <b/>
      <color theme="1"/>
      <name val="Arial"/>
    </font>
  </fonts>
  <fills count="14">
    <fill>
      <patternFill patternType="none"/>
    </fill>
    <fill>
      <patternFill patternType="lightGray"/>
    </fill>
    <fill>
      <patternFill patternType="solid">
        <fgColor rgb="FF6FA8DC"/>
        <bgColor rgb="FF6FA8DC"/>
      </patternFill>
    </fill>
    <fill>
      <patternFill patternType="solid">
        <fgColor theme="0"/>
        <bgColor theme="0"/>
      </patternFill>
    </fill>
    <fill>
      <patternFill patternType="solid">
        <fgColor rgb="FFFFF2CC"/>
        <bgColor rgb="FFFFF2CC"/>
      </patternFill>
    </fill>
    <fill>
      <patternFill patternType="solid">
        <fgColor rgb="FFD9EAD3"/>
        <bgColor rgb="FFD9EAD3"/>
      </patternFill>
    </fill>
    <fill>
      <patternFill patternType="solid">
        <fgColor rgb="FF93C47D"/>
        <bgColor rgb="FF93C47D"/>
      </patternFill>
    </fill>
    <fill>
      <patternFill patternType="solid">
        <fgColor rgb="FFB6D7A8"/>
        <bgColor rgb="FFB6D7A8"/>
      </patternFill>
    </fill>
    <fill>
      <patternFill patternType="solid">
        <fgColor rgb="FFFFFFFF"/>
        <bgColor rgb="FFFFFFFF"/>
      </patternFill>
    </fill>
    <fill>
      <patternFill patternType="solid">
        <fgColor rgb="FFF6F8F9"/>
        <bgColor rgb="FFF6F8F9"/>
      </patternFill>
    </fill>
    <fill>
      <patternFill patternType="solid">
        <fgColor rgb="FFF8F9FA"/>
        <bgColor rgb="FFF8F9FA"/>
      </patternFill>
    </fill>
    <fill>
      <patternFill patternType="solid">
        <fgColor rgb="FFC9DAF8"/>
        <bgColor rgb="FFC9DAF8"/>
      </patternFill>
    </fill>
    <fill>
      <patternFill patternType="solid">
        <fgColor rgb="FFD9D9D9"/>
        <bgColor rgb="FFD9D9D9"/>
      </patternFill>
    </fill>
    <fill>
      <patternFill patternType="solid">
        <fgColor rgb="FFFFFF00"/>
        <bgColor rgb="FFFFFF00"/>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2CC"/>
      </right>
      <top style="thin">
        <color rgb="FFFFF2CC"/>
      </top>
      <bottom style="thin">
        <color rgb="FFFFF2CC"/>
      </bottom>
    </border>
    <border>
      <left style="thin">
        <color rgb="FFFFF2CC"/>
      </left>
      <right style="thin">
        <color rgb="FFFFF2CC"/>
      </right>
      <top style="thin">
        <color rgb="FFFFF2CC"/>
      </top>
      <bottom style="thin">
        <color rgb="FFFFF2CC"/>
      </bottom>
    </border>
    <border>
      <left style="thin">
        <color rgb="FFFFF2CC"/>
      </left>
      <right style="thin">
        <color rgb="FF284E3F"/>
      </right>
      <top style="thin">
        <color rgb="FFFFF2CC"/>
      </top>
      <bottom style="thin">
        <color rgb="FFFFF2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ck">
        <color rgb="FFFF0000"/>
      </left>
      <right style="thick">
        <color rgb="FFFF0000"/>
      </right>
      <top style="thick">
        <color rgb="FFFF0000"/>
      </top>
      <bottom style="thick">
        <color rgb="FFFF0000"/>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3" fillId="0" fontId="2" numFmtId="0" xfId="0" applyAlignment="1" applyBorder="1" applyFont="1">
      <alignment horizontal="left" readingOrder="0" shrinkToFit="0" vertical="center" wrapText="0"/>
    </xf>
    <xf borderId="0" fillId="2" fontId="2" numFmtId="0" xfId="0" applyFill="1" applyFont="1"/>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1" xfId="0" applyAlignment="1" applyBorder="1" applyFont="1" applyNumberFormat="1">
      <alignment shrinkToFit="0" vertical="center" wrapText="0"/>
    </xf>
    <xf borderId="5" fillId="0" fontId="4"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3" fontId="2" numFmtId="0" xfId="0" applyFill="1" applyFont="1"/>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1" xfId="0" applyAlignment="1" applyBorder="1" applyFont="1" applyNumberFormat="1">
      <alignment shrinkToFit="0" vertical="center" wrapText="0"/>
    </xf>
    <xf borderId="8" fillId="0" fontId="4"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8" fillId="0" fontId="2" numFmtId="1" xfId="0" applyAlignment="1" applyBorder="1" applyFont="1" applyNumberForma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0" fillId="3" fontId="2" numFmtId="0" xfId="0" applyAlignment="1" applyFont="1">
      <alignment readingOrder="0"/>
    </xf>
    <xf borderId="5" fillId="0" fontId="2" numFmtId="1" xfId="0" applyAlignment="1" applyBorder="1" applyFont="1" applyNumberForma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8" fillId="0" fontId="2" numFmtId="165" xfId="0" applyAlignment="1" applyBorder="1" applyFont="1" applyNumberFormat="1">
      <alignment readingOrder="0" shrinkToFit="0" vertical="center" wrapText="0"/>
    </xf>
    <xf borderId="8" fillId="0" fontId="2" numFmtId="1" xfId="0" applyAlignment="1" applyBorder="1" applyFont="1" applyNumberFormat="1">
      <alignment readingOrder="0" shrinkToFit="0" vertical="center" wrapText="0"/>
    </xf>
    <xf borderId="5" fillId="0" fontId="2" numFmtId="165" xfId="0" applyAlignment="1" applyBorder="1" applyFont="1" applyNumberFormat="1">
      <alignment readingOrder="0" shrinkToFit="0" vertical="center" wrapText="0"/>
    </xf>
    <xf borderId="5" fillId="0" fontId="2" numFmtId="1" xfId="0" applyAlignment="1" applyBorder="1" applyFont="1" applyNumberFormat="1">
      <alignment readingOrder="0" shrinkToFit="0" vertical="center" wrapText="0"/>
    </xf>
    <xf borderId="5" fillId="0" fontId="2" numFmtId="2" xfId="0" applyAlignment="1" applyBorder="1" applyFont="1" applyNumberFormat="1">
      <alignment shrinkToFit="0" vertical="center" wrapText="0"/>
    </xf>
    <xf borderId="5" fillId="0" fontId="4" numFmtId="165" xfId="0" applyAlignment="1" applyBorder="1" applyFont="1" applyNumberFormat="1">
      <alignment readingOrder="0" shrinkToFit="0" vertical="center" wrapText="0"/>
    </xf>
    <xf borderId="5" fillId="0" fontId="2" numFmtId="0" xfId="0" applyAlignment="1" applyBorder="1" applyFont="1">
      <alignment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0" fillId="4" fontId="2" numFmtId="0" xfId="0" applyAlignment="1" applyBorder="1" applyFill="1" applyFont="1">
      <alignment readingOrder="0" shrinkToFit="0" vertical="center" wrapText="0"/>
    </xf>
    <xf borderId="11" fillId="4" fontId="2" numFmtId="0" xfId="0" applyAlignment="1" applyBorder="1" applyFont="1">
      <alignment readingOrder="0" shrinkToFit="0" vertical="center" wrapText="0"/>
    </xf>
    <xf borderId="11" fillId="4" fontId="2" numFmtId="0" xfId="0" applyAlignment="1" applyBorder="1" applyFont="1">
      <alignment shrinkToFit="0" vertical="center" wrapText="0"/>
    </xf>
    <xf borderId="11" fillId="4" fontId="2" numFmtId="0" xfId="0" applyAlignment="1" applyBorder="1" applyFont="1">
      <alignment readingOrder="0" shrinkToFit="0" vertical="center" wrapText="0"/>
    </xf>
    <xf borderId="11" fillId="4" fontId="2" numFmtId="2" xfId="0" applyAlignment="1" applyBorder="1" applyFont="1" applyNumberFormat="1">
      <alignment shrinkToFit="0" vertical="center" wrapText="0"/>
    </xf>
    <xf borderId="11" fillId="4" fontId="2" numFmtId="164" xfId="0" applyAlignment="1" applyBorder="1" applyFont="1" applyNumberFormat="1">
      <alignment shrinkToFit="0" vertical="center" wrapText="0"/>
    </xf>
    <xf borderId="11" fillId="4" fontId="2" numFmtId="0" xfId="0" applyAlignment="1" applyBorder="1" applyFont="1">
      <alignment shrinkToFit="0" vertical="center" wrapText="0"/>
    </xf>
    <xf borderId="11" fillId="4" fontId="4" numFmtId="0" xfId="0" applyAlignment="1" applyBorder="1" applyFont="1">
      <alignment readingOrder="0" shrinkToFit="0" vertical="center" wrapText="0"/>
    </xf>
    <xf borderId="11" fillId="4" fontId="2" numFmtId="1" xfId="0" applyAlignment="1" applyBorder="1" applyFont="1" applyNumberFormat="1">
      <alignment shrinkToFit="0" vertical="center" wrapText="0"/>
    </xf>
    <xf borderId="12" fillId="4" fontId="2" numFmtId="0" xfId="0" applyAlignment="1" applyBorder="1" applyFont="1">
      <alignment shrinkToFit="0" vertical="center" wrapText="0"/>
    </xf>
    <xf borderId="0" fillId="4" fontId="5" numFmtId="0" xfId="0" applyAlignment="1" applyFont="1">
      <alignment readingOrder="0"/>
    </xf>
    <xf borderId="5" fillId="0" fontId="2" numFmtId="2" xfId="0" applyAlignment="1" applyBorder="1" applyFont="1" applyNumberFormat="1">
      <alignment shrinkToFit="0" vertical="center" wrapText="0"/>
    </xf>
    <xf borderId="5" fillId="0" fontId="2" numFmtId="164" xfId="0" applyAlignment="1" applyBorder="1" applyFont="1" applyNumberFormat="1">
      <alignment shrinkToFit="0" vertical="center" wrapText="0"/>
    </xf>
    <xf borderId="0" fillId="0" fontId="6" numFmtId="0" xfId="0" applyAlignment="1" applyFont="1">
      <alignment readingOrder="0"/>
    </xf>
    <xf borderId="8" fillId="0" fontId="2" numFmtId="2" xfId="0" applyAlignment="1" applyBorder="1" applyFont="1" applyNumberFormat="1">
      <alignment shrinkToFit="0" vertical="center" wrapText="0"/>
    </xf>
    <xf borderId="8" fillId="0" fontId="2" numFmtId="164" xfId="0" applyAlignment="1" applyBorder="1" applyFont="1" applyNumberFormat="1">
      <alignment shrinkToFit="0" vertical="center" wrapText="0"/>
    </xf>
    <xf borderId="0" fillId="0" fontId="2" numFmtId="0" xfId="0" applyFont="1"/>
    <xf borderId="11" fillId="4" fontId="2" numFmtId="0" xfId="0" applyAlignment="1" applyBorder="1" applyFont="1">
      <alignment readingOrder="0" shrinkToFit="0" vertical="center" wrapText="0"/>
    </xf>
    <xf borderId="11" fillId="4" fontId="2" numFmtId="164" xfId="0" applyAlignment="1" applyBorder="1" applyFont="1" applyNumberFormat="1">
      <alignment readingOrder="0" shrinkToFit="0" vertical="center" wrapText="0"/>
    </xf>
    <xf borderId="8" fillId="0" fontId="7"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0" fillId="4" fontId="4" numFmtId="0" xfId="0" applyAlignment="1" applyFont="1">
      <alignment readingOrder="0"/>
    </xf>
    <xf borderId="0" fillId="0" fontId="4" numFmtId="0" xfId="0" applyAlignment="1" applyFont="1">
      <alignment readingOrder="0"/>
    </xf>
    <xf borderId="5" fillId="0" fontId="2" numFmtId="0" xfId="0" applyAlignment="1" applyBorder="1" applyFont="1">
      <alignment readingOrder="0" shrinkToFit="0" vertical="center" wrapText="0"/>
    </xf>
    <xf borderId="8" fillId="0" fontId="4" numFmtId="165" xfId="0" applyAlignment="1" applyBorder="1" applyFont="1" applyNumberFormat="1">
      <alignment readingOrder="0" shrinkToFit="0" vertical="center" wrapText="0"/>
    </xf>
    <xf borderId="0" fillId="0" fontId="2" numFmtId="0" xfId="0" applyAlignment="1" applyFont="1">
      <alignment readingOrder="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164" xfId="0" applyAlignment="1" applyBorder="1" applyFont="1" applyNumberFormat="1">
      <alignment readingOrder="0" shrinkToFit="0" vertical="center" wrapText="0"/>
    </xf>
    <xf borderId="14" fillId="0" fontId="2" numFmtId="0" xfId="0" applyAlignment="1" applyBorder="1" applyFont="1">
      <alignment shrinkToFit="0" vertical="center" wrapText="0"/>
    </xf>
    <xf borderId="14" fillId="0" fontId="4"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2" xfId="0" applyAlignment="1" applyBorder="1" applyFont="1" applyNumberFormat="1">
      <alignment readingOrder="0" shrinkToFit="0" vertical="center" wrapText="0"/>
    </xf>
    <xf borderId="14" fillId="0" fontId="2" numFmtId="1" xfId="0" applyAlignment="1" applyBorder="1" applyFont="1" applyNumberFormat="1">
      <alignment readingOrder="0" shrinkToFit="0" vertical="center" wrapText="0"/>
    </xf>
    <xf borderId="15" fillId="0" fontId="2" numFmtId="0" xfId="0" applyAlignment="1" applyBorder="1" applyFont="1">
      <alignment readingOrder="0" shrinkToFit="0" vertical="center" wrapText="0"/>
    </xf>
    <xf borderId="0" fillId="0" fontId="2" numFmtId="164" xfId="0" applyFont="1" applyNumberFormat="1"/>
    <xf borderId="0" fillId="0" fontId="2" numFmtId="2" xfId="0" applyFont="1" applyNumberFormat="1"/>
    <xf borderId="0" fillId="0" fontId="2" numFmtId="0" xfId="0" applyAlignment="1" applyFont="1">
      <alignment readingOrder="0"/>
    </xf>
    <xf borderId="0" fillId="0" fontId="4" numFmtId="165" xfId="0" applyAlignment="1" applyFont="1" applyNumberFormat="1">
      <alignment readingOrder="0"/>
    </xf>
    <xf borderId="0" fillId="0" fontId="4" numFmtId="165" xfId="0" applyFont="1" applyNumberFormat="1"/>
    <xf borderId="0" fillId="5" fontId="2" numFmtId="0" xfId="0" applyAlignment="1" applyFill="1" applyFont="1">
      <alignment readingOrder="0"/>
    </xf>
    <xf borderId="0" fillId="6" fontId="2" numFmtId="0" xfId="0" applyFill="1" applyFont="1"/>
    <xf borderId="0" fillId="0" fontId="3" numFmtId="0" xfId="0" applyAlignment="1" applyFont="1">
      <alignment readingOrder="0"/>
    </xf>
    <xf borderId="0" fillId="7" fontId="2" numFmtId="2" xfId="0" applyAlignment="1" applyFill="1" applyFont="1" applyNumberFormat="1">
      <alignment readingOrder="0"/>
    </xf>
    <xf borderId="0" fillId="7" fontId="2" numFmtId="2" xfId="0" applyFont="1" applyNumberFormat="1"/>
    <xf borderId="0" fillId="7" fontId="2" numFmtId="0" xfId="0" applyAlignment="1" applyFont="1">
      <alignment readingOrder="0"/>
    </xf>
    <xf borderId="0" fillId="0" fontId="9" numFmtId="0" xfId="0" applyAlignment="1" applyFont="1">
      <alignment readingOrder="0" shrinkToFit="0" vertical="bottom" wrapText="0"/>
    </xf>
    <xf borderId="0" fillId="0" fontId="10" numFmtId="0" xfId="0" applyAlignment="1" applyFont="1">
      <alignment readingOrder="0" shrinkToFit="0" vertical="bottom" wrapText="0"/>
    </xf>
    <xf borderId="0" fillId="4" fontId="2" numFmtId="0" xfId="0" applyAlignment="1" applyFont="1">
      <alignment readingOrder="0"/>
    </xf>
    <xf borderId="5" fillId="0" fontId="2" numFmtId="0" xfId="0" applyAlignment="1" applyBorder="1" applyFont="1">
      <alignment readingOrder="0" shrinkToFit="0" vertical="center" wrapText="0"/>
    </xf>
    <xf borderId="0" fillId="3" fontId="2" numFmtId="0" xfId="0" applyAlignment="1" applyFont="1">
      <alignment readingOrder="0"/>
    </xf>
    <xf borderId="0" fillId="0" fontId="11" numFmtId="0" xfId="0" applyAlignment="1" applyFont="1">
      <alignment horizontal="right" readingOrder="0" shrinkToFit="0" vertical="bottom" wrapText="0"/>
    </xf>
    <xf borderId="0" fillId="0" fontId="2" numFmtId="166" xfId="0" applyFont="1" applyNumberFormat="1"/>
    <xf borderId="8" fillId="0" fontId="2" numFmtId="0" xfId="0" applyAlignment="1" applyBorder="1" applyFont="1">
      <alignment readingOrder="0" shrinkToFit="0" vertical="center" wrapText="0"/>
    </xf>
    <xf borderId="0" fillId="3" fontId="2" numFmtId="0" xfId="0" applyFont="1"/>
    <xf borderId="8" fillId="0" fontId="2" numFmtId="0" xfId="0" applyAlignment="1" applyBorder="1" applyFont="1">
      <alignment readingOrder="0" shrinkToFit="0" vertical="center" wrapText="0"/>
    </xf>
    <xf borderId="0" fillId="0" fontId="2" numFmtId="0" xfId="0" applyFont="1"/>
    <xf borderId="0" fillId="3" fontId="4" numFmtId="0" xfId="0" applyFont="1"/>
    <xf borderId="0" fillId="3" fontId="2" numFmtId="2" xfId="0" applyFont="1" applyNumberFormat="1"/>
    <xf borderId="0" fillId="3" fontId="4" numFmtId="166" xfId="0" applyFont="1" applyNumberFormat="1"/>
    <xf borderId="0" fillId="3" fontId="2" numFmtId="2" xfId="0" applyAlignment="1" applyFont="1" applyNumberFormat="1">
      <alignment readingOrder="0"/>
    </xf>
    <xf borderId="0" fillId="8" fontId="12" numFmtId="164" xfId="0" applyAlignment="1" applyFill="1" applyFont="1" applyNumberFormat="1">
      <alignment horizontal="right" readingOrder="0" shrinkToFit="0" vertical="bottom" wrapText="0"/>
    </xf>
    <xf borderId="8" fillId="0" fontId="2" numFmtId="2" xfId="0" applyAlignment="1" applyBorder="1" applyFont="1" applyNumberFormat="1">
      <alignment shrinkToFit="0" vertical="center" wrapText="0"/>
    </xf>
    <xf borderId="8" fillId="0" fontId="2" numFmtId="0" xfId="0" applyAlignment="1" applyBorder="1" applyFont="1">
      <alignment shrinkToFit="0" vertical="center" wrapText="0"/>
    </xf>
    <xf borderId="0" fillId="0" fontId="13"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3" numFmtId="164" xfId="0" applyAlignment="1" applyFont="1" applyNumberFormat="1">
      <alignment shrinkToFit="0" vertical="bottom" wrapText="0"/>
    </xf>
    <xf borderId="0" fillId="0" fontId="12" numFmtId="0" xfId="0" applyAlignment="1" applyFont="1">
      <alignment horizontal="right" readingOrder="0" shrinkToFit="0" vertical="bottom" wrapText="0"/>
    </xf>
    <xf borderId="11" fillId="4" fontId="4" numFmtId="165"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7" fillId="9" fontId="14" numFmtId="0" xfId="0" applyAlignment="1" applyBorder="1" applyFill="1" applyFont="1">
      <alignment readingOrder="0" shrinkToFit="0" wrapText="0"/>
    </xf>
    <xf borderId="8" fillId="9" fontId="15" numFmtId="0" xfId="0" applyAlignment="1" applyBorder="1" applyFont="1">
      <alignment shrinkToFit="0" wrapText="0"/>
    </xf>
    <xf borderId="8" fillId="9" fontId="16" numFmtId="0" xfId="0" applyBorder="1" applyFont="1"/>
    <xf borderId="8" fillId="9" fontId="14" numFmtId="0" xfId="0" applyAlignment="1" applyBorder="1" applyFont="1">
      <alignment shrinkToFit="0" wrapText="0"/>
    </xf>
    <xf borderId="8" fillId="9" fontId="14" numFmtId="2" xfId="0" applyAlignment="1" applyBorder="1" applyFont="1" applyNumberFormat="1">
      <alignment horizontal="right" shrinkToFit="0" wrapText="0"/>
    </xf>
    <xf borderId="8" fillId="9" fontId="16" numFmtId="164" xfId="0" applyBorder="1" applyFont="1" applyNumberFormat="1"/>
    <xf borderId="8" fillId="9" fontId="14" numFmtId="0" xfId="0" applyAlignment="1" applyBorder="1" applyFont="1">
      <alignment horizontal="right" shrinkToFit="0" wrapText="0"/>
    </xf>
    <xf borderId="8" fillId="9" fontId="14" numFmtId="0" xfId="0" applyAlignment="1" applyBorder="1" applyFont="1">
      <alignment horizontal="right" shrinkToFit="0" wrapText="0"/>
    </xf>
    <xf borderId="8" fillId="9" fontId="17" numFmtId="0" xfId="0" applyAlignment="1" applyBorder="1" applyFont="1">
      <alignment horizontal="right" shrinkToFit="0" wrapText="0"/>
    </xf>
    <xf borderId="8" fillId="9" fontId="14" numFmtId="164" xfId="0" applyAlignment="1" applyBorder="1" applyFont="1" applyNumberFormat="1">
      <alignment horizontal="right" shrinkToFit="0" wrapText="0"/>
    </xf>
    <xf borderId="8" fillId="9" fontId="14" numFmtId="1" xfId="0" applyAlignment="1" applyBorder="1" applyFont="1" applyNumberFormat="1">
      <alignment horizontal="right" shrinkToFit="0" wrapText="0"/>
    </xf>
    <xf borderId="9" fillId="9" fontId="14" numFmtId="0" xfId="0" applyAlignment="1" applyBorder="1" applyFont="1">
      <alignment shrinkToFit="0" wrapText="0"/>
    </xf>
    <xf borderId="0" fillId="10" fontId="16" numFmtId="0" xfId="0" applyAlignment="1" applyFill="1" applyFont="1">
      <alignment horizontal="center"/>
    </xf>
    <xf borderId="0" fillId="0" fontId="16" numFmtId="0" xfId="0" applyAlignment="1" applyFont="1">
      <alignment horizontal="center"/>
    </xf>
    <xf borderId="0" fillId="0" fontId="16" numFmtId="0" xfId="0" applyAlignment="1" applyFont="1">
      <alignment vertical="bottom"/>
    </xf>
    <xf borderId="0" fillId="0" fontId="16" numFmtId="0" xfId="0" applyAlignment="1" applyFont="1">
      <alignment horizontal="right" vertical="bottom"/>
    </xf>
    <xf borderId="4" fillId="8" fontId="14" numFmtId="0" xfId="0" applyAlignment="1" applyBorder="1" applyFont="1">
      <alignment shrinkToFit="0" wrapText="0"/>
    </xf>
    <xf borderId="5" fillId="8" fontId="18" numFmtId="0" xfId="0" applyAlignment="1" applyBorder="1" applyFont="1">
      <alignment shrinkToFit="0" wrapText="0"/>
    </xf>
    <xf borderId="5" fillId="8" fontId="14" numFmtId="0" xfId="0" applyAlignment="1" applyBorder="1" applyFont="1">
      <alignment shrinkToFit="0" wrapText="0"/>
    </xf>
    <xf borderId="5" fillId="8" fontId="16" numFmtId="0" xfId="0" applyBorder="1" applyFont="1"/>
    <xf borderId="5" fillId="8" fontId="14" numFmtId="0" xfId="0" applyAlignment="1" applyBorder="1" applyFont="1">
      <alignment horizontal="right" shrinkToFit="0" wrapText="0"/>
    </xf>
    <xf borderId="5" fillId="8" fontId="16" numFmtId="2" xfId="0" applyBorder="1" applyFont="1" applyNumberFormat="1"/>
    <xf borderId="5" fillId="8" fontId="14" numFmtId="164" xfId="0" applyAlignment="1" applyBorder="1" applyFont="1" applyNumberFormat="1">
      <alignment horizontal="right" shrinkToFit="0" wrapText="0"/>
    </xf>
    <xf borderId="5" fillId="8" fontId="14" numFmtId="0" xfId="0" applyAlignment="1" applyBorder="1" applyFont="1">
      <alignment horizontal="right" shrinkToFit="0" wrapText="0"/>
    </xf>
    <xf borderId="5" fillId="8" fontId="17" numFmtId="0" xfId="0" applyAlignment="1" applyBorder="1" applyFont="1">
      <alignment horizontal="right" shrinkToFit="0" wrapText="0"/>
    </xf>
    <xf borderId="5" fillId="8" fontId="16" numFmtId="164" xfId="0" applyBorder="1" applyFont="1" applyNumberFormat="1"/>
    <xf borderId="5" fillId="8" fontId="14" numFmtId="1" xfId="0" applyAlignment="1" applyBorder="1" applyFont="1" applyNumberFormat="1">
      <alignment horizontal="right" shrinkToFit="0" wrapText="0"/>
    </xf>
    <xf borderId="5" fillId="8" fontId="19" numFmtId="0" xfId="0" applyAlignment="1" applyBorder="1" applyFont="1">
      <alignment shrinkToFit="0" wrapText="0"/>
    </xf>
    <xf borderId="6" fillId="8" fontId="14" numFmtId="0" xfId="0" applyAlignment="1" applyBorder="1" applyFont="1">
      <alignment shrinkToFit="0" wrapText="0"/>
    </xf>
    <xf borderId="5" fillId="8" fontId="15" numFmtId="0" xfId="0" applyAlignment="1" applyBorder="1" applyFont="1">
      <alignment shrinkToFit="0" wrapText="0"/>
    </xf>
    <xf borderId="5" fillId="8" fontId="16" numFmtId="0" xfId="0" applyBorder="1" applyFont="1"/>
    <xf borderId="5" fillId="8" fontId="14" numFmtId="2" xfId="0" applyAlignment="1" applyBorder="1" applyFont="1" applyNumberFormat="1">
      <alignment horizontal="right" shrinkToFit="0" wrapText="0"/>
    </xf>
    <xf borderId="6" fillId="8" fontId="16" numFmtId="0" xfId="0" applyBorder="1" applyFont="1"/>
    <xf borderId="0" fillId="0" fontId="20" numFmtId="0" xfId="0" applyAlignment="1" applyFont="1">
      <alignment horizontal="center"/>
    </xf>
    <xf borderId="7" fillId="9" fontId="14" numFmtId="0" xfId="0" applyAlignment="1" applyBorder="1" applyFont="1">
      <alignment shrinkToFit="0" wrapText="0"/>
    </xf>
    <xf borderId="8" fillId="9" fontId="16" numFmtId="2" xfId="0" applyBorder="1" applyFont="1" applyNumberFormat="1"/>
    <xf borderId="8" fillId="9" fontId="16" numFmtId="0" xfId="0" applyBorder="1" applyFont="1"/>
    <xf borderId="9" fillId="9" fontId="16" numFmtId="0" xfId="0" applyBorder="1" applyFont="1"/>
    <xf borderId="0" fillId="0" fontId="2" numFmtId="0" xfId="0" applyFont="1"/>
    <xf borderId="0" fillId="0" fontId="2" numFmtId="2" xfId="0" applyFont="1" applyNumberFormat="1"/>
    <xf borderId="0" fillId="0" fontId="2" numFmtId="164" xfId="0" applyFont="1" applyNumberFormat="1"/>
    <xf borderId="0" fillId="0" fontId="2" numFmtId="0" xfId="0" applyAlignment="1" applyFont="1">
      <alignment readingOrder="0"/>
    </xf>
    <xf borderId="0" fillId="0" fontId="2" numFmtId="2" xfId="0" applyAlignment="1" applyFont="1" applyNumberForma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0" xfId="0" applyAlignment="1" applyFont="1">
      <alignment readingOrder="0"/>
    </xf>
    <xf borderId="0" fillId="0" fontId="2" numFmtId="2"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1" xfId="0" applyFont="1" applyNumberFormat="1"/>
    <xf borderId="0" fillId="0" fontId="2" numFmtId="165" xfId="0" applyAlignment="1" applyFont="1" applyNumberFormat="1">
      <alignment readingOrder="0"/>
    </xf>
    <xf borderId="0" fillId="0" fontId="2" numFmtId="0" xfId="0" applyAlignment="1" applyFont="1">
      <alignment readingOrder="0"/>
    </xf>
    <xf borderId="0" fillId="0" fontId="2" numFmtId="1" xfId="0" applyFont="1" applyNumberFormat="1"/>
    <xf borderId="0" fillId="11" fontId="2" numFmtId="0" xfId="0" applyAlignment="1" applyFill="1" applyFont="1">
      <alignment readingOrder="0"/>
    </xf>
    <xf borderId="16" fillId="0" fontId="2" numFmtId="0" xfId="0" applyAlignment="1" applyBorder="1" applyFont="1">
      <alignment readingOrder="0"/>
    </xf>
    <xf borderId="0" fillId="3" fontId="2" numFmtId="167" xfId="0" applyFont="1" applyNumberFormat="1"/>
    <xf borderId="0" fillId="8" fontId="2" numFmtId="2" xfId="0" applyFont="1" applyNumberFormat="1"/>
    <xf borderId="0" fillId="8" fontId="16" numFmtId="2" xfId="0" applyAlignment="1" applyFont="1" applyNumberFormat="1">
      <alignment horizontal="right" vertical="bottom"/>
    </xf>
    <xf borderId="0" fillId="8" fontId="2" numFmtId="0" xfId="0" applyFont="1"/>
    <xf borderId="14" fillId="0" fontId="2" numFmtId="0" xfId="0" applyAlignment="1" applyBorder="1" applyFont="1">
      <alignment readingOrder="0" shrinkToFit="0" vertical="center" wrapText="0"/>
    </xf>
    <xf borderId="14" fillId="0" fontId="4" numFmtId="165" xfId="0" applyAlignment="1" applyBorder="1" applyFont="1" applyNumberFormat="1">
      <alignment readingOrder="0" shrinkToFit="0" vertical="center" wrapText="0"/>
    </xf>
    <xf borderId="3" fillId="0" fontId="1" numFmtId="0" xfId="0" applyAlignment="1" applyBorder="1" applyFont="1">
      <alignment horizontal="lef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8" fontId="2" numFmtId="166" xfId="0" applyAlignment="1" applyFont="1" applyNumberFormat="1">
      <alignment readingOrder="0"/>
    </xf>
    <xf borderId="17"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0" fillId="12" fontId="2" numFmtId="0" xfId="0" applyAlignment="1" applyFill="1" applyFont="1">
      <alignment readingOrder="0"/>
    </xf>
    <xf borderId="0" fillId="0" fontId="16" numFmtId="2" xfId="0" applyAlignment="1" applyFont="1" applyNumberFormat="1">
      <alignment horizontal="right" vertical="bottom"/>
    </xf>
    <xf borderId="0" fillId="5" fontId="16" numFmtId="0" xfId="0" applyAlignment="1" applyFont="1">
      <alignment horizontal="right" vertical="bottom"/>
    </xf>
    <xf borderId="0" fillId="5" fontId="16" numFmtId="2" xfId="0" applyAlignment="1" applyFont="1" applyNumberFormat="1">
      <alignment horizontal="right" vertical="bottom"/>
    </xf>
    <xf borderId="0" fillId="5" fontId="16" numFmtId="0" xfId="0" applyAlignment="1" applyFont="1">
      <alignment vertical="bottom"/>
    </xf>
    <xf borderId="0" fillId="5" fontId="16" numFmtId="0" xfId="0" applyAlignment="1" applyFont="1">
      <alignment readingOrder="0" vertical="bottom"/>
    </xf>
    <xf borderId="0" fillId="13" fontId="16" numFmtId="0" xfId="0" applyAlignment="1" applyFill="1" applyFont="1">
      <alignment horizontal="right" vertical="bottom"/>
    </xf>
    <xf borderId="0" fillId="13" fontId="2"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38">
    <tableStyle count="3" pivot="0" name="summary-style">
      <tableStyleElement dxfId="1" type="headerRow"/>
      <tableStyleElement dxfId="2" type="firstRowStripe"/>
      <tableStyleElement dxfId="3" type="secondRowStripe"/>
    </tableStyle>
    <tableStyle count="2" pivot="0" name="summary-style 2">
      <tableStyleElement dxfId="2" type="firstRowStripe"/>
      <tableStyleElement dxfId="4" type="secondRowStripe"/>
    </tableStyle>
    <tableStyle count="2" pivot="0" name="summary-style 3">
      <tableStyleElement dxfId="4" type="firstRowStripe"/>
      <tableStyleElement dxfId="2" type="secondRowStripe"/>
    </tableStyle>
    <tableStyle count="2" pivot="0" name="summary-style 4">
      <tableStyleElement dxfId="4" type="firstRowStripe"/>
      <tableStyleElement dxfId="2" type="secondRowStripe"/>
    </tableStyle>
    <tableStyle count="2" pivot="0" name="summary-style 5">
      <tableStyleElement dxfId="4" type="firstRowStripe"/>
      <tableStyleElement dxfId="2" type="secondRowStripe"/>
    </tableStyle>
    <tableStyle count="2" pivot="0" name="summary-style 6">
      <tableStyleElement dxfId="4" type="firstRowStripe"/>
      <tableStyleElement dxfId="2" type="secondRowStripe"/>
    </tableStyle>
    <tableStyle count="2" pivot="0" name="summary-style 7">
      <tableStyleElement dxfId="4" type="firstRowStripe"/>
      <tableStyleElement dxfId="2" type="secondRowStripe"/>
    </tableStyle>
    <tableStyle count="2" pivot="0" name="summary-style 8">
      <tableStyleElement dxfId="4" type="firstRowStripe"/>
      <tableStyleElement dxfId="2" type="secondRowStripe"/>
    </tableStyle>
    <tableStyle count="2" pivot="0" name="summary-style 9">
      <tableStyleElement dxfId="4" type="firstRowStripe"/>
      <tableStyleElement dxfId="2" type="secondRowStripe"/>
    </tableStyle>
    <tableStyle count="3" pivot="0" name="Empirical Results-style">
      <tableStyleElement dxfId="1" type="headerRow"/>
      <tableStyleElement dxfId="2" type="firstRowStripe"/>
      <tableStyleElement dxfId="3" type="secondRowStripe"/>
    </tableStyle>
    <tableStyle count="2" pivot="0" name="Empirical Results-style 2">
      <tableStyleElement dxfId="2" type="firstRowStripe"/>
      <tableStyleElement dxfId="4" type="secondRowStripe"/>
    </tableStyle>
    <tableStyle count="2" pivot="0" name="Empirical Results-style 3">
      <tableStyleElement dxfId="4" type="firstRowStripe"/>
      <tableStyleElement dxfId="2" type="secondRowStripe"/>
    </tableStyle>
    <tableStyle count="2" pivot="0" name="Empirical Results-style 4">
      <tableStyleElement dxfId="4" type="firstRowStripe"/>
      <tableStyleElement dxfId="2" type="secondRowStripe"/>
    </tableStyle>
    <tableStyle count="2" pivot="0" name="Empirical Results-style 5">
      <tableStyleElement dxfId="4" type="firstRowStripe"/>
      <tableStyleElement dxfId="2" type="secondRowStripe"/>
    </tableStyle>
    <tableStyle count="2" pivot="0" name="Empirical Results-style 6">
      <tableStyleElement dxfId="4" type="firstRowStripe"/>
      <tableStyleElement dxfId="2" type="secondRowStripe"/>
    </tableStyle>
    <tableStyle count="2" pivot="0" name="Empirical Results-style 7">
      <tableStyleElement dxfId="4" type="firstRowStripe"/>
      <tableStyleElement dxfId="2" type="secondRowStripe"/>
    </tableStyle>
    <tableStyle count="2" pivot="0" name="Empirical Results-style 8">
      <tableStyleElement dxfId="4" type="firstRowStripe"/>
      <tableStyleElement dxfId="2" type="secondRowStripe"/>
    </tableStyle>
    <tableStyle count="2" pivot="0" name="Empirical Results-style 9">
      <tableStyleElement dxfId="4" type="firstRowStripe"/>
      <tableStyleElement dxfId="2" type="secondRowStripe"/>
    </tableStyle>
    <tableStyle count="2" pivot="0" name="Empirical Results-style 10">
      <tableStyleElement dxfId="4" type="firstRowStripe"/>
      <tableStyleElement dxfId="2" type="secondRowStripe"/>
    </tableStyle>
    <tableStyle count="3" pivot="0" name="old-style">
      <tableStyleElement dxfId="1" type="headerRow"/>
      <tableStyleElement dxfId="2" type="firstRowStripe"/>
      <tableStyleElement dxfId="3" type="secondRowStripe"/>
    </tableStyle>
    <tableStyle count="2" pivot="0" name="old-style 2">
      <tableStyleElement dxfId="2" type="firstRowStripe"/>
      <tableStyleElement dxfId="4" type="secondRowStripe"/>
    </tableStyle>
    <tableStyle count="2" pivot="0" name="old-style 3">
      <tableStyleElement dxfId="3" type="firstRowStripe"/>
      <tableStyleElement dxfId="2" type="secondRowStripe"/>
    </tableStyle>
    <tableStyle count="2" pivot="0" name="old-style 4">
      <tableStyleElement dxfId="3" type="firstRowStripe"/>
      <tableStyleElement dxfId="2" type="secondRowStripe"/>
    </tableStyle>
    <tableStyle count="2" pivot="0" name="old-style 5">
      <tableStyleElement dxfId="2" type="firstRowStripe"/>
      <tableStyleElement dxfId="4" type="secondRowStripe"/>
    </tableStyle>
    <tableStyle count="2" pivot="0" name="old-style 6">
      <tableStyleElement dxfId="4" type="firstRowStripe"/>
      <tableStyleElement dxfId="2" type="secondRowStripe"/>
    </tableStyle>
    <tableStyle count="2" pivot="0" name="old-style 7">
      <tableStyleElement dxfId="4" type="firstRowStripe"/>
      <tableStyleElement dxfId="2" type="secondRowStripe"/>
    </tableStyle>
    <tableStyle count="3" pivot="0" name="Nates Empirical-style">
      <tableStyleElement dxfId="1" type="headerRow"/>
      <tableStyleElement dxfId="2" type="firstRowStripe"/>
      <tableStyleElement dxfId="3" type="secondRowStripe"/>
    </tableStyle>
    <tableStyle count="2" pivot="0" name="Nates Empirical-style 2">
      <tableStyleElement dxfId="2" type="firstRowStripe"/>
      <tableStyleElement dxfId="4" type="secondRowStripe"/>
    </tableStyle>
    <tableStyle count="2" pivot="0" name="Nates Empirical-style 3">
      <tableStyleElement dxfId="4" type="firstRowStripe"/>
      <tableStyleElement dxfId="2" type="secondRowStripe"/>
    </tableStyle>
    <tableStyle count="2" pivot="0" name="Nates Empirical-style 4">
      <tableStyleElement dxfId="4" type="firstRowStripe"/>
      <tableStyleElement dxfId="2" type="secondRowStripe"/>
    </tableStyle>
    <tableStyle count="2" pivot="0" name="Nates Empirical-style 5">
      <tableStyleElement dxfId="4" type="firstRowStripe"/>
      <tableStyleElement dxfId="2" type="secondRowStripe"/>
    </tableStyle>
    <tableStyle count="2" pivot="0" name="Nates Empirical-style 6">
      <tableStyleElement dxfId="4" type="firstRowStripe"/>
      <tableStyleElement dxfId="2" type="secondRowStripe"/>
    </tableStyle>
    <tableStyle count="2" pivot="0" name="Nates Empirical-style 7">
      <tableStyleElement dxfId="4" type="firstRowStripe"/>
      <tableStyleElement dxfId="2" type="secondRowStripe"/>
    </tableStyle>
    <tableStyle count="2" pivot="0" name="Nates Empirical-style 8">
      <tableStyleElement dxfId="4" type="firstRowStripe"/>
      <tableStyleElement dxfId="2" type="secondRowStripe"/>
    </tableStyle>
    <tableStyle count="2" pivot="0" name="Nates Empirical-style 9">
      <tableStyleElement dxfId="4" type="firstRowStripe"/>
      <tableStyleElement dxfId="2" type="secondRowStripe"/>
    </tableStyle>
    <tableStyle count="2" pivot="0" name="Nates Empirical-style 10">
      <tableStyleElement dxfId="4" type="firstRowStripe"/>
      <tableStyleElement dxfId="2" type="secondRowStripe"/>
    </tableStyle>
    <tableStyle count="3" pivot="0" name="empirical_simple-style">
      <tableStyleElement dxfId="1" type="headerRow"/>
      <tableStyleElement dxfId="2" type="firstRowStripe"/>
      <tableStyleElement dxfId="3" type="secondRowStripe"/>
    </tableStyle>
    <tableStyle count="2" pivot="0" name="empirical_simple-style 2">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0, 10, 20, 30, 40…</a:t>
            </a:r>
          </a:p>
        </c:rich>
      </c:tx>
      <c:overlay val="0"/>
    </c:title>
    <c:plotArea>
      <c:layout/>
      <c:lineChart>
        <c:varyColors val="0"/>
        <c:ser>
          <c:idx val="0"/>
          <c:order val="0"/>
          <c:tx>
            <c:strRef>
              <c:f>COMET!$B$4:$B$5</c:f>
            </c:strRef>
          </c:tx>
          <c:spPr>
            <a:ln cmpd="sng">
              <a:solidFill>
                <a:srgbClr val="4285F4"/>
              </a:solidFill>
            </a:ln>
          </c:spPr>
          <c:marker>
            <c:symbol val="none"/>
          </c:marker>
          <c:cat>
            <c:strRef>
              <c:f>COMET!$A$6:$A$66</c:f>
            </c:strRef>
          </c:cat>
          <c:val>
            <c:numRef>
              <c:f>COMET!$B$6:$B$66</c:f>
              <c:numCache/>
            </c:numRef>
          </c:val>
          <c:smooth val="0"/>
        </c:ser>
        <c:axId val="1368502425"/>
        <c:axId val="1753068039"/>
      </c:lineChart>
      <c:catAx>
        <c:axId val="13685024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753068039"/>
      </c:catAx>
      <c:valAx>
        <c:axId val="17530680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850242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781050</xdr:colOff>
      <xdr:row>14</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J59" displayName="Table1" name="Table1" id="1">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summary-style" showColumnStripes="0" showFirstColumn="1" showLastColumn="1" showRowStripes="1"/>
</table>
</file>

<file path=xl/tables/table10.xml><?xml version="1.0" encoding="utf-8"?>
<table xmlns="http://schemas.openxmlformats.org/spreadsheetml/2006/main" ref="A1:AJ61" displayName="Table1_2" name="Table1_2" id="10">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Empirical Results-style" showColumnStripes="0" showFirstColumn="1" showLastColumn="1" showRowStripes="1"/>
</table>
</file>

<file path=xl/tables/table11.xml><?xml version="1.0" encoding="utf-8"?>
<table xmlns="http://schemas.openxmlformats.org/spreadsheetml/2006/main" headerRowCount="0" ref="AK1:AX14" displayName="Table_9" name="Table_9" id="1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Empirical Results-style 2" showColumnStripes="0" showFirstColumn="1" showLastColumn="1" showRowStripes="1"/>
</table>
</file>

<file path=xl/tables/table12.xml><?xml version="1.0" encoding="utf-8"?>
<table xmlns="http://schemas.openxmlformats.org/spreadsheetml/2006/main" headerRowCount="0" ref="AK15:AM15" displayName="Table_10" name="Table_10" id="12">
  <tableColumns count="3">
    <tableColumn name="Column1" id="1"/>
    <tableColumn name="Column2" id="2"/>
    <tableColumn name="Column3" id="3"/>
  </tableColumns>
  <tableStyleInfo name="Empirical Results-style 3" showColumnStripes="0" showFirstColumn="1" showLastColumn="1" showRowStripes="1"/>
</table>
</file>

<file path=xl/tables/table13.xml><?xml version="1.0" encoding="utf-8"?>
<table xmlns="http://schemas.openxmlformats.org/spreadsheetml/2006/main" headerRowCount="0" ref="AK16:AM16" displayName="Table_11" name="Table_11" id="13">
  <tableColumns count="3">
    <tableColumn name="Column1" id="1"/>
    <tableColumn name="Column2" id="2"/>
    <tableColumn name="Column3" id="3"/>
  </tableColumns>
  <tableStyleInfo name="Empirical Results-style 4" showColumnStripes="0" showFirstColumn="1" showLastColumn="1" showRowStripes="1"/>
</table>
</file>

<file path=xl/tables/table14.xml><?xml version="1.0" encoding="utf-8"?>
<table xmlns="http://schemas.openxmlformats.org/spreadsheetml/2006/main" headerRowCount="0" ref="AK17:AM17" displayName="Table_12" name="Table_12" id="14">
  <tableColumns count="3">
    <tableColumn name="Column1" id="1"/>
    <tableColumn name="Column2" id="2"/>
    <tableColumn name="Column3" id="3"/>
  </tableColumns>
  <tableStyleInfo name="Empirical Results-style 5" showColumnStripes="0" showFirstColumn="1" showLastColumn="1" showRowStripes="1"/>
</table>
</file>

<file path=xl/tables/table15.xml><?xml version="1.0" encoding="utf-8"?>
<table xmlns="http://schemas.openxmlformats.org/spreadsheetml/2006/main" headerRowCount="0" ref="AX17" displayName="Table_13" name="Table_13" id="15">
  <tableColumns count="1">
    <tableColumn name="Column1" id="1"/>
  </tableColumns>
  <tableStyleInfo name="Empirical Results-style 6" showColumnStripes="0" showFirstColumn="1" showLastColumn="1" showRowStripes="1"/>
</table>
</file>

<file path=xl/tables/table16.xml><?xml version="1.0" encoding="utf-8"?>
<table xmlns="http://schemas.openxmlformats.org/spreadsheetml/2006/main" headerRowCount="0" ref="AK18:AM18" displayName="Table_14" name="Table_14" id="16">
  <tableColumns count="3">
    <tableColumn name="Column1" id="1"/>
    <tableColumn name="Column2" id="2"/>
    <tableColumn name="Column3" id="3"/>
  </tableColumns>
  <tableStyleInfo name="Empirical Results-style 7" showColumnStripes="0" showFirstColumn="1" showLastColumn="1" showRowStripes="1"/>
</table>
</file>

<file path=xl/tables/table17.xml><?xml version="1.0" encoding="utf-8"?>
<table xmlns="http://schemas.openxmlformats.org/spreadsheetml/2006/main" headerRowCount="0" ref="AK19:AM19" displayName="Table_15" name="Table_15" id="17">
  <tableColumns count="3">
    <tableColumn name="Column1" id="1"/>
    <tableColumn name="Column2" id="2"/>
    <tableColumn name="Column3" id="3"/>
  </tableColumns>
  <tableStyleInfo name="Empirical Results-style 8" showColumnStripes="0" showFirstColumn="1" showLastColumn="1" showRowStripes="1"/>
</table>
</file>

<file path=xl/tables/table18.xml><?xml version="1.0" encoding="utf-8"?>
<table xmlns="http://schemas.openxmlformats.org/spreadsheetml/2006/main" headerRowCount="0" ref="AK41:AM41" displayName="Table_16" name="Table_16" id="18">
  <tableColumns count="3">
    <tableColumn name="Column1" id="1"/>
    <tableColumn name="Column2" id="2"/>
    <tableColumn name="Column3" id="3"/>
  </tableColumns>
  <tableStyleInfo name="Empirical Results-style 9" showColumnStripes="0" showFirstColumn="1" showLastColumn="1" showRowStripes="1"/>
</table>
</file>

<file path=xl/tables/table19.xml><?xml version="1.0" encoding="utf-8"?>
<table xmlns="http://schemas.openxmlformats.org/spreadsheetml/2006/main" headerRowCount="0" ref="AK46:AM46" displayName="Table_17" name="Table_17" id="19">
  <tableColumns count="3">
    <tableColumn name="Column1" id="1"/>
    <tableColumn name="Column2" id="2"/>
    <tableColumn name="Column3" id="3"/>
  </tableColumns>
  <tableStyleInfo name="Empirical Results-style 10" showColumnStripes="0" showFirstColumn="1" showLastColumn="1" showRowStripes="1"/>
</table>
</file>

<file path=xl/tables/table2.xml><?xml version="1.0" encoding="utf-8"?>
<table xmlns="http://schemas.openxmlformats.org/spreadsheetml/2006/main" headerRowCount="0" ref="AK1:AO13" displayName="Table_1" name="Table_1" id="2">
  <tableColumns count="5">
    <tableColumn name="Column1" id="1"/>
    <tableColumn name="Column2" id="2"/>
    <tableColumn name="Column3" id="3"/>
    <tableColumn name="Column4" id="4"/>
    <tableColumn name="Column5" id="5"/>
  </tableColumns>
  <tableStyleInfo name="summary-style 2" showColumnStripes="0" showFirstColumn="1" showLastColumn="1" showRowStripes="1"/>
</table>
</file>

<file path=xl/tables/table20.xml><?xml version="1.0" encoding="utf-8"?>
<table xmlns="http://schemas.openxmlformats.org/spreadsheetml/2006/main" headerRowCount="0" ref="A1:AJ1" displayName="Table2" name="Table2" id="20">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K1:BC1" displayName="Table_18" name="Table_18" id="2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ld-style 2" showColumnStripes="0" showFirstColumn="1" showLastColumn="1" showRowStripes="1"/>
</table>
</file>

<file path=xl/tables/table22.xml><?xml version="1.0" encoding="utf-8"?>
<table xmlns="http://schemas.openxmlformats.org/spreadsheetml/2006/main" headerRowCount="0" ref="A7:AJ8" displayName="Table_19" name="Table_19" id="22">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3" showColumnStripes="0" showFirstColumn="1" showLastColumn="1" showRowStripes="1"/>
</table>
</file>

<file path=xl/tables/table23.xml><?xml version="1.0" encoding="utf-8"?>
<table xmlns="http://schemas.openxmlformats.org/spreadsheetml/2006/main" headerRowCount="0" ref="A9:AJ20" displayName="Table_20" name="Table_20" id="23">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4" showColumnStripes="0" showFirstColumn="1" showLastColumn="1" showRowStripes="1"/>
</table>
</file>

<file path=xl/tables/table24.xml><?xml version="1.0" encoding="utf-8"?>
<table xmlns="http://schemas.openxmlformats.org/spreadsheetml/2006/main" headerRowCount="0" ref="AK9:BC18" displayName="Table_21" name="Table_21" id="2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ld-style 5" showColumnStripes="0" showFirstColumn="1" showLastColumn="1" showRowStripes="1"/>
</table>
</file>

<file path=xl/tables/table25.xml><?xml version="1.0" encoding="utf-8"?>
<table xmlns="http://schemas.openxmlformats.org/spreadsheetml/2006/main" headerRowCount="0" ref="AK19:AM19" displayName="Table_22" name="Table_22" id="25">
  <tableColumns count="3">
    <tableColumn name="Column1" id="1"/>
    <tableColumn name="Column2" id="2"/>
    <tableColumn name="Column3" id="3"/>
  </tableColumns>
  <tableStyleInfo name="old-style 6" showColumnStripes="0" showFirstColumn="1" showLastColumn="1" showRowStripes="1"/>
</table>
</file>

<file path=xl/tables/table26.xml><?xml version="1.0" encoding="utf-8"?>
<table xmlns="http://schemas.openxmlformats.org/spreadsheetml/2006/main" headerRowCount="0" ref="AK20:AM20" displayName="Table_23" name="Table_23" id="26">
  <tableColumns count="3">
    <tableColumn name="Column1" id="1"/>
    <tableColumn name="Column2" id="2"/>
    <tableColumn name="Column3" id="3"/>
  </tableColumns>
  <tableStyleInfo name="old-style 7" showColumnStripes="0" showFirstColumn="1" showLastColumn="1" showRowStripes="1"/>
</table>
</file>

<file path=xl/tables/table27.xml><?xml version="1.0" encoding="utf-8"?>
<table xmlns="http://schemas.openxmlformats.org/spreadsheetml/2006/main" ref="A1:AJ61" displayName="Table1_3" name="Table1_3" id="27">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Nates Empirical-style" showColumnStripes="0" showFirstColumn="1" showLastColumn="1" showRowStripes="1"/>
</table>
</file>

<file path=xl/tables/table28.xml><?xml version="1.0" encoding="utf-8"?>
<table xmlns="http://schemas.openxmlformats.org/spreadsheetml/2006/main" headerRowCount="0" ref="AK1:BC14" displayName="Table_24" name="Table_24" id="28">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Nates Empirical-style 2" showColumnStripes="0" showFirstColumn="1" showLastColumn="1" showRowStripes="1"/>
</table>
</file>

<file path=xl/tables/table29.xml><?xml version="1.0" encoding="utf-8"?>
<table xmlns="http://schemas.openxmlformats.org/spreadsheetml/2006/main" headerRowCount="0" ref="AK15:AM15" displayName="Table_25" name="Table_25" id="29">
  <tableColumns count="3">
    <tableColumn name="Column1" id="1"/>
    <tableColumn name="Column2" id="2"/>
    <tableColumn name="Column3" id="3"/>
  </tableColumns>
  <tableStyleInfo name="Nates Empirical-style 3" showColumnStripes="0" showFirstColumn="1" showLastColumn="1" showRowStripes="1"/>
</table>
</file>

<file path=xl/tables/table3.xml><?xml version="1.0" encoding="utf-8"?>
<table xmlns="http://schemas.openxmlformats.org/spreadsheetml/2006/main" headerRowCount="0" ref="AK14:AM14" displayName="Table_2" name="Table_2" id="3">
  <tableColumns count="3">
    <tableColumn name="Column1" id="1"/>
    <tableColumn name="Column2" id="2"/>
    <tableColumn name="Column3" id="3"/>
  </tableColumns>
  <tableStyleInfo name="summary-style 3" showColumnStripes="0" showFirstColumn="1" showLastColumn="1" showRowStripes="1"/>
</table>
</file>

<file path=xl/tables/table30.xml><?xml version="1.0" encoding="utf-8"?>
<table xmlns="http://schemas.openxmlformats.org/spreadsheetml/2006/main" headerRowCount="0" ref="AK16:AM16" displayName="Table_26" name="Table_26" id="30">
  <tableColumns count="3">
    <tableColumn name="Column1" id="1"/>
    <tableColumn name="Column2" id="2"/>
    <tableColumn name="Column3" id="3"/>
  </tableColumns>
  <tableStyleInfo name="Nates Empirical-style 4" showColumnStripes="0" showFirstColumn="1" showLastColumn="1" showRowStripes="1"/>
</table>
</file>

<file path=xl/tables/table31.xml><?xml version="1.0" encoding="utf-8"?>
<table xmlns="http://schemas.openxmlformats.org/spreadsheetml/2006/main" headerRowCount="0" ref="AK17:AM17" displayName="Table_27" name="Table_27" id="31">
  <tableColumns count="3">
    <tableColumn name="Column1" id="1"/>
    <tableColumn name="Column2" id="2"/>
    <tableColumn name="Column3" id="3"/>
  </tableColumns>
  <tableStyleInfo name="Nates Empirical-style 5" showColumnStripes="0" showFirstColumn="1" showLastColumn="1" showRowStripes="1"/>
</table>
</file>

<file path=xl/tables/table32.xml><?xml version="1.0" encoding="utf-8"?>
<table xmlns="http://schemas.openxmlformats.org/spreadsheetml/2006/main" headerRowCount="0" ref="BC17" displayName="Table_28" name="Table_28" id="32">
  <tableColumns count="1">
    <tableColumn name="Column1" id="1"/>
  </tableColumns>
  <tableStyleInfo name="Nates Empirical-style 6" showColumnStripes="0" showFirstColumn="1" showLastColumn="1" showRowStripes="1"/>
</table>
</file>

<file path=xl/tables/table33.xml><?xml version="1.0" encoding="utf-8"?>
<table xmlns="http://schemas.openxmlformats.org/spreadsheetml/2006/main" headerRowCount="0" ref="AK18:AM18" displayName="Table_29" name="Table_29" id="33">
  <tableColumns count="3">
    <tableColumn name="Column1" id="1"/>
    <tableColumn name="Column2" id="2"/>
    <tableColumn name="Column3" id="3"/>
  </tableColumns>
  <tableStyleInfo name="Nates Empirical-style 7" showColumnStripes="0" showFirstColumn="1" showLastColumn="1" showRowStripes="1"/>
</table>
</file>

<file path=xl/tables/table34.xml><?xml version="1.0" encoding="utf-8"?>
<table xmlns="http://schemas.openxmlformats.org/spreadsheetml/2006/main" headerRowCount="0" ref="AK19:AM19" displayName="Table_30" name="Table_30" id="34">
  <tableColumns count="3">
    <tableColumn name="Column1" id="1"/>
    <tableColumn name="Column2" id="2"/>
    <tableColumn name="Column3" id="3"/>
  </tableColumns>
  <tableStyleInfo name="Nates Empirical-style 8" showColumnStripes="0" showFirstColumn="1" showLastColumn="1" showRowStripes="1"/>
</table>
</file>

<file path=xl/tables/table35.xml><?xml version="1.0" encoding="utf-8"?>
<table xmlns="http://schemas.openxmlformats.org/spreadsheetml/2006/main" headerRowCount="0" ref="AK41:AM41" displayName="Table_31" name="Table_31" id="35">
  <tableColumns count="3">
    <tableColumn name="Column1" id="1"/>
    <tableColumn name="Column2" id="2"/>
    <tableColumn name="Column3" id="3"/>
  </tableColumns>
  <tableStyleInfo name="Nates Empirical-style 9" showColumnStripes="0" showFirstColumn="1" showLastColumn="1" showRowStripes="1"/>
</table>
</file>

<file path=xl/tables/table36.xml><?xml version="1.0" encoding="utf-8"?>
<table xmlns="http://schemas.openxmlformats.org/spreadsheetml/2006/main" headerRowCount="0" ref="AK46:AM46" displayName="Table_32" name="Table_32" id="36">
  <tableColumns count="3">
    <tableColumn name="Column1" id="1"/>
    <tableColumn name="Column2" id="2"/>
    <tableColumn name="Column3" id="3"/>
  </tableColumns>
  <tableStyleInfo name="Nates Empirical-style 10" showColumnStripes="0" showFirstColumn="1" showLastColumn="1" showRowStripes="1"/>
</table>
</file>

<file path=xl/tables/table37.xml><?xml version="1.0" encoding="utf-8"?>
<table xmlns="http://schemas.openxmlformats.org/spreadsheetml/2006/main" ref="A1:B20" displayName="Table1_4" name="Table1_4" id="37">
  <tableColumns count="2">
    <tableColumn name="source" id="1"/>
    <tableColumn name="Practice" id="2"/>
  </tableColumns>
  <tableStyleInfo name="empirical_simple-style" showColumnStripes="0" showFirstColumn="1" showLastColumn="1" showRowStripes="1"/>
</table>
</file>

<file path=xl/tables/table38.xml><?xml version="1.0" encoding="utf-8"?>
<table xmlns="http://schemas.openxmlformats.org/spreadsheetml/2006/main" headerRowCount="0" ref="C1:P11" displayName="Table_33" name="Table_33" id="3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empirical_simple-style 2" showColumnStripes="0" showFirstColumn="1" showLastColumn="1" showRowStripes="1"/>
</table>
</file>

<file path=xl/tables/table4.xml><?xml version="1.0" encoding="utf-8"?>
<table xmlns="http://schemas.openxmlformats.org/spreadsheetml/2006/main" headerRowCount="0" ref="AK15:AM15" displayName="Table_3" name="Table_3" id="4">
  <tableColumns count="3">
    <tableColumn name="Column1" id="1"/>
    <tableColumn name="Column2" id="2"/>
    <tableColumn name="Column3" id="3"/>
  </tableColumns>
  <tableStyleInfo name="summary-style 4" showColumnStripes="0" showFirstColumn="1" showLastColumn="1" showRowStripes="1"/>
</table>
</file>

<file path=xl/tables/table5.xml><?xml version="1.0" encoding="utf-8"?>
<table xmlns="http://schemas.openxmlformats.org/spreadsheetml/2006/main" headerRowCount="0" ref="AK16:AM16" displayName="Table_4" name="Table_4" id="5">
  <tableColumns count="3">
    <tableColumn name="Column1" id="1"/>
    <tableColumn name="Column2" id="2"/>
    <tableColumn name="Column3" id="3"/>
  </tableColumns>
  <tableStyleInfo name="summary-style 5" showColumnStripes="0" showFirstColumn="1" showLastColumn="1" showRowStripes="1"/>
</table>
</file>

<file path=xl/tables/table6.xml><?xml version="1.0" encoding="utf-8"?>
<table xmlns="http://schemas.openxmlformats.org/spreadsheetml/2006/main" headerRowCount="0" ref="AK17:AM17" displayName="Table_5" name="Table_5" id="6">
  <tableColumns count="3">
    <tableColumn name="Column1" id="1"/>
    <tableColumn name="Column2" id="2"/>
    <tableColumn name="Column3" id="3"/>
  </tableColumns>
  <tableStyleInfo name="summary-style 6" showColumnStripes="0" showFirstColumn="1" showLastColumn="1" showRowStripes="1"/>
</table>
</file>

<file path=xl/tables/table7.xml><?xml version="1.0" encoding="utf-8"?>
<table xmlns="http://schemas.openxmlformats.org/spreadsheetml/2006/main" headerRowCount="0" ref="AK18:AM18" displayName="Table_6" name="Table_6" id="7">
  <tableColumns count="3">
    <tableColumn name="Column1" id="1"/>
    <tableColumn name="Column2" id="2"/>
    <tableColumn name="Column3" id="3"/>
  </tableColumns>
  <tableStyleInfo name="summary-style 7" showColumnStripes="0" showFirstColumn="1" showLastColumn="1" showRowStripes="1"/>
</table>
</file>

<file path=xl/tables/table8.xml><?xml version="1.0" encoding="utf-8"?>
<table xmlns="http://schemas.openxmlformats.org/spreadsheetml/2006/main" headerRowCount="0" ref="AK40:AM40" displayName="Table_7" name="Table_7" id="8">
  <tableColumns count="3">
    <tableColumn name="Column1" id="1"/>
    <tableColumn name="Column2" id="2"/>
    <tableColumn name="Column3" id="3"/>
  </tableColumns>
  <tableStyleInfo name="summary-style 8" showColumnStripes="0" showFirstColumn="1" showLastColumn="1" showRowStripes="1"/>
</table>
</file>

<file path=xl/tables/table9.xml><?xml version="1.0" encoding="utf-8"?>
<table xmlns="http://schemas.openxmlformats.org/spreadsheetml/2006/main" headerRowCount="0" ref="AK45:AM45" displayName="Table_8" name="Table_8" id="9">
  <tableColumns count="3">
    <tableColumn name="Column1" id="1"/>
    <tableColumn name="Column2" id="2"/>
    <tableColumn name="Column3" id="3"/>
  </tableColumns>
  <tableStyleInfo name="summary-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table" Target="../tables/table6.xml"/><Relationship Id="rId22" Type="http://schemas.openxmlformats.org/officeDocument/2006/relationships/table" Target="../tables/table8.xml"/><Relationship Id="rId21" Type="http://schemas.openxmlformats.org/officeDocument/2006/relationships/table" Target="../tables/table7.xml"/><Relationship Id="rId23" Type="http://schemas.openxmlformats.org/officeDocument/2006/relationships/table" Target="../tables/table9.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15" Type="http://schemas.openxmlformats.org/officeDocument/2006/relationships/table" Target="../tables/table1.xml"/><Relationship Id="rId17" Type="http://schemas.openxmlformats.org/officeDocument/2006/relationships/table" Target="../tables/table3.xml"/><Relationship Id="rId16" Type="http://schemas.openxmlformats.org/officeDocument/2006/relationships/table" Target="../tables/table2.xml"/><Relationship Id="rId5" Type="http://schemas.openxmlformats.org/officeDocument/2006/relationships/drawing" Target="../drawings/drawing1.xml"/><Relationship Id="rId19" Type="http://schemas.openxmlformats.org/officeDocument/2006/relationships/table" Target="../tables/table5.xml"/><Relationship Id="rId18"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table" Target="../tables/table14.xml"/><Relationship Id="rId22" Type="http://schemas.openxmlformats.org/officeDocument/2006/relationships/table" Target="../tables/table16.xml"/><Relationship Id="rId21" Type="http://schemas.openxmlformats.org/officeDocument/2006/relationships/table" Target="../tables/table15.xml"/><Relationship Id="rId24" Type="http://schemas.openxmlformats.org/officeDocument/2006/relationships/table" Target="../tables/table18.xml"/><Relationship Id="rId23" Type="http://schemas.openxmlformats.org/officeDocument/2006/relationships/table" Target="../tables/table17.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25" Type="http://schemas.openxmlformats.org/officeDocument/2006/relationships/table" Target="../tables/table19.xml"/><Relationship Id="rId17" Type="http://schemas.openxmlformats.org/officeDocument/2006/relationships/table" Target="../tables/table11.xml"/><Relationship Id="rId16" Type="http://schemas.openxmlformats.org/officeDocument/2006/relationships/table" Target="../tables/table10.xml"/><Relationship Id="rId5" Type="http://schemas.openxmlformats.org/officeDocument/2006/relationships/drawing" Target="../drawings/drawing4.xml"/><Relationship Id="rId19" Type="http://schemas.openxmlformats.org/officeDocument/2006/relationships/table" Target="../tables/table13.xml"/><Relationship Id="rId18"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11" Type="http://schemas.openxmlformats.org/officeDocument/2006/relationships/table" Target="../tables/table21.xml"/><Relationship Id="rId10" Type="http://schemas.openxmlformats.org/officeDocument/2006/relationships/table" Target="../tables/table20.xml"/><Relationship Id="rId13" Type="http://schemas.openxmlformats.org/officeDocument/2006/relationships/table" Target="../tables/table23.xml"/><Relationship Id="rId12" Type="http://schemas.openxmlformats.org/officeDocument/2006/relationships/table" Target="../tables/table22.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drawing" Target="../drawings/drawing5.xml"/><Relationship Id="rId15" Type="http://schemas.openxmlformats.org/officeDocument/2006/relationships/table" Target="../tables/table25.xml"/><Relationship Id="rId14" Type="http://schemas.openxmlformats.org/officeDocument/2006/relationships/table" Target="../tables/table24.xml"/><Relationship Id="rId16" Type="http://schemas.openxmlformats.org/officeDocument/2006/relationships/table" Target="../tables/table26.xml"/></Relationships>
</file>

<file path=xl/worksheets/_rels/sheet6.xml.rels><?xml version="1.0" encoding="UTF-8" standalone="yes"?><Relationships xmlns="http://schemas.openxmlformats.org/package/2006/relationships"><Relationship Id="rId20" Type="http://schemas.openxmlformats.org/officeDocument/2006/relationships/table" Target="../tables/table31.xml"/><Relationship Id="rId22" Type="http://schemas.openxmlformats.org/officeDocument/2006/relationships/table" Target="../tables/table33.xml"/><Relationship Id="rId21" Type="http://schemas.openxmlformats.org/officeDocument/2006/relationships/table" Target="../tables/table32.xml"/><Relationship Id="rId24" Type="http://schemas.openxmlformats.org/officeDocument/2006/relationships/table" Target="../tables/table35.xml"/><Relationship Id="rId23" Type="http://schemas.openxmlformats.org/officeDocument/2006/relationships/table" Target="../tables/table34.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25" Type="http://schemas.openxmlformats.org/officeDocument/2006/relationships/table" Target="../tables/table36.xml"/><Relationship Id="rId17" Type="http://schemas.openxmlformats.org/officeDocument/2006/relationships/table" Target="../tables/table28.xml"/><Relationship Id="rId16" Type="http://schemas.openxmlformats.org/officeDocument/2006/relationships/table" Target="../tables/table27.xml"/><Relationship Id="rId5" Type="http://schemas.openxmlformats.org/officeDocument/2006/relationships/drawing" Target="../drawings/drawing6.xml"/><Relationship Id="rId19" Type="http://schemas.openxmlformats.org/officeDocument/2006/relationships/table" Target="../tables/table30.xml"/><Relationship Id="rId18" Type="http://schemas.openxmlformats.org/officeDocument/2006/relationships/table" Target="../tables/table2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37.xml"/><Relationship Id="rId5" Type="http://schemas.openxmlformats.org/officeDocument/2006/relationships/table" Target="../tables/table3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27.0"/>
    <col customWidth="1" min="4" max="4" width="14.88"/>
    <col customWidth="1" min="5" max="5" width="13.63"/>
    <col customWidth="1" min="6" max="7" width="23.25"/>
    <col customWidth="1" min="8" max="8" width="8.5"/>
    <col customWidth="1" min="9" max="9" width="12.25"/>
    <col customWidth="1" min="10" max="10" width="28.88"/>
    <col customWidth="1" min="11" max="11" width="29.0"/>
    <col customWidth="1" min="12" max="12" width="15.25"/>
    <col customWidth="1" min="13" max="13" width="15.13"/>
    <col customWidth="1" min="14" max="14" width="25.38"/>
    <col customWidth="1" min="15" max="15" width="16.13"/>
    <col customWidth="1" min="16" max="16" width="19.38"/>
    <col customWidth="1" min="17" max="17" width="24.0"/>
    <col customWidth="1" min="18" max="18" width="8.25"/>
    <col customWidth="1" min="19" max="19" width="14.75"/>
    <col customWidth="1" min="20" max="20" width="11.5"/>
    <col customWidth="1" min="21" max="21" width="11.63"/>
    <col customWidth="1" min="22" max="22" width="35.88"/>
    <col customWidth="1" min="23" max="23" width="5.5"/>
    <col customWidth="1" min="33" max="33" width="38.88"/>
    <col customWidth="1" min="35" max="35" width="43.0"/>
    <col customWidth="1" min="36" max="36" width="69.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row>
    <row r="2">
      <c r="A2" s="9" t="s">
        <v>40</v>
      </c>
      <c r="B2" s="10" t="s">
        <v>41</v>
      </c>
      <c r="C2" s="11" t="s">
        <v>42</v>
      </c>
      <c r="D2" s="11" t="s">
        <v>43</v>
      </c>
      <c r="E2" s="11" t="s">
        <v>44</v>
      </c>
      <c r="F2" s="11" t="s">
        <v>45</v>
      </c>
      <c r="G2" s="11" t="s">
        <v>46</v>
      </c>
      <c r="H2" s="11">
        <v>40.03</v>
      </c>
      <c r="I2" s="11">
        <v>-92.188</v>
      </c>
      <c r="J2" s="11" t="s">
        <v>47</v>
      </c>
      <c r="K2" s="12" t="s">
        <v>48</v>
      </c>
      <c r="L2" s="13">
        <v>4.44</v>
      </c>
      <c r="M2" s="14">
        <f t="shared" ref="M2:M11" si="1">CONVERT(L2,"ha","us_acre")</f>
        <v>10.97143505</v>
      </c>
      <c r="N2" s="11" t="s">
        <v>49</v>
      </c>
      <c r="O2" s="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2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2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22"/>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row>
    <row r="5">
      <c r="A5" s="23" t="s">
        <v>60</v>
      </c>
      <c r="B5" s="24" t="s">
        <v>61</v>
      </c>
      <c r="C5" s="25"/>
      <c r="D5" s="25" t="s">
        <v>62</v>
      </c>
      <c r="E5" s="25" t="s">
        <v>63</v>
      </c>
      <c r="F5" s="25" t="s">
        <v>64</v>
      </c>
      <c r="G5" s="25" t="s">
        <v>65</v>
      </c>
      <c r="H5" s="25">
        <v>36.091</v>
      </c>
      <c r="I5" s="25">
        <v>-94.19</v>
      </c>
      <c r="J5" s="25" t="s">
        <v>66</v>
      </c>
      <c r="K5" s="26" t="s">
        <v>67</v>
      </c>
      <c r="L5" s="27">
        <v>1.12</v>
      </c>
      <c r="M5" s="28">
        <f t="shared" si="1"/>
        <v>2.767569202</v>
      </c>
      <c r="N5" s="25">
        <v>15.0</v>
      </c>
      <c r="O5" s="25">
        <v>2.4</v>
      </c>
      <c r="Q5" s="29">
        <f>10000/(15*2.4)</f>
        <v>277.7777778</v>
      </c>
      <c r="S5" s="30">
        <v>17.0</v>
      </c>
      <c r="T5" s="25" t="s">
        <v>68</v>
      </c>
      <c r="W5" s="31" t="s">
        <v>69</v>
      </c>
      <c r="X5" s="31">
        <v>81005.0</v>
      </c>
      <c r="Y5" s="31">
        <v>2.09</v>
      </c>
      <c r="Z5" s="32">
        <v>3.6493568909051493</v>
      </c>
      <c r="AA5" s="31">
        <v>172.77</v>
      </c>
      <c r="AB5" s="31">
        <v>392.91</v>
      </c>
      <c r="AC5" s="33">
        <v>1289.07480314961</v>
      </c>
      <c r="AD5" s="31">
        <v>50.0</v>
      </c>
      <c r="AE5" s="31" t="s">
        <v>70</v>
      </c>
      <c r="AF5" s="36">
        <f>233/2.8</f>
        <v>83.21428571</v>
      </c>
      <c r="AG5" s="37"/>
      <c r="AH5" s="37"/>
      <c r="AI5" s="37" t="s">
        <v>71</v>
      </c>
      <c r="AJ5" s="38"/>
      <c r="AK5" s="22" t="b">
        <v>1</v>
      </c>
      <c r="AL5" s="22" t="b">
        <v>1</v>
      </c>
      <c r="AM5" s="22" t="b">
        <v>1</v>
      </c>
      <c r="AN5" s="39" t="b">
        <v>0</v>
      </c>
      <c r="AO5" s="22"/>
    </row>
    <row r="6">
      <c r="A6" s="9" t="s">
        <v>60</v>
      </c>
      <c r="B6" s="10" t="s">
        <v>61</v>
      </c>
      <c r="C6" s="11"/>
      <c r="D6" s="11" t="s">
        <v>62</v>
      </c>
      <c r="E6" s="11" t="s">
        <v>63</v>
      </c>
      <c r="F6" s="11" t="s">
        <v>64</v>
      </c>
      <c r="G6" s="11" t="s">
        <v>65</v>
      </c>
      <c r="H6" s="11">
        <v>36.091</v>
      </c>
      <c r="I6" s="11">
        <v>-94.19</v>
      </c>
      <c r="J6" s="11" t="s">
        <v>72</v>
      </c>
      <c r="K6" s="12" t="s">
        <v>73</v>
      </c>
      <c r="L6" s="13">
        <v>1.84</v>
      </c>
      <c r="M6" s="14">
        <f t="shared" si="1"/>
        <v>4.546720832</v>
      </c>
      <c r="N6" s="11">
        <v>15.0</v>
      </c>
      <c r="O6" s="11">
        <v>9.1</v>
      </c>
      <c r="Q6" s="15">
        <f>10000/(15*9.1)</f>
        <v>73.26007326</v>
      </c>
      <c r="S6" s="16">
        <v>17.0</v>
      </c>
      <c r="T6" s="11" t="s">
        <v>74</v>
      </c>
      <c r="W6" s="17" t="s">
        <v>69</v>
      </c>
      <c r="X6" s="17">
        <v>81005.0</v>
      </c>
      <c r="Y6" s="17">
        <v>1.43</v>
      </c>
      <c r="Z6" s="18">
        <v>2.496339185224331</v>
      </c>
      <c r="AA6" s="17">
        <v>186.84</v>
      </c>
      <c r="AB6" s="17">
        <v>380.66</v>
      </c>
      <c r="AC6" s="19">
        <v>1248.88451443569</v>
      </c>
      <c r="AD6" s="17">
        <v>50.0</v>
      </c>
      <c r="AE6" s="17" t="s">
        <v>70</v>
      </c>
      <c r="AF6" s="40">
        <f>119/4.5</f>
        <v>26.44444444</v>
      </c>
      <c r="AG6" s="41"/>
      <c r="AH6" s="41"/>
      <c r="AI6" s="41" t="s">
        <v>71</v>
      </c>
      <c r="AJ6" s="42"/>
      <c r="AK6" s="22" t="b">
        <v>1</v>
      </c>
      <c r="AL6" s="22" t="b">
        <v>1</v>
      </c>
      <c r="AM6" s="22" t="b">
        <v>1</v>
      </c>
      <c r="AN6" s="39" t="b">
        <v>0</v>
      </c>
      <c r="AO6" s="22"/>
    </row>
    <row r="7">
      <c r="A7" s="23" t="s">
        <v>75</v>
      </c>
      <c r="B7" s="24" t="s">
        <v>41</v>
      </c>
      <c r="C7" s="25"/>
      <c r="D7" s="25" t="s">
        <v>76</v>
      </c>
      <c r="E7" s="25" t="s">
        <v>77</v>
      </c>
      <c r="F7" s="25" t="s">
        <v>78</v>
      </c>
      <c r="G7" s="25" t="s">
        <v>79</v>
      </c>
      <c r="H7" s="43"/>
      <c r="I7" s="43"/>
      <c r="J7" s="25" t="s">
        <v>80</v>
      </c>
      <c r="K7" s="26" t="s">
        <v>81</v>
      </c>
      <c r="L7" s="27">
        <v>30.0</v>
      </c>
      <c r="M7" s="28">
        <f t="shared" si="1"/>
        <v>74.13131791</v>
      </c>
      <c r="N7" s="43">
        <v>45823.0</v>
      </c>
      <c r="O7" s="25">
        <v>6.0</v>
      </c>
      <c r="P7" s="25">
        <v>111.0</v>
      </c>
      <c r="Q7" s="29" t="str">
        <f t="shared" ref="Q7:Q11" si="5">TEXT(10000/(6*15),"0")&amp;" to "&amp;TEXT(10000/(6*6),"0")</f>
        <v>111 to 278</v>
      </c>
      <c r="S7" s="30">
        <v>33.0</v>
      </c>
      <c r="T7" s="25">
        <v>666.0</v>
      </c>
      <c r="U7" s="25" t="s">
        <v>82</v>
      </c>
      <c r="V7" s="25" t="s">
        <v>83</v>
      </c>
      <c r="W7" s="31" t="s">
        <v>84</v>
      </c>
      <c r="X7" s="31">
        <v>92003.0</v>
      </c>
      <c r="Y7" s="31">
        <v>1.94</v>
      </c>
      <c r="Z7" s="32">
        <v>3.387233288185025</v>
      </c>
      <c r="AA7" s="31">
        <v>232.85</v>
      </c>
      <c r="AB7" s="31">
        <v>338.98</v>
      </c>
      <c r="AC7" s="33">
        <v>1112.13910761155</v>
      </c>
      <c r="AD7" s="31" t="s">
        <v>54</v>
      </c>
      <c r="AE7" s="34"/>
      <c r="AF7" s="44" t="str">
        <f t="shared" ref="AF7:AF11" si="6">TEXT(111/2.47105,"0")&amp;" total, "&amp;TEXT(111/(2.47105*5),"0")&amp;" each sp"</f>
        <v>45 total, 9 each sp</v>
      </c>
      <c r="AG7" s="34"/>
      <c r="AH7" s="34"/>
      <c r="AI7" s="34"/>
      <c r="AJ7" s="35"/>
      <c r="AK7" s="22" t="b">
        <v>1</v>
      </c>
      <c r="AL7" s="22" t="b">
        <v>1</v>
      </c>
      <c r="AM7" s="22" t="b">
        <v>1</v>
      </c>
      <c r="AN7" s="22" t="b">
        <v>1</v>
      </c>
      <c r="AO7" s="22"/>
    </row>
    <row r="8">
      <c r="A8" s="9" t="s">
        <v>75</v>
      </c>
      <c r="B8" s="10" t="s">
        <v>41</v>
      </c>
      <c r="C8" s="11"/>
      <c r="D8" s="11" t="s">
        <v>76</v>
      </c>
      <c r="E8" s="11" t="s">
        <v>77</v>
      </c>
      <c r="F8" s="11" t="s">
        <v>78</v>
      </c>
      <c r="G8" s="11" t="s">
        <v>79</v>
      </c>
      <c r="H8" s="45"/>
      <c r="I8" s="45"/>
      <c r="J8" s="11" t="s">
        <v>85</v>
      </c>
      <c r="K8" s="12" t="s">
        <v>86</v>
      </c>
      <c r="L8" s="13">
        <v>30.0</v>
      </c>
      <c r="M8" s="14">
        <f t="shared" si="1"/>
        <v>74.13131791</v>
      </c>
      <c r="N8" s="45">
        <v>45823.0</v>
      </c>
      <c r="O8" s="11">
        <v>6.0</v>
      </c>
      <c r="P8" s="11">
        <v>111.0</v>
      </c>
      <c r="Q8" s="15" t="str">
        <f t="shared" si="5"/>
        <v>111 to 278</v>
      </c>
      <c r="S8" s="16">
        <v>33.0</v>
      </c>
      <c r="T8" s="11">
        <v>666.0</v>
      </c>
      <c r="U8" s="11" t="s">
        <v>82</v>
      </c>
      <c r="V8" s="11" t="s">
        <v>83</v>
      </c>
      <c r="W8" s="17" t="s">
        <v>84</v>
      </c>
      <c r="X8" s="17">
        <v>92003.0</v>
      </c>
      <c r="Y8" s="17">
        <v>1.94</v>
      </c>
      <c r="Z8" s="18">
        <f t="shared" ref="Z8:Z11" si="7">tan(Y8*PI()/180)*100</f>
        <v>3.387233288</v>
      </c>
      <c r="AA8" s="17">
        <v>232.85</v>
      </c>
      <c r="AB8" s="17">
        <v>338.98</v>
      </c>
      <c r="AC8" s="19">
        <f t="shared" ref="AC8:AC11" si="8">CONVERT(AB8,"m","ft")</f>
        <v>1112.139108</v>
      </c>
      <c r="AD8" s="17" t="s">
        <v>54</v>
      </c>
      <c r="AE8" s="20"/>
      <c r="AF8" s="46" t="str">
        <f t="shared" si="6"/>
        <v>45 total, 9 each sp</v>
      </c>
      <c r="AG8" s="20"/>
      <c r="AH8" s="20"/>
      <c r="AI8" s="20"/>
      <c r="AJ8" s="21"/>
      <c r="AK8" s="22" t="b">
        <v>1</v>
      </c>
      <c r="AL8" s="22" t="b">
        <v>1</v>
      </c>
      <c r="AM8" s="22" t="b">
        <v>1</v>
      </c>
      <c r="AN8" s="22" t="b">
        <v>1</v>
      </c>
      <c r="AO8" s="22"/>
    </row>
    <row r="9">
      <c r="A9" s="23" t="s">
        <v>75</v>
      </c>
      <c r="B9" s="24" t="s">
        <v>41</v>
      </c>
      <c r="C9" s="25"/>
      <c r="D9" s="25" t="s">
        <v>76</v>
      </c>
      <c r="E9" s="25" t="s">
        <v>77</v>
      </c>
      <c r="F9" s="25" t="s">
        <v>78</v>
      </c>
      <c r="G9" s="25" t="s">
        <v>79</v>
      </c>
      <c r="H9" s="43"/>
      <c r="I9" s="43"/>
      <c r="J9" s="25" t="s">
        <v>87</v>
      </c>
      <c r="K9" s="26" t="s">
        <v>88</v>
      </c>
      <c r="L9" s="27">
        <v>30.0</v>
      </c>
      <c r="M9" s="28">
        <f t="shared" si="1"/>
        <v>74.13131791</v>
      </c>
      <c r="N9" s="43">
        <v>45823.0</v>
      </c>
      <c r="O9" s="25">
        <v>6.0</v>
      </c>
      <c r="P9" s="25">
        <v>111.0</v>
      </c>
      <c r="Q9" s="29" t="str">
        <f t="shared" si="5"/>
        <v>111 to 278</v>
      </c>
      <c r="S9" s="30">
        <v>33.0</v>
      </c>
      <c r="T9" s="25">
        <v>666.0</v>
      </c>
      <c r="U9" s="25" t="s">
        <v>82</v>
      </c>
      <c r="V9" s="25" t="s">
        <v>83</v>
      </c>
      <c r="W9" s="31" t="s">
        <v>84</v>
      </c>
      <c r="X9" s="31">
        <v>92003.0</v>
      </c>
      <c r="Y9" s="31">
        <v>1.94</v>
      </c>
      <c r="Z9" s="32">
        <f t="shared" si="7"/>
        <v>3.387233288</v>
      </c>
      <c r="AA9" s="31">
        <v>232.85</v>
      </c>
      <c r="AB9" s="31">
        <v>338.98</v>
      </c>
      <c r="AC9" s="33">
        <f t="shared" si="8"/>
        <v>1112.139108</v>
      </c>
      <c r="AD9" s="31" t="s">
        <v>54</v>
      </c>
      <c r="AE9" s="34"/>
      <c r="AF9" s="44" t="str">
        <f t="shared" si="6"/>
        <v>45 total, 9 each sp</v>
      </c>
      <c r="AG9" s="34"/>
      <c r="AH9" s="34"/>
      <c r="AI9" s="34"/>
      <c r="AJ9" s="35"/>
      <c r="AK9" s="22" t="b">
        <v>1</v>
      </c>
      <c r="AL9" s="22" t="b">
        <v>1</v>
      </c>
      <c r="AM9" s="22" t="b">
        <v>1</v>
      </c>
      <c r="AN9" s="22" t="b">
        <v>1</v>
      </c>
      <c r="AO9" s="22"/>
    </row>
    <row r="10">
      <c r="A10" s="9" t="s">
        <v>75</v>
      </c>
      <c r="B10" s="10" t="s">
        <v>41</v>
      </c>
      <c r="C10" s="11"/>
      <c r="D10" s="11" t="s">
        <v>76</v>
      </c>
      <c r="E10" s="11" t="s">
        <v>77</v>
      </c>
      <c r="F10" s="11" t="s">
        <v>78</v>
      </c>
      <c r="G10" s="11" t="s">
        <v>79</v>
      </c>
      <c r="H10" s="45"/>
      <c r="I10" s="45"/>
      <c r="J10" s="11" t="s">
        <v>89</v>
      </c>
      <c r="K10" s="12" t="s">
        <v>90</v>
      </c>
      <c r="L10" s="13">
        <v>30.0</v>
      </c>
      <c r="M10" s="14">
        <f t="shared" si="1"/>
        <v>74.13131791</v>
      </c>
      <c r="N10" s="45">
        <v>45823.0</v>
      </c>
      <c r="O10" s="11">
        <v>6.0</v>
      </c>
      <c r="P10" s="11">
        <v>111.0</v>
      </c>
      <c r="Q10" s="15" t="str">
        <f t="shared" si="5"/>
        <v>111 to 278</v>
      </c>
      <c r="S10" s="16">
        <v>33.0</v>
      </c>
      <c r="T10" s="11">
        <v>666.0</v>
      </c>
      <c r="U10" s="11" t="s">
        <v>91</v>
      </c>
      <c r="V10" s="11" t="s">
        <v>83</v>
      </c>
      <c r="W10" s="17" t="s">
        <v>84</v>
      </c>
      <c r="X10" s="17">
        <v>92003.0</v>
      </c>
      <c r="Y10" s="17">
        <v>1.94</v>
      </c>
      <c r="Z10" s="18">
        <f t="shared" si="7"/>
        <v>3.387233288</v>
      </c>
      <c r="AA10" s="17">
        <v>232.85</v>
      </c>
      <c r="AB10" s="17">
        <v>338.98</v>
      </c>
      <c r="AC10" s="19">
        <f t="shared" si="8"/>
        <v>1112.139108</v>
      </c>
      <c r="AD10" s="17" t="s">
        <v>54</v>
      </c>
      <c r="AE10" s="20"/>
      <c r="AF10" s="46" t="str">
        <f t="shared" si="6"/>
        <v>45 total, 9 each sp</v>
      </c>
      <c r="AG10" s="20"/>
      <c r="AH10" s="20"/>
      <c r="AI10" s="20"/>
      <c r="AJ10" s="21"/>
      <c r="AK10" s="22" t="b">
        <v>1</v>
      </c>
      <c r="AL10" s="22" t="b">
        <v>1</v>
      </c>
      <c r="AM10" s="22" t="b">
        <v>1</v>
      </c>
      <c r="AN10" s="22" t="b">
        <v>1</v>
      </c>
      <c r="AO10" s="22"/>
    </row>
    <row r="11">
      <c r="A11" s="23" t="s">
        <v>75</v>
      </c>
      <c r="B11" s="24" t="s">
        <v>41</v>
      </c>
      <c r="C11" s="25"/>
      <c r="D11" s="25" t="s">
        <v>76</v>
      </c>
      <c r="E11" s="25" t="s">
        <v>77</v>
      </c>
      <c r="F11" s="25" t="s">
        <v>78</v>
      </c>
      <c r="G11" s="25" t="s">
        <v>79</v>
      </c>
      <c r="H11" s="43"/>
      <c r="I11" s="43"/>
      <c r="J11" s="25" t="s">
        <v>92</v>
      </c>
      <c r="K11" s="26" t="s">
        <v>67</v>
      </c>
      <c r="L11" s="27">
        <v>30.0</v>
      </c>
      <c r="M11" s="28">
        <f t="shared" si="1"/>
        <v>74.13131791</v>
      </c>
      <c r="N11" s="43">
        <v>45823.0</v>
      </c>
      <c r="O11" s="25">
        <v>6.0</v>
      </c>
      <c r="P11" s="25">
        <v>111.0</v>
      </c>
      <c r="Q11" s="29" t="str">
        <f t="shared" si="5"/>
        <v>111 to 278</v>
      </c>
      <c r="S11" s="30">
        <v>33.0</v>
      </c>
      <c r="T11" s="25">
        <v>666.0</v>
      </c>
      <c r="U11" s="25" t="s">
        <v>93</v>
      </c>
      <c r="V11" s="25" t="s">
        <v>83</v>
      </c>
      <c r="W11" s="31" t="s">
        <v>84</v>
      </c>
      <c r="X11" s="31">
        <v>92003.0</v>
      </c>
      <c r="Y11" s="31">
        <v>1.94</v>
      </c>
      <c r="Z11" s="32">
        <f t="shared" si="7"/>
        <v>3.387233288</v>
      </c>
      <c r="AA11" s="31">
        <v>232.85</v>
      </c>
      <c r="AB11" s="31">
        <v>338.98</v>
      </c>
      <c r="AC11" s="33">
        <f t="shared" si="8"/>
        <v>1112.139108</v>
      </c>
      <c r="AD11" s="31" t="s">
        <v>54</v>
      </c>
      <c r="AE11" s="34"/>
      <c r="AF11" s="44" t="str">
        <f t="shared" si="6"/>
        <v>45 total, 9 each sp</v>
      </c>
      <c r="AG11" s="34"/>
      <c r="AH11" s="34"/>
      <c r="AI11" s="34"/>
      <c r="AJ11" s="35"/>
      <c r="AK11" s="22" t="b">
        <v>1</v>
      </c>
      <c r="AL11" s="22" t="b">
        <v>1</v>
      </c>
      <c r="AM11" s="22" t="b">
        <v>1</v>
      </c>
      <c r="AN11" s="22" t="b">
        <v>1</v>
      </c>
      <c r="AO11" s="22"/>
    </row>
    <row r="12">
      <c r="A12" s="9" t="s">
        <v>94</v>
      </c>
      <c r="B12" s="10" t="s">
        <v>95</v>
      </c>
      <c r="C12" s="11"/>
      <c r="D12" s="11" t="s">
        <v>96</v>
      </c>
      <c r="E12" s="11" t="s">
        <v>97</v>
      </c>
      <c r="F12" s="11"/>
      <c r="G12" s="11" t="s">
        <v>98</v>
      </c>
      <c r="H12" s="11"/>
      <c r="I12" s="11"/>
      <c r="J12" s="11" t="s">
        <v>99</v>
      </c>
      <c r="K12" s="11" t="s">
        <v>100</v>
      </c>
      <c r="L12" s="47"/>
      <c r="M12" s="14"/>
      <c r="N12" s="11">
        <v>1.8</v>
      </c>
      <c r="O12" s="11">
        <v>1.2</v>
      </c>
      <c r="Q12" s="15">
        <f>10000/(N12*O12)</f>
        <v>4629.62963</v>
      </c>
      <c r="S12" s="48">
        <v>45815.0</v>
      </c>
      <c r="T12" s="49">
        <f>10000/(1.8*1.2)</f>
        <v>4629.62963</v>
      </c>
      <c r="V12" s="11" t="s">
        <v>101</v>
      </c>
      <c r="W12" s="17" t="s">
        <v>53</v>
      </c>
      <c r="X12" s="17">
        <v>90503.0</v>
      </c>
      <c r="Y12" s="17">
        <v>1.76</v>
      </c>
      <c r="Z12" s="18">
        <v>3.0727460078610753</v>
      </c>
      <c r="AA12" s="17">
        <v>233.23</v>
      </c>
      <c r="AB12" s="17">
        <v>316.24</v>
      </c>
      <c r="AC12" s="19">
        <v>1037.53280839895</v>
      </c>
      <c r="AD12" s="17" t="s">
        <v>54</v>
      </c>
      <c r="AE12" s="20"/>
      <c r="AF12" s="46">
        <f t="shared" ref="AF12:AF56" si="9">IF(ISNUMBER(P12),P12/2.471,IF(ISNUMBER(Q12),Q12/2.471,""))</f>
        <v>1873.585443</v>
      </c>
      <c r="AG12" s="20"/>
      <c r="AH12" s="20"/>
      <c r="AI12" s="20"/>
      <c r="AJ12" s="21"/>
      <c r="AK12" s="22" t="b">
        <v>1</v>
      </c>
      <c r="AL12" s="22" t="b">
        <v>1</v>
      </c>
      <c r="AM12" s="22" t="b">
        <v>1</v>
      </c>
      <c r="AN12" s="39" t="b">
        <v>1</v>
      </c>
      <c r="AO12" s="22"/>
    </row>
    <row r="13">
      <c r="A13" s="50" t="s">
        <v>102</v>
      </c>
      <c r="B13" s="51" t="s">
        <v>61</v>
      </c>
      <c r="C13" s="31"/>
      <c r="D13" s="31" t="s">
        <v>62</v>
      </c>
      <c r="E13" s="31" t="s">
        <v>103</v>
      </c>
      <c r="F13" s="31" t="s">
        <v>104</v>
      </c>
      <c r="G13" s="31" t="s">
        <v>105</v>
      </c>
      <c r="H13" s="31"/>
      <c r="I13" s="31"/>
      <c r="J13" s="31" t="s">
        <v>106</v>
      </c>
      <c r="K13" s="31" t="s">
        <v>107</v>
      </c>
      <c r="L13" s="31" t="s">
        <v>108</v>
      </c>
      <c r="M13" s="33"/>
      <c r="N13" s="31" t="s">
        <v>109</v>
      </c>
      <c r="O13" s="52">
        <v>2.1</v>
      </c>
      <c r="P13" s="31">
        <v>308.0</v>
      </c>
      <c r="Q13" s="36"/>
      <c r="R13" s="37"/>
      <c r="S13" s="30">
        <v>18.0</v>
      </c>
      <c r="T13" s="31" t="s">
        <v>110</v>
      </c>
      <c r="U13" s="31" t="s">
        <v>111</v>
      </c>
      <c r="V13" s="31"/>
      <c r="W13" s="31" t="s">
        <v>69</v>
      </c>
      <c r="X13" s="31">
        <v>80911.0</v>
      </c>
      <c r="Y13" s="31">
        <v>2.67</v>
      </c>
      <c r="Z13" s="32">
        <f t="shared" ref="Z13:Z18" si="10">IF(ISNUMBER(Y13),tan(Y13*PI()/180)*100,"")</f>
        <v>4.663405255</v>
      </c>
      <c r="AA13" s="31">
        <v>126.9</v>
      </c>
      <c r="AB13" s="31">
        <v>308.0</v>
      </c>
      <c r="AC13" s="33">
        <f t="shared" ref="AC13:AC18" si="11">IF(ISNUMBER(AB13), CONVERT(AB13,"m","ft"),"")</f>
        <v>1010.498688</v>
      </c>
      <c r="AD13" s="31">
        <v>50.0</v>
      </c>
      <c r="AE13" s="31" t="s">
        <v>112</v>
      </c>
      <c r="AF13" s="44">
        <f t="shared" si="9"/>
        <v>124.6458924</v>
      </c>
      <c r="AG13" s="31" t="s">
        <v>113</v>
      </c>
      <c r="AH13" s="31" t="s">
        <v>114</v>
      </c>
      <c r="AI13" s="34"/>
      <c r="AJ13" s="53" t="s">
        <v>115</v>
      </c>
      <c r="AK13" s="22" t="b">
        <v>1</v>
      </c>
      <c r="AL13" s="22" t="b">
        <v>1</v>
      </c>
      <c r="AM13" s="22" t="b">
        <v>1</v>
      </c>
      <c r="AN13" s="22" t="b">
        <v>1</v>
      </c>
      <c r="AO13" s="22"/>
    </row>
    <row r="14">
      <c r="A14" s="54" t="s">
        <v>116</v>
      </c>
      <c r="B14" s="55" t="s">
        <v>61</v>
      </c>
      <c r="C14" s="17"/>
      <c r="D14" s="17" t="s">
        <v>62</v>
      </c>
      <c r="E14" s="17" t="s">
        <v>103</v>
      </c>
      <c r="F14" s="17" t="s">
        <v>104</v>
      </c>
      <c r="G14" s="17" t="s">
        <v>105</v>
      </c>
      <c r="H14" s="17"/>
      <c r="I14" s="17"/>
      <c r="J14" s="17" t="s">
        <v>106</v>
      </c>
      <c r="K14" s="17" t="s">
        <v>107</v>
      </c>
      <c r="L14" s="17" t="s">
        <v>108</v>
      </c>
      <c r="M14" s="19"/>
      <c r="N14" s="17">
        <v>2.4</v>
      </c>
      <c r="O14" s="56">
        <v>2.1</v>
      </c>
      <c r="P14" s="17">
        <v>568.0</v>
      </c>
      <c r="Q14" s="40"/>
      <c r="R14" s="41"/>
      <c r="S14" s="16">
        <v>18.0</v>
      </c>
      <c r="T14" s="17" t="s">
        <v>117</v>
      </c>
      <c r="U14" s="17" t="s">
        <v>111</v>
      </c>
      <c r="V14" s="17"/>
      <c r="W14" s="17" t="s">
        <v>69</v>
      </c>
      <c r="X14" s="17">
        <v>80911.0</v>
      </c>
      <c r="Y14" s="17">
        <v>2.67</v>
      </c>
      <c r="Z14" s="18">
        <f t="shared" si="10"/>
        <v>4.663405255</v>
      </c>
      <c r="AA14" s="17">
        <v>126.9</v>
      </c>
      <c r="AB14" s="17">
        <v>308.0</v>
      </c>
      <c r="AC14" s="19">
        <f t="shared" si="11"/>
        <v>1010.498688</v>
      </c>
      <c r="AD14" s="17">
        <v>50.0</v>
      </c>
      <c r="AE14" s="17" t="s">
        <v>112</v>
      </c>
      <c r="AF14" s="46">
        <f t="shared" si="9"/>
        <v>229.8664508</v>
      </c>
      <c r="AG14" s="17" t="s">
        <v>113</v>
      </c>
      <c r="AH14" s="17" t="s">
        <v>114</v>
      </c>
      <c r="AI14" s="20"/>
      <c r="AJ14" s="57" t="s">
        <v>115</v>
      </c>
      <c r="AK14" s="22" t="b">
        <v>1</v>
      </c>
      <c r="AL14" s="22" t="b">
        <v>1</v>
      </c>
      <c r="AM14" s="22" t="b">
        <v>1</v>
      </c>
      <c r="AN14" s="22" t="b">
        <v>1</v>
      </c>
      <c r="AO14" s="22"/>
    </row>
    <row r="15">
      <c r="A15" s="50" t="s">
        <v>118</v>
      </c>
      <c r="B15" s="51" t="s">
        <v>61</v>
      </c>
      <c r="C15" s="31"/>
      <c r="D15" s="31" t="s">
        <v>62</v>
      </c>
      <c r="E15" s="31" t="s">
        <v>103</v>
      </c>
      <c r="F15" s="31" t="s">
        <v>104</v>
      </c>
      <c r="G15" s="31" t="s">
        <v>105</v>
      </c>
      <c r="H15" s="31"/>
      <c r="I15" s="31"/>
      <c r="J15" s="31" t="s">
        <v>106</v>
      </c>
      <c r="K15" s="31" t="s">
        <v>107</v>
      </c>
      <c r="L15" s="31" t="s">
        <v>108</v>
      </c>
      <c r="M15" s="33"/>
      <c r="N15" s="31">
        <v>2.4</v>
      </c>
      <c r="O15" s="52">
        <v>2.1</v>
      </c>
      <c r="P15" s="31">
        <v>932.0</v>
      </c>
      <c r="Q15" s="36"/>
      <c r="R15" s="37"/>
      <c r="S15" s="30">
        <v>18.0</v>
      </c>
      <c r="T15" s="31" t="s">
        <v>119</v>
      </c>
      <c r="U15" s="31" t="s">
        <v>111</v>
      </c>
      <c r="V15" s="31"/>
      <c r="W15" s="31" t="s">
        <v>69</v>
      </c>
      <c r="X15" s="31">
        <v>80911.0</v>
      </c>
      <c r="Y15" s="31">
        <v>2.67</v>
      </c>
      <c r="Z15" s="32">
        <f t="shared" si="10"/>
        <v>4.663405255</v>
      </c>
      <c r="AA15" s="31">
        <v>126.9</v>
      </c>
      <c r="AB15" s="31">
        <v>308.0</v>
      </c>
      <c r="AC15" s="33">
        <f t="shared" si="11"/>
        <v>1010.498688</v>
      </c>
      <c r="AD15" s="31">
        <v>50.0</v>
      </c>
      <c r="AE15" s="31" t="s">
        <v>112</v>
      </c>
      <c r="AF15" s="44">
        <f t="shared" si="9"/>
        <v>377.1752327</v>
      </c>
      <c r="AG15" s="31" t="s">
        <v>113</v>
      </c>
      <c r="AH15" s="31" t="s">
        <v>114</v>
      </c>
      <c r="AI15" s="34"/>
      <c r="AJ15" s="53" t="s">
        <v>115</v>
      </c>
      <c r="AK15" s="22" t="b">
        <v>1</v>
      </c>
      <c r="AL15" s="22" t="b">
        <v>1</v>
      </c>
      <c r="AM15" s="22" t="b">
        <v>1</v>
      </c>
      <c r="AN15" s="22" t="b">
        <v>1</v>
      </c>
      <c r="AO15" s="22"/>
    </row>
    <row r="16">
      <c r="A16" s="54" t="s">
        <v>120</v>
      </c>
      <c r="B16" s="55" t="s">
        <v>61</v>
      </c>
      <c r="C16" s="17" t="s">
        <v>121</v>
      </c>
      <c r="D16" s="17" t="s">
        <v>62</v>
      </c>
      <c r="E16" s="17" t="s">
        <v>103</v>
      </c>
      <c r="F16" s="17" t="s">
        <v>104</v>
      </c>
      <c r="G16" s="17" t="s">
        <v>105</v>
      </c>
      <c r="H16" s="17"/>
      <c r="I16" s="17"/>
      <c r="J16" s="17" t="s">
        <v>106</v>
      </c>
      <c r="K16" s="17" t="s">
        <v>107</v>
      </c>
      <c r="L16" s="17" t="s">
        <v>108</v>
      </c>
      <c r="M16" s="19"/>
      <c r="N16" s="17" t="s">
        <v>109</v>
      </c>
      <c r="O16" s="56">
        <v>2.1</v>
      </c>
      <c r="P16" s="17">
        <v>308.0</v>
      </c>
      <c r="Q16" s="40"/>
      <c r="R16" s="41"/>
      <c r="S16" s="16">
        <v>18.0</v>
      </c>
      <c r="T16" s="17" t="s">
        <v>110</v>
      </c>
      <c r="U16" s="17" t="s">
        <v>111</v>
      </c>
      <c r="V16" s="17"/>
      <c r="W16" s="17" t="s">
        <v>69</v>
      </c>
      <c r="X16" s="17">
        <v>80911.0</v>
      </c>
      <c r="Y16" s="17">
        <v>2.67</v>
      </c>
      <c r="Z16" s="18">
        <f t="shared" si="10"/>
        <v>4.663405255</v>
      </c>
      <c r="AA16" s="17">
        <v>126.9</v>
      </c>
      <c r="AB16" s="17">
        <v>308.0</v>
      </c>
      <c r="AC16" s="19">
        <f t="shared" si="11"/>
        <v>1010.498688</v>
      </c>
      <c r="AD16" s="17">
        <v>50.0</v>
      </c>
      <c r="AE16" s="17" t="s">
        <v>112</v>
      </c>
      <c r="AF16" s="46">
        <f t="shared" si="9"/>
        <v>124.6458924</v>
      </c>
      <c r="AG16" s="17" t="s">
        <v>113</v>
      </c>
      <c r="AH16" s="17" t="s">
        <v>114</v>
      </c>
      <c r="AI16" s="17" t="s">
        <v>122</v>
      </c>
      <c r="AJ16" s="57" t="s">
        <v>115</v>
      </c>
      <c r="AK16" s="22" t="b">
        <v>1</v>
      </c>
      <c r="AL16" s="22" t="b">
        <v>1</v>
      </c>
      <c r="AM16" s="22" t="b">
        <v>1</v>
      </c>
      <c r="AN16" s="22" t="b">
        <v>1</v>
      </c>
      <c r="AO16" s="22"/>
    </row>
    <row r="17">
      <c r="A17" s="50" t="s">
        <v>123</v>
      </c>
      <c r="B17" s="51" t="s">
        <v>61</v>
      </c>
      <c r="C17" s="31" t="s">
        <v>121</v>
      </c>
      <c r="D17" s="31" t="s">
        <v>62</v>
      </c>
      <c r="E17" s="31" t="s">
        <v>103</v>
      </c>
      <c r="F17" s="31" t="s">
        <v>104</v>
      </c>
      <c r="G17" s="31" t="s">
        <v>105</v>
      </c>
      <c r="H17" s="31"/>
      <c r="I17" s="31"/>
      <c r="J17" s="31" t="s">
        <v>106</v>
      </c>
      <c r="K17" s="31" t="s">
        <v>107</v>
      </c>
      <c r="L17" s="31" t="s">
        <v>108</v>
      </c>
      <c r="M17" s="33"/>
      <c r="N17" s="31">
        <v>2.4</v>
      </c>
      <c r="O17" s="52">
        <v>2.1</v>
      </c>
      <c r="P17" s="31">
        <v>568.0</v>
      </c>
      <c r="Q17" s="36"/>
      <c r="R17" s="37"/>
      <c r="S17" s="30">
        <v>18.0</v>
      </c>
      <c r="T17" s="31" t="s">
        <v>117</v>
      </c>
      <c r="U17" s="31" t="s">
        <v>111</v>
      </c>
      <c r="V17" s="31"/>
      <c r="W17" s="31" t="s">
        <v>69</v>
      </c>
      <c r="X17" s="31">
        <v>80911.0</v>
      </c>
      <c r="Y17" s="31">
        <v>2.67</v>
      </c>
      <c r="Z17" s="32">
        <f t="shared" si="10"/>
        <v>4.663405255</v>
      </c>
      <c r="AA17" s="31">
        <v>126.9</v>
      </c>
      <c r="AB17" s="31">
        <v>308.0</v>
      </c>
      <c r="AC17" s="33">
        <f t="shared" si="11"/>
        <v>1010.498688</v>
      </c>
      <c r="AD17" s="31">
        <v>50.0</v>
      </c>
      <c r="AE17" s="31" t="s">
        <v>112</v>
      </c>
      <c r="AF17" s="44">
        <f t="shared" si="9"/>
        <v>229.8664508</v>
      </c>
      <c r="AG17" s="31" t="s">
        <v>113</v>
      </c>
      <c r="AH17" s="31" t="s">
        <v>114</v>
      </c>
      <c r="AI17" s="31" t="s">
        <v>122</v>
      </c>
      <c r="AJ17" s="53" t="s">
        <v>115</v>
      </c>
      <c r="AK17" s="22" t="b">
        <v>1</v>
      </c>
      <c r="AL17" s="22" t="b">
        <v>1</v>
      </c>
      <c r="AM17" s="22" t="b">
        <v>1</v>
      </c>
      <c r="AN17" s="22" t="b">
        <v>1</v>
      </c>
      <c r="AO17" s="22"/>
    </row>
    <row r="18">
      <c r="A18" s="54" t="s">
        <v>124</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932.0</v>
      </c>
      <c r="Q18" s="40"/>
      <c r="R18" s="41"/>
      <c r="S18" s="16">
        <v>18.0</v>
      </c>
      <c r="T18" s="17" t="s">
        <v>119</v>
      </c>
      <c r="U18" s="17" t="s">
        <v>111</v>
      </c>
      <c r="V18" s="17"/>
      <c r="W18" s="17" t="s">
        <v>69</v>
      </c>
      <c r="X18" s="17">
        <v>80911.0</v>
      </c>
      <c r="Y18" s="17">
        <v>2.67</v>
      </c>
      <c r="Z18" s="18">
        <f t="shared" si="10"/>
        <v>4.663405255</v>
      </c>
      <c r="AA18" s="17">
        <v>126.9</v>
      </c>
      <c r="AB18" s="17">
        <v>308.0</v>
      </c>
      <c r="AC18" s="19">
        <f t="shared" si="11"/>
        <v>1010.498688</v>
      </c>
      <c r="AD18" s="17">
        <v>50.0</v>
      </c>
      <c r="AE18" s="17" t="s">
        <v>112</v>
      </c>
      <c r="AF18" s="46">
        <f t="shared" si="9"/>
        <v>377.1752327</v>
      </c>
      <c r="AG18" s="17" t="s">
        <v>113</v>
      </c>
      <c r="AH18" s="17" t="s">
        <v>114</v>
      </c>
      <c r="AI18" s="17" t="s">
        <v>122</v>
      </c>
      <c r="AJ18" s="57" t="s">
        <v>115</v>
      </c>
      <c r="AK18" s="22" t="b">
        <v>1</v>
      </c>
      <c r="AL18" s="22" t="b">
        <v>1</v>
      </c>
      <c r="AM18" s="22" t="b">
        <v>1</v>
      </c>
      <c r="AN18" s="22" t="b">
        <v>1</v>
      </c>
    </row>
    <row r="19">
      <c r="A19" s="58" t="s">
        <v>125</v>
      </c>
      <c r="B19" s="59" t="s">
        <v>126</v>
      </c>
      <c r="C19" s="60"/>
      <c r="D19" s="60"/>
      <c r="E19" s="60"/>
      <c r="F19" s="60"/>
      <c r="G19" s="60"/>
      <c r="H19" s="60"/>
      <c r="I19" s="60"/>
      <c r="J19" s="61" t="s">
        <v>127</v>
      </c>
      <c r="K19" s="61" t="s">
        <v>128</v>
      </c>
      <c r="L19" s="62"/>
      <c r="M19" s="63"/>
      <c r="N19" s="60"/>
      <c r="O19" s="64"/>
      <c r="P19" s="60"/>
      <c r="Q19" s="60"/>
      <c r="R19" s="60"/>
      <c r="S19" s="65"/>
      <c r="T19" s="60"/>
      <c r="U19" s="60"/>
      <c r="V19" s="60"/>
      <c r="W19" s="60"/>
      <c r="X19" s="60"/>
      <c r="Y19" s="60"/>
      <c r="Z19" s="60"/>
      <c r="AA19" s="60"/>
      <c r="AB19" s="60"/>
      <c r="AC19" s="63"/>
      <c r="AD19" s="60"/>
      <c r="AE19" s="60"/>
      <c r="AF19" s="66" t="str">
        <f t="shared" si="9"/>
        <v/>
      </c>
      <c r="AG19" s="60"/>
      <c r="AH19" s="60"/>
      <c r="AI19" s="60"/>
      <c r="AJ19" s="67"/>
      <c r="AK19" s="68" t="s">
        <v>129</v>
      </c>
      <c r="AL19" s="68" t="s">
        <v>129</v>
      </c>
      <c r="AM19" s="68" t="s">
        <v>129</v>
      </c>
      <c r="AN19" s="68" t="s">
        <v>129</v>
      </c>
    </row>
    <row r="20">
      <c r="A20" s="54" t="s">
        <v>130</v>
      </c>
      <c r="B20" s="55" t="s">
        <v>95</v>
      </c>
      <c r="C20" s="17" t="s">
        <v>131</v>
      </c>
      <c r="D20" s="17" t="s">
        <v>132</v>
      </c>
      <c r="E20" s="41"/>
      <c r="F20" s="17" t="s">
        <v>133</v>
      </c>
      <c r="G20" s="41"/>
      <c r="H20" s="41"/>
      <c r="I20" s="41"/>
      <c r="J20" s="17" t="s">
        <v>134</v>
      </c>
      <c r="K20" s="17" t="s">
        <v>135</v>
      </c>
      <c r="L20" s="69"/>
      <c r="M20" s="70"/>
      <c r="N20" s="17">
        <v>1.5</v>
      </c>
      <c r="O20" s="56">
        <v>3.0</v>
      </c>
      <c r="P20" s="17">
        <v>2222.0</v>
      </c>
      <c r="Q20" s="41"/>
      <c r="R20" s="41"/>
      <c r="S20" s="16">
        <v>6.0</v>
      </c>
      <c r="T20" s="17" t="s">
        <v>136</v>
      </c>
      <c r="U20" s="17" t="s">
        <v>82</v>
      </c>
      <c r="V20" s="17" t="s">
        <v>137</v>
      </c>
      <c r="W20" s="17" t="s">
        <v>138</v>
      </c>
      <c r="X20" s="11">
        <v>922.0</v>
      </c>
      <c r="Y20" s="41"/>
      <c r="Z20" s="18" t="str">
        <f t="shared" ref="Z20:Z40" si="12">IF(ISNUMBER(Y20),tan(Y20*PI()/180)*100,"")</f>
        <v/>
      </c>
      <c r="AA20" s="41"/>
      <c r="AB20" s="41"/>
      <c r="AC20" s="19" t="str">
        <f t="shared" ref="AC20:AC40" si="13">IF(ISNUMBER(AB20), CONVERT(AB20,"m","ft"),"")</f>
        <v/>
      </c>
      <c r="AD20" s="41"/>
      <c r="AE20" s="41"/>
      <c r="AF20" s="46">
        <f t="shared" si="9"/>
        <v>899.2310805</v>
      </c>
      <c r="AG20" s="41"/>
      <c r="AH20" s="41"/>
      <c r="AI20" s="41"/>
      <c r="AJ20" s="42"/>
      <c r="AK20" s="71" t="s">
        <v>139</v>
      </c>
      <c r="AL20" s="71" t="s">
        <v>139</v>
      </c>
      <c r="AM20" s="71" t="s">
        <v>139</v>
      </c>
      <c r="AN20" s="71" t="s">
        <v>139</v>
      </c>
    </row>
    <row r="21">
      <c r="A21" s="50" t="s">
        <v>130</v>
      </c>
      <c r="B21" s="51" t="s">
        <v>95</v>
      </c>
      <c r="D21" s="31" t="s">
        <v>132</v>
      </c>
      <c r="F21" s="31" t="s">
        <v>133</v>
      </c>
      <c r="G21" s="37"/>
      <c r="H21" s="37"/>
      <c r="I21" s="37"/>
      <c r="J21" s="31" t="s">
        <v>140</v>
      </c>
      <c r="K21" s="31" t="s">
        <v>141</v>
      </c>
      <c r="L21" s="72"/>
      <c r="M21" s="73"/>
      <c r="N21" s="31">
        <v>1.5</v>
      </c>
      <c r="O21" s="52">
        <v>3.0</v>
      </c>
      <c r="P21" s="31">
        <v>2222.0</v>
      </c>
      <c r="Q21" s="37"/>
      <c r="R21" s="37"/>
      <c r="S21" s="30">
        <v>6.0</v>
      </c>
      <c r="T21" s="31" t="s">
        <v>136</v>
      </c>
      <c r="U21" s="31" t="s">
        <v>82</v>
      </c>
      <c r="V21" s="31" t="s">
        <v>137</v>
      </c>
      <c r="W21" s="31" t="s">
        <v>138</v>
      </c>
      <c r="X21" s="25">
        <v>922.0</v>
      </c>
      <c r="Y21" s="37"/>
      <c r="Z21" s="32" t="str">
        <f t="shared" si="12"/>
        <v/>
      </c>
      <c r="AA21" s="37"/>
      <c r="AB21" s="37"/>
      <c r="AC21" s="33" t="str">
        <f t="shared" si="13"/>
        <v/>
      </c>
      <c r="AD21" s="37"/>
      <c r="AE21" s="37"/>
      <c r="AF21" s="44">
        <f t="shared" si="9"/>
        <v>899.2310805</v>
      </c>
      <c r="AG21" s="37"/>
      <c r="AH21" s="37"/>
      <c r="AI21" s="37"/>
      <c r="AJ21" s="38"/>
      <c r="AK21" s="71" t="s">
        <v>139</v>
      </c>
      <c r="AL21" s="71" t="s">
        <v>139</v>
      </c>
      <c r="AM21" s="71" t="s">
        <v>139</v>
      </c>
      <c r="AN21" s="71" t="s">
        <v>139</v>
      </c>
    </row>
    <row r="22">
      <c r="A22" s="54" t="s">
        <v>130</v>
      </c>
      <c r="B22" s="55" t="s">
        <v>95</v>
      </c>
      <c r="D22" s="17" t="s">
        <v>132</v>
      </c>
      <c r="F22" s="17" t="s">
        <v>133</v>
      </c>
      <c r="G22" s="41"/>
      <c r="H22" s="41"/>
      <c r="I22" s="41"/>
      <c r="J22" s="41"/>
      <c r="K22" s="17" t="s">
        <v>142</v>
      </c>
      <c r="L22" s="69"/>
      <c r="M22" s="70"/>
      <c r="N22" s="17">
        <v>1.5</v>
      </c>
      <c r="O22" s="56">
        <v>3.0</v>
      </c>
      <c r="P22" s="17">
        <v>2222.0</v>
      </c>
      <c r="Q22" s="41"/>
      <c r="R22" s="41"/>
      <c r="S22" s="16">
        <v>6.0</v>
      </c>
      <c r="T22" s="17" t="s">
        <v>136</v>
      </c>
      <c r="U22" s="17" t="s">
        <v>82</v>
      </c>
      <c r="V22" s="17" t="s">
        <v>137</v>
      </c>
      <c r="W22" s="17" t="s">
        <v>138</v>
      </c>
      <c r="X22" s="11">
        <v>922.0</v>
      </c>
      <c r="Y22" s="41"/>
      <c r="Z22" s="18" t="str">
        <f t="shared" si="12"/>
        <v/>
      </c>
      <c r="AA22" s="41"/>
      <c r="AB22" s="41"/>
      <c r="AC22" s="19" t="str">
        <f t="shared" si="13"/>
        <v/>
      </c>
      <c r="AD22" s="41"/>
      <c r="AE22" s="41"/>
      <c r="AF22" s="46">
        <f t="shared" si="9"/>
        <v>899.2310805</v>
      </c>
      <c r="AG22" s="41"/>
      <c r="AH22" s="41"/>
      <c r="AI22" s="41"/>
      <c r="AJ22" s="42"/>
      <c r="AK22" s="71" t="s">
        <v>139</v>
      </c>
      <c r="AL22" s="71" t="s">
        <v>139</v>
      </c>
      <c r="AM22" s="71" t="s">
        <v>139</v>
      </c>
      <c r="AN22" s="71" t="s">
        <v>139</v>
      </c>
    </row>
    <row r="23">
      <c r="A23" s="50" t="s">
        <v>130</v>
      </c>
      <c r="B23" s="51" t="s">
        <v>95</v>
      </c>
      <c r="D23" s="31" t="s">
        <v>132</v>
      </c>
      <c r="F23" s="31" t="s">
        <v>133</v>
      </c>
      <c r="G23" s="37"/>
      <c r="H23" s="37"/>
      <c r="I23" s="37"/>
      <c r="J23" s="31" t="s">
        <v>143</v>
      </c>
      <c r="K23" s="31" t="s">
        <v>144</v>
      </c>
      <c r="L23" s="72"/>
      <c r="M23" s="73"/>
      <c r="N23" s="31">
        <v>1.5</v>
      </c>
      <c r="O23" s="52">
        <v>3.0</v>
      </c>
      <c r="P23" s="31">
        <v>2222.0</v>
      </c>
      <c r="Q23" s="37"/>
      <c r="R23" s="37"/>
      <c r="S23" s="30">
        <v>6.0</v>
      </c>
      <c r="T23" s="31" t="s">
        <v>136</v>
      </c>
      <c r="U23" s="31" t="s">
        <v>82</v>
      </c>
      <c r="V23" s="31" t="s">
        <v>137</v>
      </c>
      <c r="W23" s="31" t="s">
        <v>138</v>
      </c>
      <c r="X23" s="25">
        <v>922.0</v>
      </c>
      <c r="Y23" s="37"/>
      <c r="Z23" s="32" t="str">
        <f t="shared" si="12"/>
        <v/>
      </c>
      <c r="AA23" s="37"/>
      <c r="AB23" s="37"/>
      <c r="AC23" s="33" t="str">
        <f t="shared" si="13"/>
        <v/>
      </c>
      <c r="AD23" s="37"/>
      <c r="AE23" s="37"/>
      <c r="AF23" s="44">
        <f t="shared" si="9"/>
        <v>899.2310805</v>
      </c>
      <c r="AG23" s="37"/>
      <c r="AH23" s="37"/>
      <c r="AI23" s="37"/>
      <c r="AJ23" s="38"/>
      <c r="AK23" s="71" t="s">
        <v>139</v>
      </c>
      <c r="AL23" s="71" t="s">
        <v>139</v>
      </c>
      <c r="AM23" s="71" t="s">
        <v>139</v>
      </c>
      <c r="AN23" s="71" t="s">
        <v>139</v>
      </c>
    </row>
    <row r="24">
      <c r="A24" s="54" t="s">
        <v>130</v>
      </c>
      <c r="B24" s="55" t="s">
        <v>95</v>
      </c>
      <c r="D24" s="17" t="s">
        <v>132</v>
      </c>
      <c r="E24" s="41"/>
      <c r="F24" s="17" t="s">
        <v>133</v>
      </c>
      <c r="G24" s="41"/>
      <c r="H24" s="41"/>
      <c r="I24" s="41"/>
      <c r="J24" s="17" t="s">
        <v>145</v>
      </c>
      <c r="K24" s="17" t="s">
        <v>146</v>
      </c>
      <c r="L24" s="69"/>
      <c r="M24" s="70"/>
      <c r="N24" s="17">
        <v>1.5</v>
      </c>
      <c r="O24" s="56">
        <v>3.0</v>
      </c>
      <c r="P24" s="17">
        <v>2222.0</v>
      </c>
      <c r="Q24" s="41"/>
      <c r="R24" s="41"/>
      <c r="S24" s="16">
        <v>6.0</v>
      </c>
      <c r="T24" s="17" t="s">
        <v>136</v>
      </c>
      <c r="U24" s="17" t="s">
        <v>82</v>
      </c>
      <c r="V24" s="17" t="s">
        <v>137</v>
      </c>
      <c r="W24" s="17" t="s">
        <v>138</v>
      </c>
      <c r="X24" s="11">
        <v>922.0</v>
      </c>
      <c r="Y24" s="41"/>
      <c r="Z24" s="18" t="str">
        <f t="shared" si="12"/>
        <v/>
      </c>
      <c r="AA24" s="41"/>
      <c r="AB24" s="41"/>
      <c r="AC24" s="19" t="str">
        <f t="shared" si="13"/>
        <v/>
      </c>
      <c r="AD24" s="41"/>
      <c r="AE24" s="41"/>
      <c r="AF24" s="46">
        <f t="shared" si="9"/>
        <v>899.2310805</v>
      </c>
      <c r="AG24" s="41"/>
      <c r="AH24" s="41"/>
      <c r="AI24" s="41"/>
      <c r="AJ24" s="42"/>
      <c r="AK24" s="71" t="s">
        <v>139</v>
      </c>
      <c r="AL24" s="71" t="s">
        <v>139</v>
      </c>
      <c r="AM24" s="71" t="s">
        <v>139</v>
      </c>
      <c r="AN24" s="71" t="s">
        <v>139</v>
      </c>
    </row>
    <row r="25">
      <c r="A25" s="50" t="s">
        <v>130</v>
      </c>
      <c r="B25" s="51" t="s">
        <v>95</v>
      </c>
      <c r="C25" s="31" t="s">
        <v>147</v>
      </c>
      <c r="D25" s="31" t="s">
        <v>132</v>
      </c>
      <c r="E25" s="37"/>
      <c r="F25" s="31" t="s">
        <v>148</v>
      </c>
      <c r="G25" s="37"/>
      <c r="H25" s="37"/>
      <c r="I25" s="37"/>
      <c r="J25" s="31" t="s">
        <v>134</v>
      </c>
      <c r="K25" s="31" t="s">
        <v>135</v>
      </c>
      <c r="L25" s="72"/>
      <c r="M25" s="73"/>
      <c r="N25" s="31">
        <v>1.5</v>
      </c>
      <c r="O25" s="52">
        <v>3.0</v>
      </c>
      <c r="P25" s="31">
        <v>2222.0</v>
      </c>
      <c r="Q25" s="37"/>
      <c r="R25" s="37"/>
      <c r="S25" s="30">
        <v>6.0</v>
      </c>
      <c r="T25" s="31" t="s">
        <v>136</v>
      </c>
      <c r="U25" s="31" t="s">
        <v>82</v>
      </c>
      <c r="V25" s="31" t="s">
        <v>137</v>
      </c>
      <c r="W25" s="31" t="s">
        <v>138</v>
      </c>
      <c r="X25" s="25">
        <v>922.0</v>
      </c>
      <c r="Y25" s="37"/>
      <c r="Z25" s="32" t="str">
        <f t="shared" si="12"/>
        <v/>
      </c>
      <c r="AA25" s="37"/>
      <c r="AB25" s="37"/>
      <c r="AC25" s="33" t="str">
        <f t="shared" si="13"/>
        <v/>
      </c>
      <c r="AD25" s="37"/>
      <c r="AE25" s="37"/>
      <c r="AF25" s="44">
        <f t="shared" si="9"/>
        <v>899.2310805</v>
      </c>
      <c r="AG25" s="37"/>
      <c r="AH25" s="37"/>
      <c r="AI25" s="37"/>
      <c r="AJ25" s="38"/>
      <c r="AK25" s="71" t="s">
        <v>139</v>
      </c>
      <c r="AL25" s="71" t="s">
        <v>139</v>
      </c>
      <c r="AM25" s="71" t="s">
        <v>139</v>
      </c>
      <c r="AN25" s="71" t="s">
        <v>139</v>
      </c>
    </row>
    <row r="26">
      <c r="A26" s="54" t="s">
        <v>130</v>
      </c>
      <c r="B26" s="55" t="s">
        <v>95</v>
      </c>
      <c r="D26" s="17" t="s">
        <v>132</v>
      </c>
      <c r="F26" s="17" t="s">
        <v>148</v>
      </c>
      <c r="G26" s="41"/>
      <c r="H26" s="41"/>
      <c r="I26" s="41"/>
      <c r="J26" s="17" t="s">
        <v>140</v>
      </c>
      <c r="K26" s="17" t="s">
        <v>141</v>
      </c>
      <c r="L26" s="69"/>
      <c r="M26" s="70"/>
      <c r="N26" s="17">
        <v>1.5</v>
      </c>
      <c r="O26" s="56">
        <v>3.0</v>
      </c>
      <c r="P26" s="17">
        <v>2222.0</v>
      </c>
      <c r="Q26" s="41"/>
      <c r="R26" s="41"/>
      <c r="S26" s="16">
        <v>6.0</v>
      </c>
      <c r="T26" s="17" t="s">
        <v>136</v>
      </c>
      <c r="U26" s="17" t="s">
        <v>82</v>
      </c>
      <c r="V26" s="17" t="s">
        <v>137</v>
      </c>
      <c r="W26" s="17" t="s">
        <v>138</v>
      </c>
      <c r="X26" s="11">
        <v>922.0</v>
      </c>
      <c r="Y26" s="41"/>
      <c r="Z26" s="18" t="str">
        <f t="shared" si="12"/>
        <v/>
      </c>
      <c r="AA26" s="41"/>
      <c r="AB26" s="41"/>
      <c r="AC26" s="19" t="str">
        <f t="shared" si="13"/>
        <v/>
      </c>
      <c r="AD26" s="41"/>
      <c r="AE26" s="41"/>
      <c r="AF26" s="46">
        <f t="shared" si="9"/>
        <v>899.2310805</v>
      </c>
      <c r="AG26" s="41"/>
      <c r="AH26" s="41"/>
      <c r="AI26" s="41"/>
      <c r="AJ26" s="42"/>
      <c r="AK26" s="71" t="s">
        <v>139</v>
      </c>
      <c r="AL26" s="71" t="s">
        <v>139</v>
      </c>
      <c r="AM26" s="71" t="s">
        <v>139</v>
      </c>
      <c r="AN26" s="71" t="s">
        <v>139</v>
      </c>
    </row>
    <row r="27">
      <c r="A27" s="50" t="s">
        <v>130</v>
      </c>
      <c r="B27" s="51" t="s">
        <v>95</v>
      </c>
      <c r="D27" s="31" t="s">
        <v>132</v>
      </c>
      <c r="F27" s="31" t="s">
        <v>148</v>
      </c>
      <c r="G27" s="37"/>
      <c r="H27" s="37"/>
      <c r="I27" s="37"/>
      <c r="J27" s="37"/>
      <c r="K27" s="31" t="s">
        <v>142</v>
      </c>
      <c r="L27" s="72"/>
      <c r="M27" s="73"/>
      <c r="N27" s="31">
        <v>1.5</v>
      </c>
      <c r="O27" s="52">
        <v>3.0</v>
      </c>
      <c r="P27" s="31">
        <v>2222.0</v>
      </c>
      <c r="Q27" s="37"/>
      <c r="R27" s="37"/>
      <c r="S27" s="30">
        <v>6.0</v>
      </c>
      <c r="T27" s="31" t="s">
        <v>136</v>
      </c>
      <c r="U27" s="31" t="s">
        <v>82</v>
      </c>
      <c r="V27" s="31" t="s">
        <v>137</v>
      </c>
      <c r="W27" s="31" t="s">
        <v>138</v>
      </c>
      <c r="X27" s="25">
        <v>922.0</v>
      </c>
      <c r="Y27" s="37"/>
      <c r="Z27" s="32" t="str">
        <f t="shared" si="12"/>
        <v/>
      </c>
      <c r="AA27" s="37"/>
      <c r="AB27" s="37"/>
      <c r="AC27" s="33" t="str">
        <f t="shared" si="13"/>
        <v/>
      </c>
      <c r="AD27" s="37"/>
      <c r="AE27" s="37"/>
      <c r="AF27" s="44">
        <f t="shared" si="9"/>
        <v>899.2310805</v>
      </c>
      <c r="AG27" s="37"/>
      <c r="AH27" s="37"/>
      <c r="AI27" s="37"/>
      <c r="AJ27" s="38"/>
      <c r="AK27" s="71" t="s">
        <v>139</v>
      </c>
      <c r="AL27" s="71" t="s">
        <v>139</v>
      </c>
      <c r="AM27" s="71" t="s">
        <v>139</v>
      </c>
      <c r="AN27" s="71" t="s">
        <v>139</v>
      </c>
    </row>
    <row r="28">
      <c r="A28" s="54" t="s">
        <v>130</v>
      </c>
      <c r="B28" s="55" t="s">
        <v>95</v>
      </c>
      <c r="C28" s="41"/>
      <c r="D28" s="17" t="s">
        <v>132</v>
      </c>
      <c r="E28" s="41"/>
      <c r="F28" s="17" t="s">
        <v>148</v>
      </c>
      <c r="G28" s="41"/>
      <c r="H28" s="41"/>
      <c r="I28" s="41"/>
      <c r="J28" s="17" t="s">
        <v>143</v>
      </c>
      <c r="K28" s="17" t="s">
        <v>144</v>
      </c>
      <c r="L28" s="69"/>
      <c r="M28" s="70"/>
      <c r="N28" s="17">
        <v>1.5</v>
      </c>
      <c r="O28" s="56">
        <v>3.0</v>
      </c>
      <c r="P28" s="17">
        <v>2222.0</v>
      </c>
      <c r="Q28" s="41"/>
      <c r="R28" s="41"/>
      <c r="S28" s="16">
        <v>6.0</v>
      </c>
      <c r="T28" s="17" t="s">
        <v>136</v>
      </c>
      <c r="U28" s="17" t="s">
        <v>82</v>
      </c>
      <c r="V28" s="17" t="s">
        <v>137</v>
      </c>
      <c r="W28" s="17" t="s">
        <v>138</v>
      </c>
      <c r="X28" s="11">
        <v>922.0</v>
      </c>
      <c r="Y28" s="41"/>
      <c r="Z28" s="18" t="str">
        <f t="shared" si="12"/>
        <v/>
      </c>
      <c r="AA28" s="41"/>
      <c r="AB28" s="41"/>
      <c r="AC28" s="19" t="str">
        <f t="shared" si="13"/>
        <v/>
      </c>
      <c r="AD28" s="41"/>
      <c r="AE28" s="41"/>
      <c r="AF28" s="46">
        <f t="shared" si="9"/>
        <v>899.2310805</v>
      </c>
      <c r="AG28" s="41"/>
      <c r="AH28" s="41"/>
      <c r="AI28" s="41"/>
      <c r="AJ28" s="42"/>
      <c r="AK28" s="71" t="s">
        <v>139</v>
      </c>
      <c r="AL28" s="71" t="s">
        <v>139</v>
      </c>
      <c r="AM28" s="71" t="s">
        <v>139</v>
      </c>
      <c r="AN28" s="71" t="s">
        <v>139</v>
      </c>
    </row>
    <row r="29">
      <c r="A29" s="50" t="s">
        <v>130</v>
      </c>
      <c r="B29" s="51" t="s">
        <v>95</v>
      </c>
      <c r="C29" s="37"/>
      <c r="D29" s="31" t="s">
        <v>132</v>
      </c>
      <c r="E29" s="37"/>
      <c r="F29" s="31" t="s">
        <v>148</v>
      </c>
      <c r="G29" s="37"/>
      <c r="H29" s="37"/>
      <c r="I29" s="37"/>
      <c r="J29" s="31" t="s">
        <v>145</v>
      </c>
      <c r="K29" s="31" t="s">
        <v>146</v>
      </c>
      <c r="L29" s="72"/>
      <c r="M29" s="73"/>
      <c r="N29" s="31">
        <v>1.5</v>
      </c>
      <c r="O29" s="52">
        <v>3.0</v>
      </c>
      <c r="P29" s="31">
        <v>2222.0</v>
      </c>
      <c r="Q29" s="37"/>
      <c r="R29" s="37"/>
      <c r="S29" s="30">
        <v>6.0</v>
      </c>
      <c r="T29" s="31" t="s">
        <v>136</v>
      </c>
      <c r="U29" s="31" t="s">
        <v>82</v>
      </c>
      <c r="V29" s="31" t="s">
        <v>137</v>
      </c>
      <c r="W29" s="31" t="s">
        <v>138</v>
      </c>
      <c r="X29" s="25">
        <v>922.0</v>
      </c>
      <c r="Y29" s="37"/>
      <c r="Z29" s="32" t="str">
        <f t="shared" si="12"/>
        <v/>
      </c>
      <c r="AA29" s="37"/>
      <c r="AB29" s="37"/>
      <c r="AC29" s="33" t="str">
        <f t="shared" si="13"/>
        <v/>
      </c>
      <c r="AD29" s="37"/>
      <c r="AE29" s="37"/>
      <c r="AF29" s="44">
        <f t="shared" si="9"/>
        <v>899.2310805</v>
      </c>
      <c r="AG29" s="37"/>
      <c r="AH29" s="37"/>
      <c r="AI29" s="37"/>
      <c r="AJ29" s="38"/>
      <c r="AK29" s="71" t="s">
        <v>139</v>
      </c>
      <c r="AL29" s="71" t="s">
        <v>139</v>
      </c>
      <c r="AM29" s="71" t="s">
        <v>139</v>
      </c>
      <c r="AN29" s="71" t="s">
        <v>139</v>
      </c>
    </row>
    <row r="30">
      <c r="A30" s="54" t="s">
        <v>130</v>
      </c>
      <c r="B30" s="55" t="s">
        <v>95</v>
      </c>
      <c r="C30" s="17" t="s">
        <v>147</v>
      </c>
      <c r="D30" s="17" t="s">
        <v>132</v>
      </c>
      <c r="E30" s="41"/>
      <c r="F30" s="17" t="s">
        <v>149</v>
      </c>
      <c r="G30" s="41"/>
      <c r="H30" s="41"/>
      <c r="I30" s="41"/>
      <c r="J30" s="17" t="s">
        <v>134</v>
      </c>
      <c r="K30" s="17" t="s">
        <v>135</v>
      </c>
      <c r="L30" s="69"/>
      <c r="M30" s="70"/>
      <c r="N30" s="17">
        <v>1.5</v>
      </c>
      <c r="O30" s="56">
        <v>3.0</v>
      </c>
      <c r="P30" s="17">
        <v>2222.0</v>
      </c>
      <c r="Q30" s="41"/>
      <c r="R30" s="41"/>
      <c r="S30" s="16">
        <v>6.0</v>
      </c>
      <c r="T30" s="17" t="s">
        <v>136</v>
      </c>
      <c r="U30" s="17" t="s">
        <v>82</v>
      </c>
      <c r="V30" s="17" t="s">
        <v>137</v>
      </c>
      <c r="W30" s="17" t="s">
        <v>138</v>
      </c>
      <c r="X30" s="11">
        <v>922.0</v>
      </c>
      <c r="Y30" s="41"/>
      <c r="Z30" s="18" t="str">
        <f t="shared" si="12"/>
        <v/>
      </c>
      <c r="AA30" s="41"/>
      <c r="AB30" s="41"/>
      <c r="AC30" s="19" t="str">
        <f t="shared" si="13"/>
        <v/>
      </c>
      <c r="AD30" s="41"/>
      <c r="AE30" s="41"/>
      <c r="AF30" s="46">
        <f t="shared" si="9"/>
        <v>899.2310805</v>
      </c>
      <c r="AG30" s="41"/>
      <c r="AH30" s="41"/>
      <c r="AI30" s="41"/>
      <c r="AJ30" s="42"/>
      <c r="AK30" s="71" t="s">
        <v>139</v>
      </c>
      <c r="AL30" s="71" t="s">
        <v>139</v>
      </c>
      <c r="AM30" s="71" t="s">
        <v>139</v>
      </c>
      <c r="AN30" s="71" t="s">
        <v>139</v>
      </c>
    </row>
    <row r="31">
      <c r="A31" s="50" t="s">
        <v>130</v>
      </c>
      <c r="B31" s="51" t="s">
        <v>95</v>
      </c>
      <c r="D31" s="31" t="s">
        <v>132</v>
      </c>
      <c r="F31" s="31" t="s">
        <v>149</v>
      </c>
      <c r="G31" s="37"/>
      <c r="H31" s="37"/>
      <c r="I31" s="37"/>
      <c r="J31" s="31" t="s">
        <v>140</v>
      </c>
      <c r="K31" s="31" t="s">
        <v>141</v>
      </c>
      <c r="L31" s="72"/>
      <c r="M31" s="73"/>
      <c r="N31" s="31">
        <v>1.5</v>
      </c>
      <c r="O31" s="52">
        <v>3.0</v>
      </c>
      <c r="P31" s="31">
        <v>2222.0</v>
      </c>
      <c r="Q31" s="37"/>
      <c r="R31" s="37"/>
      <c r="S31" s="30">
        <v>6.0</v>
      </c>
      <c r="T31" s="31" t="s">
        <v>136</v>
      </c>
      <c r="U31" s="31" t="s">
        <v>82</v>
      </c>
      <c r="V31" s="31" t="s">
        <v>137</v>
      </c>
      <c r="W31" s="31" t="s">
        <v>138</v>
      </c>
      <c r="X31" s="25">
        <v>922.0</v>
      </c>
      <c r="Y31" s="37"/>
      <c r="Z31" s="32" t="str">
        <f t="shared" si="12"/>
        <v/>
      </c>
      <c r="AA31" s="37"/>
      <c r="AB31" s="37"/>
      <c r="AC31" s="33" t="str">
        <f t="shared" si="13"/>
        <v/>
      </c>
      <c r="AD31" s="37"/>
      <c r="AE31" s="37"/>
      <c r="AF31" s="44">
        <f t="shared" si="9"/>
        <v>899.2310805</v>
      </c>
      <c r="AG31" s="37"/>
      <c r="AH31" s="37"/>
      <c r="AI31" s="37"/>
      <c r="AJ31" s="38"/>
      <c r="AK31" s="71" t="s">
        <v>139</v>
      </c>
      <c r="AL31" s="71" t="s">
        <v>139</v>
      </c>
      <c r="AM31" s="71" t="s">
        <v>139</v>
      </c>
      <c r="AN31" s="71" t="s">
        <v>139</v>
      </c>
    </row>
    <row r="32">
      <c r="A32" s="54" t="s">
        <v>130</v>
      </c>
      <c r="B32" s="55" t="s">
        <v>95</v>
      </c>
      <c r="C32" s="41"/>
      <c r="D32" s="17" t="s">
        <v>132</v>
      </c>
      <c r="E32" s="41"/>
      <c r="F32" s="17" t="s">
        <v>149</v>
      </c>
      <c r="G32" s="41"/>
      <c r="H32" s="41"/>
      <c r="I32" s="41"/>
      <c r="J32" s="41"/>
      <c r="K32" s="17" t="s">
        <v>142</v>
      </c>
      <c r="L32" s="69"/>
      <c r="M32" s="70"/>
      <c r="N32" s="17">
        <v>1.5</v>
      </c>
      <c r="O32" s="56">
        <v>3.0</v>
      </c>
      <c r="P32" s="17">
        <v>2222.0</v>
      </c>
      <c r="Q32" s="41"/>
      <c r="R32" s="41"/>
      <c r="S32" s="16">
        <v>6.0</v>
      </c>
      <c r="T32" s="17" t="s">
        <v>136</v>
      </c>
      <c r="U32" s="17" t="s">
        <v>82</v>
      </c>
      <c r="V32" s="17" t="s">
        <v>137</v>
      </c>
      <c r="W32" s="17" t="s">
        <v>138</v>
      </c>
      <c r="X32" s="11">
        <v>922.0</v>
      </c>
      <c r="Y32" s="41"/>
      <c r="Z32" s="18" t="str">
        <f t="shared" si="12"/>
        <v/>
      </c>
      <c r="AA32" s="41"/>
      <c r="AB32" s="41"/>
      <c r="AC32" s="19" t="str">
        <f t="shared" si="13"/>
        <v/>
      </c>
      <c r="AD32" s="41"/>
      <c r="AE32" s="41"/>
      <c r="AF32" s="46">
        <f t="shared" si="9"/>
        <v>899.2310805</v>
      </c>
      <c r="AG32" s="41"/>
      <c r="AH32" s="41"/>
      <c r="AI32" s="41"/>
      <c r="AJ32" s="42"/>
      <c r="AK32" s="71" t="s">
        <v>139</v>
      </c>
      <c r="AL32" s="71" t="s">
        <v>139</v>
      </c>
      <c r="AM32" s="71" t="s">
        <v>139</v>
      </c>
      <c r="AN32" s="71" t="s">
        <v>139</v>
      </c>
    </row>
    <row r="33">
      <c r="A33" s="50" t="s">
        <v>130</v>
      </c>
      <c r="B33" s="51" t="s">
        <v>95</v>
      </c>
      <c r="C33" s="37"/>
      <c r="D33" s="31" t="s">
        <v>132</v>
      </c>
      <c r="E33" s="37"/>
      <c r="F33" s="31" t="s">
        <v>149</v>
      </c>
      <c r="G33" s="37"/>
      <c r="H33" s="37"/>
      <c r="I33" s="37"/>
      <c r="J33" s="31" t="s">
        <v>143</v>
      </c>
      <c r="K33" s="31" t="s">
        <v>144</v>
      </c>
      <c r="L33" s="72"/>
      <c r="M33" s="73"/>
      <c r="N33" s="31">
        <v>1.5</v>
      </c>
      <c r="O33" s="52">
        <v>3.0</v>
      </c>
      <c r="P33" s="31">
        <v>2222.0</v>
      </c>
      <c r="Q33" s="37"/>
      <c r="R33" s="37"/>
      <c r="S33" s="30">
        <v>6.0</v>
      </c>
      <c r="T33" s="31" t="s">
        <v>136</v>
      </c>
      <c r="U33" s="31" t="s">
        <v>82</v>
      </c>
      <c r="V33" s="31" t="s">
        <v>137</v>
      </c>
      <c r="W33" s="31" t="s">
        <v>138</v>
      </c>
      <c r="X33" s="25">
        <v>922.0</v>
      </c>
      <c r="Y33" s="37"/>
      <c r="Z33" s="32" t="str">
        <f t="shared" si="12"/>
        <v/>
      </c>
      <c r="AA33" s="37"/>
      <c r="AB33" s="37"/>
      <c r="AC33" s="33" t="str">
        <f t="shared" si="13"/>
        <v/>
      </c>
      <c r="AD33" s="37"/>
      <c r="AE33" s="37"/>
      <c r="AF33" s="44">
        <f t="shared" si="9"/>
        <v>899.2310805</v>
      </c>
      <c r="AG33" s="37"/>
      <c r="AH33" s="37"/>
      <c r="AI33" s="37"/>
      <c r="AJ33" s="38"/>
      <c r="AK33" s="71" t="s">
        <v>139</v>
      </c>
      <c r="AL33" s="71" t="s">
        <v>139</v>
      </c>
      <c r="AM33" s="71" t="s">
        <v>139</v>
      </c>
      <c r="AN33" s="71" t="s">
        <v>139</v>
      </c>
    </row>
    <row r="34">
      <c r="A34" s="54" t="s">
        <v>130</v>
      </c>
      <c r="B34" s="55" t="s">
        <v>95</v>
      </c>
      <c r="C34" s="41"/>
      <c r="D34" s="17" t="s">
        <v>132</v>
      </c>
      <c r="E34" s="41"/>
      <c r="F34" s="17" t="s">
        <v>149</v>
      </c>
      <c r="G34" s="41"/>
      <c r="H34" s="41"/>
      <c r="I34" s="41"/>
      <c r="J34" s="17" t="s">
        <v>145</v>
      </c>
      <c r="K34" s="17" t="s">
        <v>146</v>
      </c>
      <c r="L34" s="69"/>
      <c r="M34" s="70"/>
      <c r="N34" s="17">
        <v>1.5</v>
      </c>
      <c r="O34" s="56">
        <v>3.0</v>
      </c>
      <c r="P34" s="17">
        <v>2222.0</v>
      </c>
      <c r="Q34" s="41"/>
      <c r="R34" s="41"/>
      <c r="S34" s="16">
        <v>6.0</v>
      </c>
      <c r="T34" s="17" t="s">
        <v>136</v>
      </c>
      <c r="U34" s="17" t="s">
        <v>82</v>
      </c>
      <c r="V34" s="17" t="s">
        <v>137</v>
      </c>
      <c r="W34" s="17" t="s">
        <v>138</v>
      </c>
      <c r="X34" s="11">
        <v>922.0</v>
      </c>
      <c r="Y34" s="41"/>
      <c r="Z34" s="18" t="str">
        <f t="shared" si="12"/>
        <v/>
      </c>
      <c r="AA34" s="41"/>
      <c r="AB34" s="41"/>
      <c r="AC34" s="19" t="str">
        <f t="shared" si="13"/>
        <v/>
      </c>
      <c r="AD34" s="41"/>
      <c r="AE34" s="41"/>
      <c r="AF34" s="46">
        <f t="shared" si="9"/>
        <v>899.2310805</v>
      </c>
      <c r="AG34" s="41"/>
      <c r="AH34" s="41"/>
      <c r="AI34" s="41"/>
      <c r="AJ34" s="42"/>
      <c r="AK34" s="71" t="s">
        <v>139</v>
      </c>
      <c r="AL34" s="71" t="s">
        <v>139</v>
      </c>
      <c r="AM34" s="71" t="s">
        <v>139</v>
      </c>
      <c r="AN34" s="71" t="s">
        <v>139</v>
      </c>
    </row>
    <row r="35">
      <c r="A35" s="50" t="s">
        <v>130</v>
      </c>
      <c r="B35" s="51" t="s">
        <v>95</v>
      </c>
      <c r="C35" s="31" t="s">
        <v>150</v>
      </c>
      <c r="D35" s="31" t="s">
        <v>132</v>
      </c>
      <c r="E35" s="37"/>
      <c r="F35" s="31" t="s">
        <v>151</v>
      </c>
      <c r="G35" s="37"/>
      <c r="H35" s="37"/>
      <c r="I35" s="37"/>
      <c r="J35" s="31" t="s">
        <v>134</v>
      </c>
      <c r="K35" s="31" t="s">
        <v>135</v>
      </c>
      <c r="L35" s="72"/>
      <c r="M35" s="73"/>
      <c r="N35" s="31">
        <v>1.5</v>
      </c>
      <c r="O35" s="52">
        <v>3.0</v>
      </c>
      <c r="P35" s="31">
        <v>2222.0</v>
      </c>
      <c r="Q35" s="37"/>
      <c r="R35" s="37"/>
      <c r="S35" s="30">
        <v>6.0</v>
      </c>
      <c r="T35" s="31" t="s">
        <v>136</v>
      </c>
      <c r="U35" s="31" t="s">
        <v>82</v>
      </c>
      <c r="V35" s="31" t="s">
        <v>137</v>
      </c>
      <c r="W35" s="31" t="s">
        <v>138</v>
      </c>
      <c r="X35" s="25">
        <v>922.0</v>
      </c>
      <c r="Y35" s="37"/>
      <c r="Z35" s="32" t="str">
        <f t="shared" si="12"/>
        <v/>
      </c>
      <c r="AA35" s="37"/>
      <c r="AB35" s="37"/>
      <c r="AC35" s="33" t="str">
        <f t="shared" si="13"/>
        <v/>
      </c>
      <c r="AD35" s="37"/>
      <c r="AE35" s="37"/>
      <c r="AF35" s="44">
        <f t="shared" si="9"/>
        <v>899.2310805</v>
      </c>
      <c r="AG35" s="37"/>
      <c r="AH35" s="37"/>
      <c r="AI35" s="37"/>
      <c r="AJ35" s="38"/>
      <c r="AK35" s="71" t="s">
        <v>139</v>
      </c>
      <c r="AL35" s="71" t="s">
        <v>139</v>
      </c>
      <c r="AM35" s="71" t="s">
        <v>139</v>
      </c>
      <c r="AN35" s="71" t="s">
        <v>139</v>
      </c>
    </row>
    <row r="36">
      <c r="A36" s="54" t="s">
        <v>130</v>
      </c>
      <c r="B36" s="55" t="s">
        <v>95</v>
      </c>
      <c r="C36" s="41"/>
      <c r="D36" s="17" t="s">
        <v>132</v>
      </c>
      <c r="E36" s="41"/>
      <c r="F36" s="17" t="s">
        <v>151</v>
      </c>
      <c r="G36" s="41"/>
      <c r="H36" s="41"/>
      <c r="I36" s="41"/>
      <c r="J36" s="17" t="s">
        <v>140</v>
      </c>
      <c r="K36" s="17" t="s">
        <v>141</v>
      </c>
      <c r="L36" s="69"/>
      <c r="M36" s="70"/>
      <c r="N36" s="17">
        <v>1.5</v>
      </c>
      <c r="O36" s="56">
        <v>3.0</v>
      </c>
      <c r="P36" s="17">
        <v>2222.0</v>
      </c>
      <c r="Q36" s="41"/>
      <c r="R36" s="41"/>
      <c r="S36" s="16">
        <v>6.0</v>
      </c>
      <c r="T36" s="17" t="s">
        <v>136</v>
      </c>
      <c r="U36" s="17" t="s">
        <v>82</v>
      </c>
      <c r="V36" s="17" t="s">
        <v>137</v>
      </c>
      <c r="W36" s="17" t="s">
        <v>138</v>
      </c>
      <c r="X36" s="11">
        <v>922.0</v>
      </c>
      <c r="Y36" s="41"/>
      <c r="Z36" s="18" t="str">
        <f t="shared" si="12"/>
        <v/>
      </c>
      <c r="AA36" s="41"/>
      <c r="AB36" s="41"/>
      <c r="AC36" s="19" t="str">
        <f t="shared" si="13"/>
        <v/>
      </c>
      <c r="AD36" s="41"/>
      <c r="AE36" s="41"/>
      <c r="AF36" s="46">
        <f t="shared" si="9"/>
        <v>899.2310805</v>
      </c>
      <c r="AG36" s="41"/>
      <c r="AH36" s="41"/>
      <c r="AI36" s="41"/>
      <c r="AJ36" s="42"/>
      <c r="AK36" s="71" t="s">
        <v>139</v>
      </c>
      <c r="AL36" s="71" t="s">
        <v>139</v>
      </c>
      <c r="AM36" s="71" t="s">
        <v>139</v>
      </c>
      <c r="AN36" s="71" t="s">
        <v>139</v>
      </c>
    </row>
    <row r="37">
      <c r="A37" s="50" t="s">
        <v>130</v>
      </c>
      <c r="B37" s="51" t="s">
        <v>95</v>
      </c>
      <c r="C37" s="37"/>
      <c r="D37" s="31" t="s">
        <v>132</v>
      </c>
      <c r="E37" s="37"/>
      <c r="F37" s="31" t="s">
        <v>151</v>
      </c>
      <c r="G37" s="37"/>
      <c r="H37" s="37"/>
      <c r="I37" s="37"/>
      <c r="J37" s="37"/>
      <c r="K37" s="31" t="s">
        <v>142</v>
      </c>
      <c r="L37" s="72"/>
      <c r="M37" s="73"/>
      <c r="N37" s="31">
        <v>1.5</v>
      </c>
      <c r="O37" s="52">
        <v>3.0</v>
      </c>
      <c r="P37" s="31">
        <v>2222.0</v>
      </c>
      <c r="Q37" s="37"/>
      <c r="R37" s="37"/>
      <c r="S37" s="30">
        <v>6.0</v>
      </c>
      <c r="T37" s="31" t="s">
        <v>136</v>
      </c>
      <c r="U37" s="31" t="s">
        <v>82</v>
      </c>
      <c r="V37" s="31" t="s">
        <v>137</v>
      </c>
      <c r="W37" s="31" t="s">
        <v>138</v>
      </c>
      <c r="X37" s="25">
        <v>922.0</v>
      </c>
      <c r="Y37" s="37"/>
      <c r="Z37" s="32" t="str">
        <f t="shared" si="12"/>
        <v/>
      </c>
      <c r="AA37" s="37"/>
      <c r="AB37" s="37"/>
      <c r="AC37" s="33" t="str">
        <f t="shared" si="13"/>
        <v/>
      </c>
      <c r="AD37" s="37"/>
      <c r="AE37" s="37"/>
      <c r="AF37" s="44">
        <f t="shared" si="9"/>
        <v>899.2310805</v>
      </c>
      <c r="AG37" s="37"/>
      <c r="AH37" s="37"/>
      <c r="AI37" s="37"/>
      <c r="AJ37" s="38"/>
      <c r="AK37" s="71" t="s">
        <v>139</v>
      </c>
      <c r="AL37" s="71" t="s">
        <v>139</v>
      </c>
      <c r="AM37" s="71" t="s">
        <v>139</v>
      </c>
      <c r="AN37" s="71" t="s">
        <v>139</v>
      </c>
    </row>
    <row r="38">
      <c r="A38" s="54" t="s">
        <v>130</v>
      </c>
      <c r="B38" s="55" t="s">
        <v>95</v>
      </c>
      <c r="C38" s="41"/>
      <c r="D38" s="17" t="s">
        <v>132</v>
      </c>
      <c r="E38" s="41"/>
      <c r="F38" s="17" t="s">
        <v>151</v>
      </c>
      <c r="G38" s="41"/>
      <c r="H38" s="41"/>
      <c r="I38" s="41"/>
      <c r="J38" s="17" t="s">
        <v>143</v>
      </c>
      <c r="K38" s="17" t="s">
        <v>144</v>
      </c>
      <c r="L38" s="69"/>
      <c r="M38" s="70"/>
      <c r="N38" s="17">
        <v>1.5</v>
      </c>
      <c r="O38" s="56">
        <v>3.0</v>
      </c>
      <c r="P38" s="17">
        <v>2222.0</v>
      </c>
      <c r="Q38" s="41"/>
      <c r="R38" s="41"/>
      <c r="S38" s="16">
        <v>6.0</v>
      </c>
      <c r="T38" s="17" t="s">
        <v>136</v>
      </c>
      <c r="U38" s="17" t="s">
        <v>82</v>
      </c>
      <c r="V38" s="17" t="s">
        <v>137</v>
      </c>
      <c r="W38" s="17" t="s">
        <v>138</v>
      </c>
      <c r="X38" s="11">
        <v>922.0</v>
      </c>
      <c r="Y38" s="41"/>
      <c r="Z38" s="18" t="str">
        <f t="shared" si="12"/>
        <v/>
      </c>
      <c r="AA38" s="41"/>
      <c r="AB38" s="41"/>
      <c r="AC38" s="19" t="str">
        <f t="shared" si="13"/>
        <v/>
      </c>
      <c r="AD38" s="41"/>
      <c r="AE38" s="41"/>
      <c r="AF38" s="46">
        <f t="shared" si="9"/>
        <v>899.2310805</v>
      </c>
      <c r="AG38" s="41"/>
      <c r="AH38" s="41"/>
      <c r="AI38" s="41"/>
      <c r="AJ38" s="42"/>
      <c r="AK38" s="71" t="s">
        <v>139</v>
      </c>
      <c r="AL38" s="71" t="s">
        <v>139</v>
      </c>
      <c r="AM38" s="71" t="s">
        <v>139</v>
      </c>
      <c r="AN38" s="71" t="s">
        <v>139</v>
      </c>
    </row>
    <row r="39">
      <c r="A39" s="50" t="s">
        <v>130</v>
      </c>
      <c r="B39" s="51" t="s">
        <v>95</v>
      </c>
      <c r="C39" s="37"/>
      <c r="D39" s="31" t="s">
        <v>132</v>
      </c>
      <c r="E39" s="37"/>
      <c r="F39" s="31" t="s">
        <v>151</v>
      </c>
      <c r="G39" s="37"/>
      <c r="H39" s="37"/>
      <c r="I39" s="37"/>
      <c r="J39" s="31" t="s">
        <v>145</v>
      </c>
      <c r="K39" s="31" t="s">
        <v>146</v>
      </c>
      <c r="L39" s="72"/>
      <c r="M39" s="73"/>
      <c r="N39" s="31">
        <v>1.5</v>
      </c>
      <c r="O39" s="52">
        <v>3.0</v>
      </c>
      <c r="P39" s="31">
        <v>2222.0</v>
      </c>
      <c r="Q39" s="37"/>
      <c r="R39" s="37"/>
      <c r="S39" s="30">
        <v>6.0</v>
      </c>
      <c r="T39" s="31" t="s">
        <v>136</v>
      </c>
      <c r="U39" s="31" t="s">
        <v>82</v>
      </c>
      <c r="V39" s="31" t="s">
        <v>137</v>
      </c>
      <c r="W39" s="31" t="s">
        <v>138</v>
      </c>
      <c r="X39" s="25">
        <v>922.0</v>
      </c>
      <c r="Y39" s="37"/>
      <c r="Z39" s="32" t="str">
        <f t="shared" si="12"/>
        <v/>
      </c>
      <c r="AA39" s="37"/>
      <c r="AB39" s="37"/>
      <c r="AC39" s="33" t="str">
        <f t="shared" si="13"/>
        <v/>
      </c>
      <c r="AD39" s="37"/>
      <c r="AE39" s="37"/>
      <c r="AF39" s="44">
        <f t="shared" si="9"/>
        <v>899.2310805</v>
      </c>
      <c r="AG39" s="37"/>
      <c r="AH39" s="37"/>
      <c r="AI39" s="37"/>
      <c r="AJ39" s="38"/>
      <c r="AK39" s="71" t="s">
        <v>139</v>
      </c>
      <c r="AL39" s="71" t="s">
        <v>139</v>
      </c>
      <c r="AM39" s="71" t="s">
        <v>139</v>
      </c>
      <c r="AN39" s="71" t="s">
        <v>139</v>
      </c>
    </row>
    <row r="40">
      <c r="A40" s="54" t="s">
        <v>152</v>
      </c>
      <c r="B40" s="55" t="s">
        <v>61</v>
      </c>
      <c r="C40" s="41"/>
      <c r="D40" s="17" t="s">
        <v>153</v>
      </c>
      <c r="E40" s="17" t="s">
        <v>154</v>
      </c>
      <c r="F40" s="17" t="s">
        <v>155</v>
      </c>
      <c r="G40" s="17" t="s">
        <v>156</v>
      </c>
      <c r="H40" s="41"/>
      <c r="I40" s="41"/>
      <c r="J40" s="17" t="s">
        <v>157</v>
      </c>
      <c r="K40" s="17" t="s">
        <v>158</v>
      </c>
      <c r="L40" s="18">
        <v>0.6</v>
      </c>
      <c r="M40" s="70"/>
      <c r="N40" s="17">
        <v>7.0</v>
      </c>
      <c r="O40" s="56">
        <v>2.5</v>
      </c>
      <c r="P40" s="17">
        <v>570.0</v>
      </c>
      <c r="Q40" s="17">
        <v>571.4</v>
      </c>
      <c r="R40" s="41"/>
      <c r="S40" s="16">
        <v>11.0</v>
      </c>
      <c r="T40" s="17" t="s">
        <v>159</v>
      </c>
      <c r="U40" s="17" t="s">
        <v>157</v>
      </c>
      <c r="V40" s="41"/>
      <c r="W40" s="17" t="s">
        <v>160</v>
      </c>
      <c r="X40" s="17">
        <v>612.0</v>
      </c>
      <c r="Y40" s="11">
        <v>4.1</v>
      </c>
      <c r="Z40" s="18">
        <f t="shared" si="12"/>
        <v>7.168089129</v>
      </c>
      <c r="AA40" s="17">
        <v>64.7</v>
      </c>
      <c r="AB40" s="17">
        <v>127.9</v>
      </c>
      <c r="AC40" s="19">
        <f t="shared" si="13"/>
        <v>419.6194226</v>
      </c>
      <c r="AD40" s="17" t="s">
        <v>161</v>
      </c>
      <c r="AE40" s="17" t="s">
        <v>161</v>
      </c>
      <c r="AF40" s="46">
        <f t="shared" si="9"/>
        <v>230.6758397</v>
      </c>
      <c r="AG40" s="17" t="s">
        <v>162</v>
      </c>
      <c r="AH40" s="41"/>
      <c r="AI40" s="17" t="s">
        <v>163</v>
      </c>
      <c r="AJ40" s="57" t="s">
        <v>163</v>
      </c>
      <c r="AK40" s="74" t="b">
        <v>1</v>
      </c>
      <c r="AL40" s="74" t="b">
        <v>1</v>
      </c>
      <c r="AM40" s="74" t="b">
        <v>1</v>
      </c>
      <c r="AN40" s="74" t="b">
        <v>1</v>
      </c>
    </row>
    <row r="41">
      <c r="A41" s="58" t="s">
        <v>164</v>
      </c>
      <c r="B41" s="59" t="s">
        <v>126</v>
      </c>
      <c r="C41" s="60"/>
      <c r="D41" s="61" t="s">
        <v>165</v>
      </c>
      <c r="E41" s="60"/>
      <c r="F41" s="60"/>
      <c r="G41" s="60"/>
      <c r="H41" s="60"/>
      <c r="I41" s="60"/>
      <c r="J41" s="61" t="s">
        <v>166</v>
      </c>
      <c r="K41" s="61" t="s">
        <v>167</v>
      </c>
      <c r="L41" s="75" t="s">
        <v>168</v>
      </c>
      <c r="M41" s="76" t="s">
        <v>168</v>
      </c>
      <c r="N41" s="61" t="s">
        <v>168</v>
      </c>
      <c r="O41" s="75" t="s">
        <v>168</v>
      </c>
      <c r="P41" s="61" t="s">
        <v>168</v>
      </c>
      <c r="Q41" s="61" t="s">
        <v>168</v>
      </c>
      <c r="R41" s="61" t="s">
        <v>168</v>
      </c>
      <c r="S41" s="65" t="s">
        <v>169</v>
      </c>
      <c r="T41" s="61" t="s">
        <v>168</v>
      </c>
      <c r="U41" s="60"/>
      <c r="V41" s="60"/>
      <c r="W41" s="60"/>
      <c r="X41" s="60"/>
      <c r="Y41" s="60"/>
      <c r="Z41" s="60"/>
      <c r="AA41" s="60"/>
      <c r="AB41" s="60"/>
      <c r="AC41" s="63"/>
      <c r="AD41" s="60"/>
      <c r="AE41" s="60"/>
      <c r="AF41" s="66" t="str">
        <f t="shared" si="9"/>
        <v/>
      </c>
      <c r="AG41" s="60"/>
      <c r="AH41" s="60"/>
      <c r="AI41" s="60"/>
      <c r="AJ41" s="67"/>
      <c r="AK41" s="68" t="s">
        <v>129</v>
      </c>
      <c r="AL41" s="68" t="s">
        <v>129</v>
      </c>
      <c r="AM41" s="68" t="s">
        <v>129</v>
      </c>
      <c r="AN41" s="68" t="s">
        <v>129</v>
      </c>
    </row>
    <row r="42">
      <c r="A42" s="58" t="s">
        <v>164</v>
      </c>
      <c r="B42" s="59" t="s">
        <v>126</v>
      </c>
      <c r="C42" s="60"/>
      <c r="D42" s="61" t="s">
        <v>170</v>
      </c>
      <c r="E42" s="60"/>
      <c r="F42" s="60"/>
      <c r="G42" s="60"/>
      <c r="H42" s="60"/>
      <c r="I42" s="60"/>
      <c r="J42" s="61" t="s">
        <v>166</v>
      </c>
      <c r="K42" s="61" t="s">
        <v>167</v>
      </c>
      <c r="L42" s="75" t="s">
        <v>168</v>
      </c>
      <c r="M42" s="76" t="s">
        <v>168</v>
      </c>
      <c r="N42" s="61" t="s">
        <v>168</v>
      </c>
      <c r="O42" s="64"/>
      <c r="P42" s="60"/>
      <c r="Q42" s="60"/>
      <c r="R42" s="60"/>
      <c r="S42" s="65" t="s">
        <v>171</v>
      </c>
      <c r="T42" s="60"/>
      <c r="U42" s="60"/>
      <c r="V42" s="60"/>
      <c r="W42" s="60"/>
      <c r="X42" s="60"/>
      <c r="Y42" s="60"/>
      <c r="Z42" s="60"/>
      <c r="AA42" s="60"/>
      <c r="AB42" s="60"/>
      <c r="AC42" s="63"/>
      <c r="AD42" s="60"/>
      <c r="AE42" s="60"/>
      <c r="AF42" s="66" t="str">
        <f t="shared" si="9"/>
        <v/>
      </c>
      <c r="AG42" s="60"/>
      <c r="AH42" s="60"/>
      <c r="AI42" s="60"/>
      <c r="AJ42" s="67"/>
      <c r="AK42" s="68" t="s">
        <v>129</v>
      </c>
      <c r="AL42" s="68" t="s">
        <v>129</v>
      </c>
      <c r="AM42" s="68" t="s">
        <v>129</v>
      </c>
      <c r="AN42" s="68" t="s">
        <v>129</v>
      </c>
    </row>
    <row r="43">
      <c r="A43" s="50" t="s">
        <v>172</v>
      </c>
      <c r="B43" s="51" t="s">
        <v>41</v>
      </c>
      <c r="C43" s="31" t="s">
        <v>173</v>
      </c>
      <c r="D43" s="31" t="s">
        <v>43</v>
      </c>
      <c r="E43" s="25" t="s">
        <v>174</v>
      </c>
      <c r="F43" s="31" t="s">
        <v>175</v>
      </c>
      <c r="H43" s="31">
        <v>39.02</v>
      </c>
      <c r="I43" s="31">
        <v>92.76</v>
      </c>
      <c r="J43" s="31" t="s">
        <v>80</v>
      </c>
      <c r="K43" s="31" t="s">
        <v>81</v>
      </c>
      <c r="L43" s="32">
        <v>1.5</v>
      </c>
      <c r="M43" s="73"/>
      <c r="N43" s="31">
        <v>9.1</v>
      </c>
      <c r="O43" s="52">
        <v>9.1</v>
      </c>
      <c r="P43" s="37"/>
      <c r="Q43" s="31">
        <v>121.0</v>
      </c>
      <c r="R43" s="37"/>
      <c r="S43" s="30">
        <v>9.0</v>
      </c>
      <c r="T43" s="31">
        <v>180.0</v>
      </c>
      <c r="U43" s="31" t="s">
        <v>176</v>
      </c>
      <c r="V43" s="37"/>
      <c r="W43" s="37"/>
      <c r="X43" s="37"/>
      <c r="Y43" s="37"/>
      <c r="Z43" s="32" t="str">
        <f t="shared" ref="Z43:Z46" si="14">IF(ISNUMBER(Y43),tan(Y43*PI()/180)*100,"")</f>
        <v/>
      </c>
      <c r="AA43" s="37"/>
      <c r="AB43" s="37"/>
      <c r="AC43" s="33" t="str">
        <f t="shared" ref="AC43:AC46" si="15">IF(ISNUMBER(AB43), CONVERT(AB43,"m","ft"),"")</f>
        <v/>
      </c>
      <c r="AD43" s="31">
        <v>65.0</v>
      </c>
      <c r="AE43" s="31" t="s">
        <v>177</v>
      </c>
      <c r="AF43" s="44">
        <f t="shared" si="9"/>
        <v>48.96802914</v>
      </c>
      <c r="AG43" s="31" t="s">
        <v>178</v>
      </c>
      <c r="AH43" s="77" t="s">
        <v>179</v>
      </c>
      <c r="AI43" s="37"/>
      <c r="AJ43" s="38"/>
      <c r="AK43" s="74" t="b">
        <v>1</v>
      </c>
      <c r="AL43" s="71" t="s">
        <v>139</v>
      </c>
      <c r="AM43" s="71" t="s">
        <v>139</v>
      </c>
      <c r="AN43" s="71" t="s">
        <v>139</v>
      </c>
    </row>
    <row r="44">
      <c r="A44" s="54" t="s">
        <v>180</v>
      </c>
      <c r="B44" s="55" t="s">
        <v>41</v>
      </c>
      <c r="C44" s="17" t="s">
        <v>173</v>
      </c>
      <c r="D44" s="17" t="s">
        <v>43</v>
      </c>
      <c r="E44" s="11" t="s">
        <v>181</v>
      </c>
      <c r="F44" s="17" t="s">
        <v>182</v>
      </c>
      <c r="H44" s="17">
        <v>37.08</v>
      </c>
      <c r="I44" s="17">
        <v>93.87</v>
      </c>
      <c r="J44" s="17" t="s">
        <v>80</v>
      </c>
      <c r="K44" s="17" t="s">
        <v>81</v>
      </c>
      <c r="L44" s="69"/>
      <c r="M44" s="70"/>
      <c r="N44" s="17">
        <v>12.2</v>
      </c>
      <c r="O44" s="56">
        <v>9.1</v>
      </c>
      <c r="P44" s="41"/>
      <c r="Q44" s="17">
        <v>90.0</v>
      </c>
      <c r="R44" s="41"/>
      <c r="S44" s="16">
        <v>9.0</v>
      </c>
      <c r="T44" s="17">
        <v>120.0</v>
      </c>
      <c r="U44" s="17" t="s">
        <v>176</v>
      </c>
      <c r="V44" s="41"/>
      <c r="W44" s="41"/>
      <c r="X44" s="41"/>
      <c r="Y44" s="17"/>
      <c r="Z44" s="18" t="str">
        <f t="shared" si="14"/>
        <v/>
      </c>
      <c r="AA44" s="41"/>
      <c r="AB44" s="41"/>
      <c r="AC44" s="19" t="str">
        <f t="shared" si="15"/>
        <v/>
      </c>
      <c r="AD44" s="17">
        <v>80.0</v>
      </c>
      <c r="AE44" s="17" t="s">
        <v>177</v>
      </c>
      <c r="AF44" s="46">
        <f t="shared" si="9"/>
        <v>36.42250101</v>
      </c>
      <c r="AG44" s="17" t="s">
        <v>183</v>
      </c>
      <c r="AH44" s="78" t="s">
        <v>184</v>
      </c>
      <c r="AI44" s="41"/>
      <c r="AJ44" s="42"/>
      <c r="AK44" s="74" t="b">
        <v>1</v>
      </c>
      <c r="AL44" s="71" t="s">
        <v>139</v>
      </c>
      <c r="AM44" s="71" t="s">
        <v>139</v>
      </c>
      <c r="AN44" s="71" t="s">
        <v>139</v>
      </c>
    </row>
    <row r="45">
      <c r="A45" s="50" t="s">
        <v>185</v>
      </c>
      <c r="B45" s="51" t="s">
        <v>41</v>
      </c>
      <c r="C45" s="31" t="s">
        <v>186</v>
      </c>
      <c r="D45" s="31" t="s">
        <v>62</v>
      </c>
      <c r="E45" s="25" t="s">
        <v>63</v>
      </c>
      <c r="F45" s="31" t="s">
        <v>187</v>
      </c>
      <c r="H45" s="31">
        <v>36.09</v>
      </c>
      <c r="I45" s="31">
        <v>94.19</v>
      </c>
      <c r="J45" s="31" t="s">
        <v>80</v>
      </c>
      <c r="K45" s="31" t="s">
        <v>81</v>
      </c>
      <c r="L45" s="72"/>
      <c r="M45" s="73">
        <f>72/108</f>
        <v>0.6666666667</v>
      </c>
      <c r="N45" s="31">
        <v>15.0</v>
      </c>
      <c r="O45" s="52">
        <v>9.1</v>
      </c>
      <c r="P45" s="37"/>
      <c r="Q45" s="31">
        <v>73.0</v>
      </c>
      <c r="R45" s="37"/>
      <c r="S45" s="30">
        <v>11.0</v>
      </c>
      <c r="T45" s="31">
        <v>91.0</v>
      </c>
      <c r="U45" s="31" t="s">
        <v>176</v>
      </c>
      <c r="V45" s="37"/>
      <c r="W45" s="37"/>
      <c r="X45" s="31">
        <v>81005.0</v>
      </c>
      <c r="Y45" s="37"/>
      <c r="Z45" s="32" t="str">
        <f t="shared" si="14"/>
        <v/>
      </c>
      <c r="AA45" s="37"/>
      <c r="AB45" s="37"/>
      <c r="AC45" s="33" t="str">
        <f t="shared" si="15"/>
        <v/>
      </c>
      <c r="AD45" s="31">
        <v>62.5</v>
      </c>
      <c r="AE45" s="31" t="s">
        <v>177</v>
      </c>
      <c r="AF45" s="44">
        <f t="shared" si="9"/>
        <v>29.54269527</v>
      </c>
      <c r="AG45" s="31" t="s">
        <v>188</v>
      </c>
      <c r="AH45" s="77" t="s">
        <v>189</v>
      </c>
      <c r="AI45" s="31"/>
      <c r="AJ45" s="53" t="s">
        <v>190</v>
      </c>
      <c r="AK45" s="74" t="b">
        <v>1</v>
      </c>
      <c r="AL45" s="74" t="b">
        <v>1</v>
      </c>
      <c r="AM45" s="74" t="b">
        <v>1</v>
      </c>
      <c r="AN45" s="74" t="b">
        <v>1</v>
      </c>
    </row>
    <row r="46">
      <c r="A46" s="54" t="s">
        <v>191</v>
      </c>
      <c r="B46" s="55" t="s">
        <v>41</v>
      </c>
      <c r="C46" s="17" t="s">
        <v>192</v>
      </c>
      <c r="D46" s="17" t="s">
        <v>62</v>
      </c>
      <c r="E46" s="11" t="s">
        <v>193</v>
      </c>
      <c r="F46" s="17" t="s">
        <v>194</v>
      </c>
      <c r="H46" s="17">
        <v>35.09</v>
      </c>
      <c r="I46" s="17">
        <v>93.97</v>
      </c>
      <c r="J46" s="17" t="s">
        <v>80</v>
      </c>
      <c r="K46" s="17" t="s">
        <v>81</v>
      </c>
      <c r="L46" s="69"/>
      <c r="M46" s="70"/>
      <c r="N46" s="17">
        <v>12.2</v>
      </c>
      <c r="O46" s="56">
        <v>7.6</v>
      </c>
      <c r="P46" s="41"/>
      <c r="Q46" s="11">
        <v>108.0</v>
      </c>
      <c r="R46" s="41"/>
      <c r="S46" s="16" t="s">
        <v>195</v>
      </c>
      <c r="T46" s="17">
        <v>72.0</v>
      </c>
      <c r="U46" s="17" t="s">
        <v>176</v>
      </c>
      <c r="V46" s="41"/>
      <c r="W46" s="41"/>
      <c r="X46" s="41"/>
      <c r="Y46" s="41"/>
      <c r="Z46" s="18" t="str">
        <f t="shared" si="14"/>
        <v/>
      </c>
      <c r="AA46" s="41"/>
      <c r="AB46" s="41"/>
      <c r="AC46" s="19" t="str">
        <f t="shared" si="15"/>
        <v/>
      </c>
      <c r="AD46" s="17">
        <v>57.5</v>
      </c>
      <c r="AE46" s="17" t="s">
        <v>177</v>
      </c>
      <c r="AF46" s="46">
        <f t="shared" si="9"/>
        <v>43.70700121</v>
      </c>
      <c r="AG46" s="17" t="s">
        <v>196</v>
      </c>
      <c r="AH46" s="78" t="s">
        <v>197</v>
      </c>
      <c r="AI46" s="41"/>
      <c r="AJ46" s="42"/>
      <c r="AK46" s="74" t="b">
        <v>1</v>
      </c>
      <c r="AL46" s="71" t="s">
        <v>139</v>
      </c>
      <c r="AM46" s="71" t="s">
        <v>139</v>
      </c>
      <c r="AN46" s="71" t="s">
        <v>139</v>
      </c>
    </row>
    <row r="47">
      <c r="A47" s="58" t="s">
        <v>198</v>
      </c>
      <c r="B47" s="59" t="s">
        <v>95</v>
      </c>
      <c r="C47" s="61" t="s">
        <v>199</v>
      </c>
      <c r="D47" s="61" t="s">
        <v>200</v>
      </c>
      <c r="E47" s="61" t="s">
        <v>201</v>
      </c>
      <c r="F47" s="60"/>
      <c r="G47" s="61" t="s">
        <v>202</v>
      </c>
      <c r="H47" s="60"/>
      <c r="I47" s="60"/>
      <c r="J47" s="61" t="s">
        <v>203</v>
      </c>
      <c r="K47" s="60"/>
      <c r="L47" s="75" t="s">
        <v>109</v>
      </c>
      <c r="M47" s="76" t="s">
        <v>109</v>
      </c>
      <c r="N47" s="61" t="s">
        <v>109</v>
      </c>
      <c r="O47" s="75" t="s">
        <v>109</v>
      </c>
      <c r="P47" s="61" t="s">
        <v>109</v>
      </c>
      <c r="Q47" s="61" t="s">
        <v>109</v>
      </c>
      <c r="R47" s="61" t="s">
        <v>109</v>
      </c>
      <c r="S47" s="65" t="s">
        <v>204</v>
      </c>
      <c r="T47" s="60"/>
      <c r="U47" s="60"/>
      <c r="V47" s="60"/>
      <c r="W47" s="60"/>
      <c r="X47" s="60"/>
      <c r="Y47" s="60"/>
      <c r="Z47" s="60"/>
      <c r="AA47" s="60"/>
      <c r="AB47" s="60"/>
      <c r="AC47" s="63"/>
      <c r="AD47" s="60"/>
      <c r="AE47" s="60"/>
      <c r="AF47" s="66" t="str">
        <f t="shared" si="9"/>
        <v/>
      </c>
      <c r="AG47" s="60"/>
      <c r="AH47" s="60"/>
      <c r="AI47" s="60"/>
      <c r="AJ47" s="67"/>
      <c r="AK47" s="79" t="b">
        <v>1</v>
      </c>
      <c r="AL47" s="68" t="s">
        <v>129</v>
      </c>
      <c r="AM47" s="68" t="s">
        <v>129</v>
      </c>
      <c r="AN47" s="68" t="s">
        <v>129</v>
      </c>
    </row>
    <row r="48">
      <c r="A48" s="54" t="s">
        <v>205</v>
      </c>
      <c r="B48" s="55" t="s">
        <v>61</v>
      </c>
      <c r="C48" s="41"/>
      <c r="D48" s="17" t="s">
        <v>206</v>
      </c>
      <c r="E48" s="17" t="s">
        <v>207</v>
      </c>
      <c r="F48" s="17" t="s">
        <v>208</v>
      </c>
      <c r="G48" s="17" t="s">
        <v>209</v>
      </c>
      <c r="H48" s="41"/>
      <c r="I48" s="41"/>
      <c r="J48" s="17" t="s">
        <v>210</v>
      </c>
      <c r="K48" s="17" t="s">
        <v>211</v>
      </c>
      <c r="L48" s="69">
        <f t="shared" ref="L48:L49" si="16">T48/Q48</f>
        <v>0.9830508475</v>
      </c>
      <c r="M48" s="70"/>
      <c r="N48" s="17">
        <v>13.0</v>
      </c>
      <c r="O48" s="56">
        <v>13.0</v>
      </c>
      <c r="P48" s="41"/>
      <c r="Q48" s="17">
        <v>59.0</v>
      </c>
      <c r="R48" s="41"/>
      <c r="S48" s="16">
        <v>27.0</v>
      </c>
      <c r="T48" s="17">
        <v>58.0</v>
      </c>
      <c r="U48" s="17" t="s">
        <v>212</v>
      </c>
      <c r="V48" s="41"/>
      <c r="W48" s="17" t="s">
        <v>213</v>
      </c>
      <c r="X48" s="11">
        <v>80811.0</v>
      </c>
      <c r="Y48" s="17">
        <v>9.08</v>
      </c>
      <c r="Z48" s="18">
        <f t="shared" ref="Z48:Z59" si="17">IF(ISNUMBER(Y48),tan(Y48*PI()/180)*100,"")</f>
        <v>15.98160474</v>
      </c>
      <c r="AA48" s="17">
        <v>208.7</v>
      </c>
      <c r="AB48" s="17">
        <v>528.2</v>
      </c>
      <c r="AC48" s="19">
        <f t="shared" ref="AC48:AC59" si="18">IF(ISNUMBER(AB48), CONVERT(AB48,"m","ft"),"")</f>
        <v>1732.939633</v>
      </c>
      <c r="AD48" s="11">
        <v>50.0</v>
      </c>
      <c r="AE48" s="17" t="s">
        <v>112</v>
      </c>
      <c r="AF48" s="46">
        <f t="shared" si="9"/>
        <v>23.87697289</v>
      </c>
      <c r="AG48" s="41"/>
      <c r="AH48" s="17" t="s">
        <v>214</v>
      </c>
      <c r="AI48" s="17" t="s">
        <v>215</v>
      </c>
      <c r="AJ48" s="57"/>
      <c r="AK48" s="80" t="b">
        <v>1</v>
      </c>
      <c r="AL48" s="80" t="b">
        <v>1</v>
      </c>
      <c r="AM48" s="80" t="b">
        <v>1</v>
      </c>
      <c r="AN48" s="80" t="b">
        <v>1</v>
      </c>
    </row>
    <row r="49">
      <c r="A49" s="50" t="s">
        <v>205</v>
      </c>
      <c r="B49" s="51" t="s">
        <v>61</v>
      </c>
      <c r="C49" s="37"/>
      <c r="D49" s="31" t="s">
        <v>206</v>
      </c>
      <c r="E49" s="31" t="s">
        <v>207</v>
      </c>
      <c r="F49" s="31" t="s">
        <v>208</v>
      </c>
      <c r="G49" s="31" t="s">
        <v>209</v>
      </c>
      <c r="H49" s="37"/>
      <c r="I49" s="37"/>
      <c r="J49" s="31" t="s">
        <v>80</v>
      </c>
      <c r="K49" s="31" t="s">
        <v>81</v>
      </c>
      <c r="L49" s="72">
        <f t="shared" si="16"/>
        <v>0.8474576271</v>
      </c>
      <c r="M49" s="73"/>
      <c r="N49" s="31">
        <v>13.0</v>
      </c>
      <c r="O49" s="52">
        <v>13.0</v>
      </c>
      <c r="P49" s="37"/>
      <c r="Q49" s="31">
        <v>59.0</v>
      </c>
      <c r="R49" s="37"/>
      <c r="S49" s="30">
        <v>27.0</v>
      </c>
      <c r="T49" s="31">
        <v>50.0</v>
      </c>
      <c r="U49" s="31" t="s">
        <v>216</v>
      </c>
      <c r="V49" s="31" t="s">
        <v>217</v>
      </c>
      <c r="W49" s="31" t="s">
        <v>213</v>
      </c>
      <c r="X49" s="25">
        <v>80811.0</v>
      </c>
      <c r="Y49" s="31">
        <v>9.08</v>
      </c>
      <c r="Z49" s="32">
        <f t="shared" si="17"/>
        <v>15.98160474</v>
      </c>
      <c r="AA49" s="31">
        <v>208.7</v>
      </c>
      <c r="AB49" s="31">
        <v>528.2</v>
      </c>
      <c r="AC49" s="33">
        <f t="shared" si="18"/>
        <v>1732.939633</v>
      </c>
      <c r="AD49" s="31">
        <v>50.0</v>
      </c>
      <c r="AE49" s="31" t="s">
        <v>112</v>
      </c>
      <c r="AF49" s="44">
        <f t="shared" si="9"/>
        <v>23.87697289</v>
      </c>
      <c r="AG49" s="37"/>
      <c r="AH49" s="31" t="s">
        <v>214</v>
      </c>
      <c r="AI49" s="31" t="s">
        <v>218</v>
      </c>
      <c r="AJ49" s="53"/>
      <c r="AK49" s="80" t="b">
        <v>1</v>
      </c>
      <c r="AL49" s="80" t="b">
        <v>1</v>
      </c>
      <c r="AM49" s="80" t="b">
        <v>1</v>
      </c>
      <c r="AN49" s="80" t="b">
        <v>1</v>
      </c>
    </row>
    <row r="50">
      <c r="A50" s="54" t="s">
        <v>219</v>
      </c>
      <c r="B50" s="81"/>
      <c r="C50" s="41"/>
      <c r="D50" s="17"/>
      <c r="E50" s="17"/>
      <c r="F50" s="17"/>
      <c r="G50" s="17" t="s">
        <v>220</v>
      </c>
      <c r="H50" s="41"/>
      <c r="I50" s="41"/>
      <c r="J50" s="17"/>
      <c r="K50" s="17"/>
      <c r="L50" s="69"/>
      <c r="M50" s="70"/>
      <c r="N50" s="17"/>
      <c r="O50" s="56"/>
      <c r="P50" s="17"/>
      <c r="Q50" s="41"/>
      <c r="R50" s="41"/>
      <c r="S50" s="48"/>
      <c r="T50" s="17"/>
      <c r="U50" s="17"/>
      <c r="V50" s="41"/>
      <c r="W50" s="41"/>
      <c r="X50" s="17">
        <v>80814.0</v>
      </c>
      <c r="Y50" s="17">
        <v>5.59</v>
      </c>
      <c r="Z50" s="18">
        <f t="shared" si="17"/>
        <v>9.787464942</v>
      </c>
      <c r="AA50" s="17">
        <v>141.4</v>
      </c>
      <c r="AB50" s="17">
        <v>517.4</v>
      </c>
      <c r="AC50" s="19">
        <f t="shared" si="18"/>
        <v>1697.506562</v>
      </c>
      <c r="AD50" s="17">
        <v>75.0</v>
      </c>
      <c r="AE50" s="17" t="s">
        <v>112</v>
      </c>
      <c r="AF50" s="46" t="str">
        <f t="shared" si="9"/>
        <v/>
      </c>
      <c r="AG50" s="41"/>
      <c r="AH50" s="41"/>
      <c r="AI50" s="17" t="s">
        <v>163</v>
      </c>
      <c r="AJ50" s="57"/>
      <c r="AK50" s="68" t="s">
        <v>129</v>
      </c>
      <c r="AL50" s="68" t="s">
        <v>129</v>
      </c>
      <c r="AM50" s="68" t="s">
        <v>129</v>
      </c>
      <c r="AN50" s="68" t="s">
        <v>129</v>
      </c>
    </row>
    <row r="51">
      <c r="A51" s="50" t="s">
        <v>221</v>
      </c>
      <c r="B51" s="51" t="s">
        <v>61</v>
      </c>
      <c r="C51" s="37"/>
      <c r="D51" s="31" t="s">
        <v>222</v>
      </c>
      <c r="E51" s="31" t="s">
        <v>223</v>
      </c>
      <c r="F51" s="31" t="s">
        <v>224</v>
      </c>
      <c r="G51" s="31" t="s">
        <v>225</v>
      </c>
      <c r="H51" s="37"/>
      <c r="I51" s="37"/>
      <c r="J51" s="31" t="s">
        <v>226</v>
      </c>
      <c r="K51" s="31" t="s">
        <v>227</v>
      </c>
      <c r="L51" s="72"/>
      <c r="M51" s="73"/>
      <c r="N51" s="31"/>
      <c r="O51" s="52"/>
      <c r="P51" s="31">
        <v>642.0</v>
      </c>
      <c r="Q51" s="37"/>
      <c r="R51" s="37"/>
      <c r="S51" s="30">
        <v>33.0</v>
      </c>
      <c r="T51" s="31" t="s">
        <v>228</v>
      </c>
      <c r="U51" s="31" t="s">
        <v>229</v>
      </c>
      <c r="V51" s="37"/>
      <c r="W51" s="37"/>
      <c r="X51" s="31">
        <v>930.0</v>
      </c>
      <c r="Y51" s="31">
        <v>4.88</v>
      </c>
      <c r="Z51" s="32">
        <f t="shared" si="17"/>
        <v>8.537862092</v>
      </c>
      <c r="AA51" s="31">
        <v>89.9</v>
      </c>
      <c r="AB51" s="31">
        <v>349.4</v>
      </c>
      <c r="AC51" s="33">
        <f t="shared" si="18"/>
        <v>1146.325459</v>
      </c>
      <c r="AD51" s="25">
        <v>70.0</v>
      </c>
      <c r="AE51" s="31" t="s">
        <v>230</v>
      </c>
      <c r="AF51" s="44">
        <f t="shared" si="9"/>
        <v>259.8138406</v>
      </c>
      <c r="AG51" s="31" t="s">
        <v>162</v>
      </c>
      <c r="AH51" s="37"/>
      <c r="AI51" s="31" t="s">
        <v>163</v>
      </c>
      <c r="AJ51" s="53"/>
      <c r="AK51" s="80" t="b">
        <v>1</v>
      </c>
      <c r="AL51" s="80" t="b">
        <v>1</v>
      </c>
      <c r="AM51" s="80" t="b">
        <v>1</v>
      </c>
      <c r="AN51" s="80" t="b">
        <v>1</v>
      </c>
    </row>
    <row r="52">
      <c r="A52" s="54" t="s">
        <v>231</v>
      </c>
      <c r="B52" s="55" t="s">
        <v>61</v>
      </c>
      <c r="C52" s="41"/>
      <c r="D52" s="17" t="s">
        <v>222</v>
      </c>
      <c r="E52" s="17" t="s">
        <v>223</v>
      </c>
      <c r="F52" s="17" t="s">
        <v>224</v>
      </c>
      <c r="G52" s="17" t="s">
        <v>225</v>
      </c>
      <c r="H52" s="41"/>
      <c r="I52" s="41"/>
      <c r="J52" s="17" t="s">
        <v>232</v>
      </c>
      <c r="K52" s="17" t="s">
        <v>233</v>
      </c>
      <c r="L52" s="69"/>
      <c r="M52" s="70"/>
      <c r="N52" s="17"/>
      <c r="O52" s="56"/>
      <c r="P52" s="17">
        <v>280.0</v>
      </c>
      <c r="Q52" s="41"/>
      <c r="R52" s="41"/>
      <c r="S52" s="16">
        <v>33.0</v>
      </c>
      <c r="T52" s="17" t="s">
        <v>234</v>
      </c>
      <c r="U52" s="17" t="s">
        <v>235</v>
      </c>
      <c r="V52" s="17"/>
      <c r="W52" s="41"/>
      <c r="X52" s="17">
        <v>930.0</v>
      </c>
      <c r="Y52" s="17">
        <v>4.88</v>
      </c>
      <c r="Z52" s="18">
        <f t="shared" si="17"/>
        <v>8.537862092</v>
      </c>
      <c r="AA52" s="17">
        <v>89.9</v>
      </c>
      <c r="AB52" s="17">
        <v>349.4</v>
      </c>
      <c r="AC52" s="19">
        <f t="shared" si="18"/>
        <v>1146.325459</v>
      </c>
      <c r="AD52" s="11">
        <v>70.0</v>
      </c>
      <c r="AE52" s="17" t="s">
        <v>230</v>
      </c>
      <c r="AF52" s="46">
        <f t="shared" si="9"/>
        <v>113.3144476</v>
      </c>
      <c r="AG52" s="17" t="s">
        <v>162</v>
      </c>
      <c r="AH52" s="41"/>
      <c r="AI52" s="17" t="s">
        <v>163</v>
      </c>
      <c r="AJ52" s="57"/>
      <c r="AK52" s="80" t="b">
        <v>1</v>
      </c>
      <c r="AL52" s="80" t="b">
        <v>1</v>
      </c>
      <c r="AM52" s="80" t="b">
        <v>1</v>
      </c>
      <c r="AN52" s="80" t="b">
        <v>1</v>
      </c>
    </row>
    <row r="53">
      <c r="A53" s="50" t="s">
        <v>236</v>
      </c>
      <c r="B53" s="51" t="s">
        <v>61</v>
      </c>
      <c r="C53" s="31" t="s">
        <v>237</v>
      </c>
      <c r="D53" s="31" t="s">
        <v>238</v>
      </c>
      <c r="E53" s="31" t="s">
        <v>239</v>
      </c>
      <c r="F53" s="37"/>
      <c r="G53" s="37"/>
      <c r="H53" s="37"/>
      <c r="I53" s="37"/>
      <c r="J53" s="31" t="s">
        <v>240</v>
      </c>
      <c r="K53" s="37"/>
      <c r="L53" s="72"/>
      <c r="M53" s="73"/>
      <c r="N53" s="31"/>
      <c r="O53" s="52"/>
      <c r="P53" s="31">
        <v>148.0</v>
      </c>
      <c r="Q53" s="37"/>
      <c r="R53" s="37"/>
      <c r="S53" s="82">
        <v>18.0</v>
      </c>
      <c r="T53" s="37"/>
      <c r="U53" s="37"/>
      <c r="V53" s="37"/>
      <c r="W53" s="37"/>
      <c r="X53" s="37"/>
      <c r="Y53" s="37"/>
      <c r="Z53" s="32" t="str">
        <f t="shared" si="17"/>
        <v/>
      </c>
      <c r="AA53" s="37"/>
      <c r="AB53" s="37"/>
      <c r="AC53" s="33" t="str">
        <f t="shared" si="18"/>
        <v/>
      </c>
      <c r="AD53" s="37"/>
      <c r="AE53" s="37"/>
      <c r="AF53" s="44">
        <f t="shared" si="9"/>
        <v>59.89477944</v>
      </c>
      <c r="AG53" s="31" t="s">
        <v>162</v>
      </c>
      <c r="AH53" s="37"/>
      <c r="AI53" s="31" t="s">
        <v>163</v>
      </c>
      <c r="AJ53" s="53"/>
      <c r="AK53" s="80" t="b">
        <v>0</v>
      </c>
      <c r="AL53" s="71" t="s">
        <v>241</v>
      </c>
      <c r="AM53" s="71" t="s">
        <v>241</v>
      </c>
      <c r="AN53" s="71" t="s">
        <v>241</v>
      </c>
      <c r="AO53" s="83"/>
    </row>
    <row r="54">
      <c r="A54" s="54" t="s">
        <v>242</v>
      </c>
      <c r="B54" s="55" t="s">
        <v>61</v>
      </c>
      <c r="C54" s="41"/>
      <c r="D54" s="17" t="s">
        <v>222</v>
      </c>
      <c r="E54" s="17" t="s">
        <v>243</v>
      </c>
      <c r="F54" s="41"/>
      <c r="G54" s="41"/>
      <c r="H54" s="41"/>
      <c r="I54" s="41"/>
      <c r="J54" s="17" t="s">
        <v>244</v>
      </c>
      <c r="K54" s="17" t="s">
        <v>245</v>
      </c>
      <c r="L54" s="69"/>
      <c r="M54" s="70"/>
      <c r="N54" s="17"/>
      <c r="O54" s="56"/>
      <c r="P54" s="17">
        <v>115.0</v>
      </c>
      <c r="Q54" s="41"/>
      <c r="R54" s="41"/>
      <c r="S54" s="48">
        <v>41.0</v>
      </c>
      <c r="T54" s="41"/>
      <c r="U54" s="41"/>
      <c r="V54" s="41"/>
      <c r="W54" s="41"/>
      <c r="X54" s="41"/>
      <c r="Y54" s="41"/>
      <c r="Z54" s="18" t="str">
        <f t="shared" si="17"/>
        <v/>
      </c>
      <c r="AA54" s="41"/>
      <c r="AB54" s="41"/>
      <c r="AC54" s="19" t="str">
        <f t="shared" si="18"/>
        <v/>
      </c>
      <c r="AD54" s="41"/>
      <c r="AE54" s="41"/>
      <c r="AF54" s="46">
        <f t="shared" si="9"/>
        <v>46.5398624</v>
      </c>
      <c r="AG54" s="17" t="s">
        <v>162</v>
      </c>
      <c r="AH54" s="41"/>
      <c r="AI54" s="17" t="s">
        <v>163</v>
      </c>
      <c r="AJ54" s="57"/>
      <c r="AK54" s="80" t="b">
        <v>0</v>
      </c>
      <c r="AL54" s="71" t="s">
        <v>241</v>
      </c>
      <c r="AM54" s="71" t="s">
        <v>241</v>
      </c>
      <c r="AN54" s="71" t="s">
        <v>241</v>
      </c>
    </row>
    <row r="55">
      <c r="A55" s="50" t="s">
        <v>246</v>
      </c>
      <c r="B55" s="51" t="s">
        <v>61</v>
      </c>
      <c r="C55" s="37"/>
      <c r="D55" s="31" t="s">
        <v>222</v>
      </c>
      <c r="E55" s="31" t="s">
        <v>247</v>
      </c>
      <c r="F55" s="37"/>
      <c r="G55" s="37"/>
      <c r="H55" s="37"/>
      <c r="I55" s="37"/>
      <c r="J55" s="31" t="s">
        <v>248</v>
      </c>
      <c r="K55" s="31" t="s">
        <v>81</v>
      </c>
      <c r="L55" s="72"/>
      <c r="M55" s="73"/>
      <c r="N55" s="31"/>
      <c r="O55" s="52"/>
      <c r="P55" s="31">
        <v>939.0</v>
      </c>
      <c r="Q55" s="37"/>
      <c r="R55" s="37"/>
      <c r="S55" s="82">
        <v>21.0</v>
      </c>
      <c r="T55" s="31" t="s">
        <v>249</v>
      </c>
      <c r="U55" s="31" t="s">
        <v>212</v>
      </c>
      <c r="V55" s="37"/>
      <c r="W55" s="37"/>
      <c r="X55" s="37"/>
      <c r="Y55" s="37"/>
      <c r="Z55" s="32" t="str">
        <f t="shared" si="17"/>
        <v/>
      </c>
      <c r="AA55" s="37"/>
      <c r="AB55" s="37"/>
      <c r="AC55" s="33" t="str">
        <f t="shared" si="18"/>
        <v/>
      </c>
      <c r="AD55" s="37"/>
      <c r="AE55" s="37"/>
      <c r="AF55" s="44">
        <f t="shared" si="9"/>
        <v>380.0080939</v>
      </c>
      <c r="AG55" s="31" t="s">
        <v>162</v>
      </c>
      <c r="AH55" s="37"/>
      <c r="AI55" s="31" t="s">
        <v>163</v>
      </c>
      <c r="AJ55" s="53"/>
      <c r="AK55" s="80" t="b">
        <v>0</v>
      </c>
      <c r="AL55" s="71" t="s">
        <v>241</v>
      </c>
      <c r="AM55" s="71" t="s">
        <v>241</v>
      </c>
      <c r="AN55" s="71" t="s">
        <v>241</v>
      </c>
    </row>
    <row r="56">
      <c r="A56" s="54" t="s">
        <v>250</v>
      </c>
      <c r="B56" s="55" t="s">
        <v>61</v>
      </c>
      <c r="C56" s="41"/>
      <c r="D56" s="17" t="s">
        <v>251</v>
      </c>
      <c r="E56" s="17" t="s">
        <v>252</v>
      </c>
      <c r="F56" s="17" t="s">
        <v>253</v>
      </c>
      <c r="G56" s="17" t="s">
        <v>254</v>
      </c>
      <c r="H56" s="17" t="s">
        <v>255</v>
      </c>
      <c r="I56" s="17" t="s">
        <v>256</v>
      </c>
      <c r="J56" s="17" t="s">
        <v>257</v>
      </c>
      <c r="K56" s="17" t="s">
        <v>258</v>
      </c>
      <c r="L56" s="18">
        <v>12.0</v>
      </c>
      <c r="M56" s="70"/>
      <c r="N56" s="17">
        <v>2.4</v>
      </c>
      <c r="O56" s="56">
        <v>1.2</v>
      </c>
      <c r="P56" s="41"/>
      <c r="Q56" s="41">
        <f>14490/13</f>
        <v>1114.615385</v>
      </c>
      <c r="R56" s="41"/>
      <c r="S56" s="16">
        <v>22.0</v>
      </c>
      <c r="T56" s="17" t="s">
        <v>259</v>
      </c>
      <c r="U56" s="17" t="s">
        <v>260</v>
      </c>
      <c r="V56" s="41"/>
      <c r="W56" s="17" t="s">
        <v>213</v>
      </c>
      <c r="X56" s="17">
        <v>80505.0</v>
      </c>
      <c r="Y56" s="17">
        <v>0.21</v>
      </c>
      <c r="Z56" s="18">
        <f t="shared" si="17"/>
        <v>0.3665207842</v>
      </c>
      <c r="AA56" s="17">
        <v>62.3</v>
      </c>
      <c r="AB56" s="17">
        <v>26.2</v>
      </c>
      <c r="AC56" s="19">
        <f t="shared" si="18"/>
        <v>85.95800525</v>
      </c>
      <c r="AD56" s="17" t="s">
        <v>161</v>
      </c>
      <c r="AE56" s="17" t="s">
        <v>161</v>
      </c>
      <c r="AF56" s="46">
        <f t="shared" si="9"/>
        <v>451.0786664</v>
      </c>
      <c r="AG56" s="17" t="s">
        <v>162</v>
      </c>
      <c r="AH56" s="41"/>
      <c r="AI56" s="17" t="s">
        <v>163</v>
      </c>
      <c r="AJ56" s="57" t="s">
        <v>261</v>
      </c>
      <c r="AK56" s="80" t="b">
        <v>1</v>
      </c>
      <c r="AL56" s="80" t="b">
        <v>1</v>
      </c>
      <c r="AM56" s="80" t="b">
        <v>1</v>
      </c>
      <c r="AN56" s="80" t="b">
        <v>1</v>
      </c>
    </row>
    <row r="57">
      <c r="A57" s="50" t="s">
        <v>262</v>
      </c>
      <c r="B57" s="51" t="s">
        <v>126</v>
      </c>
      <c r="C57" s="31" t="s">
        <v>263</v>
      </c>
      <c r="D57" s="31" t="s">
        <v>170</v>
      </c>
      <c r="E57" s="31" t="s">
        <v>264</v>
      </c>
      <c r="F57" s="31" t="s">
        <v>265</v>
      </c>
      <c r="G57" s="31" t="s">
        <v>266</v>
      </c>
      <c r="H57" s="31" t="s">
        <v>267</v>
      </c>
      <c r="I57" s="31" t="s">
        <v>268</v>
      </c>
      <c r="J57" s="31" t="s">
        <v>127</v>
      </c>
      <c r="K57" s="31" t="s">
        <v>128</v>
      </c>
      <c r="L57" s="52" t="s">
        <v>269</v>
      </c>
      <c r="M57" s="73"/>
      <c r="N57" s="31">
        <v>4.0</v>
      </c>
      <c r="O57" s="52">
        <v>2.0</v>
      </c>
      <c r="P57" s="37"/>
      <c r="Q57" s="31" t="s">
        <v>270</v>
      </c>
      <c r="R57" s="37"/>
      <c r="S57" s="30">
        <v>48.0</v>
      </c>
      <c r="T57" s="31">
        <v>656.0</v>
      </c>
      <c r="U57" s="31" t="s">
        <v>271</v>
      </c>
      <c r="V57" s="37"/>
      <c r="W57" s="31" t="s">
        <v>272</v>
      </c>
      <c r="X57" s="31">
        <v>905.0</v>
      </c>
      <c r="Y57" s="31">
        <v>1.01</v>
      </c>
      <c r="Z57" s="32">
        <f t="shared" si="17"/>
        <v>1.762965156</v>
      </c>
      <c r="AA57" s="31">
        <v>234.1</v>
      </c>
      <c r="AB57" s="31">
        <v>354.6</v>
      </c>
      <c r="AC57" s="33">
        <f t="shared" si="18"/>
        <v>1163.385827</v>
      </c>
      <c r="AD57" s="31" t="s">
        <v>161</v>
      </c>
      <c r="AE57" s="31" t="s">
        <v>161</v>
      </c>
      <c r="AF57" s="44">
        <f>500/2.471</f>
        <v>202.3472278</v>
      </c>
      <c r="AG57" s="31" t="s">
        <v>162</v>
      </c>
      <c r="AH57" s="31" t="s">
        <v>273</v>
      </c>
      <c r="AI57" s="25" t="s">
        <v>163</v>
      </c>
      <c r="AJ57" s="84"/>
      <c r="AK57" s="80" t="b">
        <v>1</v>
      </c>
      <c r="AL57" s="80" t="b">
        <v>1</v>
      </c>
      <c r="AM57" s="80" t="b">
        <v>1</v>
      </c>
      <c r="AN57" s="80" t="b">
        <v>1</v>
      </c>
    </row>
    <row r="58">
      <c r="A58" s="54" t="s">
        <v>262</v>
      </c>
      <c r="B58" s="55" t="s">
        <v>126</v>
      </c>
      <c r="C58" s="17" t="s">
        <v>263</v>
      </c>
      <c r="D58" s="17" t="s">
        <v>170</v>
      </c>
      <c r="E58" s="17" t="s">
        <v>264</v>
      </c>
      <c r="F58" s="17" t="s">
        <v>265</v>
      </c>
      <c r="G58" s="17" t="s">
        <v>266</v>
      </c>
      <c r="H58" s="17" t="s">
        <v>267</v>
      </c>
      <c r="I58" s="17" t="s">
        <v>268</v>
      </c>
      <c r="J58" s="17" t="s">
        <v>274</v>
      </c>
      <c r="K58" s="17" t="s">
        <v>275</v>
      </c>
      <c r="L58" s="56" t="s">
        <v>269</v>
      </c>
      <c r="M58" s="70"/>
      <c r="N58" s="17">
        <v>4.0</v>
      </c>
      <c r="O58" s="56">
        <v>2.0</v>
      </c>
      <c r="P58" s="41"/>
      <c r="Q58" s="17">
        <v>250.0</v>
      </c>
      <c r="R58" s="41"/>
      <c r="S58" s="16">
        <v>48.0</v>
      </c>
      <c r="T58" s="17">
        <v>328.0</v>
      </c>
      <c r="U58" s="17" t="s">
        <v>235</v>
      </c>
      <c r="V58" s="41"/>
      <c r="W58" s="41"/>
      <c r="X58" s="17">
        <v>905.0</v>
      </c>
      <c r="Y58" s="17">
        <v>1.01</v>
      </c>
      <c r="Z58" s="18">
        <f t="shared" si="17"/>
        <v>1.762965156</v>
      </c>
      <c r="AA58" s="17">
        <v>234.1</v>
      </c>
      <c r="AB58" s="17">
        <v>354.6</v>
      </c>
      <c r="AC58" s="19">
        <f t="shared" si="18"/>
        <v>1163.385827</v>
      </c>
      <c r="AD58" s="17" t="s">
        <v>161</v>
      </c>
      <c r="AE58" s="17" t="s">
        <v>161</v>
      </c>
      <c r="AF58" s="46">
        <f t="shared" ref="AF58:AF59" si="19">IF(ISNUMBER(P58),P58/2.471,IF(ISNUMBER(Q58),Q58/2.471,""))</f>
        <v>101.1736139</v>
      </c>
      <c r="AG58" s="17" t="s">
        <v>162</v>
      </c>
      <c r="AH58" s="17" t="s">
        <v>276</v>
      </c>
      <c r="AI58" s="11" t="s">
        <v>163</v>
      </c>
      <c r="AJ58" s="85"/>
      <c r="AK58" s="80" t="b">
        <v>1</v>
      </c>
      <c r="AL58" s="80" t="b">
        <v>1</v>
      </c>
      <c r="AM58" s="80" t="b">
        <v>1</v>
      </c>
      <c r="AN58" s="80" t="b">
        <v>1</v>
      </c>
    </row>
    <row r="59">
      <c r="A59" s="86" t="s">
        <v>262</v>
      </c>
      <c r="B59" s="87" t="s">
        <v>126</v>
      </c>
      <c r="C59" s="88" t="s">
        <v>263</v>
      </c>
      <c r="D59" s="88" t="s">
        <v>170</v>
      </c>
      <c r="E59" s="88" t="s">
        <v>264</v>
      </c>
      <c r="F59" s="88" t="s">
        <v>265</v>
      </c>
      <c r="G59" s="88" t="s">
        <v>266</v>
      </c>
      <c r="H59" s="88" t="s">
        <v>267</v>
      </c>
      <c r="I59" s="88" t="s">
        <v>268</v>
      </c>
      <c r="J59" s="88" t="s">
        <v>277</v>
      </c>
      <c r="K59" s="88" t="s">
        <v>278</v>
      </c>
      <c r="L59" s="89" t="s">
        <v>269</v>
      </c>
      <c r="M59" s="90"/>
      <c r="N59" s="88">
        <v>4.0</v>
      </c>
      <c r="O59" s="89">
        <v>2.0</v>
      </c>
      <c r="P59" s="91"/>
      <c r="Q59" s="88">
        <v>250.0</v>
      </c>
      <c r="R59" s="91"/>
      <c r="S59" s="92">
        <v>48.0</v>
      </c>
      <c r="T59" s="88">
        <v>328.0</v>
      </c>
      <c r="U59" s="93" t="s">
        <v>279</v>
      </c>
      <c r="V59" s="91"/>
      <c r="W59" s="91"/>
      <c r="X59" s="88">
        <v>905.0</v>
      </c>
      <c r="Y59" s="88">
        <v>1.01</v>
      </c>
      <c r="Z59" s="94">
        <f t="shared" si="17"/>
        <v>1.762965156</v>
      </c>
      <c r="AA59" s="88">
        <v>234.1</v>
      </c>
      <c r="AB59" s="88">
        <v>354.6</v>
      </c>
      <c r="AC59" s="90">
        <f t="shared" si="18"/>
        <v>1163.385827</v>
      </c>
      <c r="AD59" s="88" t="s">
        <v>161</v>
      </c>
      <c r="AE59" s="88" t="s">
        <v>161</v>
      </c>
      <c r="AF59" s="95">
        <f t="shared" si="19"/>
        <v>101.1736139</v>
      </c>
      <c r="AG59" s="88" t="s">
        <v>162</v>
      </c>
      <c r="AH59" s="91"/>
      <c r="AI59" s="93" t="s">
        <v>163</v>
      </c>
      <c r="AJ59" s="96"/>
      <c r="AK59" s="80" t="b">
        <v>1</v>
      </c>
      <c r="AL59" s="80" t="b">
        <v>1</v>
      </c>
      <c r="AM59" s="80" t="b">
        <v>1</v>
      </c>
      <c r="AN59" s="80" t="b">
        <v>1</v>
      </c>
    </row>
    <row r="60">
      <c r="A60" s="83"/>
      <c r="B60" s="83"/>
      <c r="F60" s="83"/>
      <c r="G60" s="83"/>
      <c r="H60" s="83"/>
      <c r="I60" s="83"/>
      <c r="J60" s="83"/>
      <c r="K60" s="83"/>
      <c r="L60" s="83"/>
      <c r="M60" s="83"/>
      <c r="N60" s="83"/>
      <c r="O60" s="83"/>
      <c r="S60" s="80"/>
      <c r="AC60" s="97"/>
      <c r="AF60" s="98"/>
    </row>
    <row r="61">
      <c r="B61" s="83" t="s">
        <v>280</v>
      </c>
      <c r="R61" s="99"/>
      <c r="S61" s="80"/>
      <c r="T61" s="99"/>
      <c r="U61" s="99"/>
      <c r="V61" s="99"/>
      <c r="W61" s="99"/>
      <c r="X61" s="99"/>
      <c r="Y61" s="99"/>
      <c r="Z61" s="99"/>
      <c r="AA61" s="99"/>
      <c r="AC61" s="97"/>
      <c r="AF61" s="98"/>
    </row>
    <row r="62">
      <c r="AC62" s="97"/>
      <c r="AF62" s="98"/>
    </row>
    <row r="63">
      <c r="AC63" s="97"/>
      <c r="AF63" s="98"/>
    </row>
    <row r="64">
      <c r="S64" s="80"/>
      <c r="AC64" s="97"/>
      <c r="AF64" s="98"/>
    </row>
    <row r="65">
      <c r="S65" s="80"/>
      <c r="AC65" s="97"/>
      <c r="AF65" s="98"/>
    </row>
    <row r="66">
      <c r="S66" s="80"/>
      <c r="AC66" s="97"/>
      <c r="AF66" s="98"/>
    </row>
    <row r="67">
      <c r="S67" s="80"/>
      <c r="AC67" s="97"/>
      <c r="AF67" s="98"/>
    </row>
    <row r="68">
      <c r="S68" s="80"/>
      <c r="AC68" s="97"/>
      <c r="AF68" s="98"/>
    </row>
    <row r="70">
      <c r="S70" s="80"/>
      <c r="AC70" s="97"/>
      <c r="AF70"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100"/>
      <c r="AC90" s="97"/>
      <c r="AF90" s="98"/>
    </row>
    <row r="91">
      <c r="S91" s="80"/>
      <c r="AC91" s="97"/>
      <c r="AF91" s="98"/>
    </row>
    <row r="92">
      <c r="S92" s="101"/>
      <c r="AC92" s="97"/>
      <c r="AF92" s="98"/>
    </row>
    <row r="93">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sheetData>
  <dataValidations>
    <dataValidation type="custom" allowBlank="1" showDropDown="1" sqref="S2:S59">
      <formula1>OR(NOT(ISERROR(DATEVALUE(S2))), AND(ISNUMBER(S2), LEFT(CELL("format", S2))="D"))</formula1>
    </dataValidation>
    <dataValidation type="list" allowBlank="1" sqref="B2:B59">
      <formula1>"Alley Cropping,Silvopasture,Riparian Buffer,Windbreaks"</formula1>
    </dataValidation>
    <dataValidation type="custom" allowBlank="1" showDropDown="1" sqref="L2:M59 O2:O59 AC2:AC59 AF2:AF59">
      <formula1>AND(ISNUMBER(L2),(NOT(OR(NOT(ISERROR(DATEVALUE(L2))), AND(ISNUMBER(L2), LEFT(CELL("format", L2))="D")))))</formula1>
    </dataValidation>
  </dataValidations>
  <hyperlinks>
    <hyperlink r:id="rId1" ref="AH43"/>
    <hyperlink r:id="rId2" ref="AH44"/>
    <hyperlink r:id="rId3" ref="AH45"/>
    <hyperlink r:id="rId4" ref="AH46"/>
  </hyperlinks>
  <drawing r:id="rId5"/>
  <tableParts count="9">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s>
  <sheetData>
    <row r="1">
      <c r="A1" s="83" t="s">
        <v>281</v>
      </c>
    </row>
    <row r="2">
      <c r="A2" s="83" t="s">
        <v>40</v>
      </c>
    </row>
    <row r="3">
      <c r="A3" s="83" t="s">
        <v>282</v>
      </c>
      <c r="B3" s="83" t="s">
        <v>43</v>
      </c>
      <c r="C3" s="83"/>
    </row>
    <row r="4">
      <c r="A4" s="83" t="s">
        <v>283</v>
      </c>
      <c r="B4" s="83" t="s">
        <v>44</v>
      </c>
      <c r="C4" s="83"/>
    </row>
    <row r="5">
      <c r="A5" s="83" t="s">
        <v>284</v>
      </c>
      <c r="B5" s="83" t="s">
        <v>45</v>
      </c>
      <c r="C5" s="83"/>
    </row>
    <row r="6">
      <c r="A6" s="83" t="s">
        <v>285</v>
      </c>
      <c r="B6" s="83"/>
      <c r="C6" s="83"/>
    </row>
    <row r="7">
      <c r="A7" s="83" t="s">
        <v>286</v>
      </c>
      <c r="B7" s="83">
        <v>819.91</v>
      </c>
      <c r="C7" s="83" t="s">
        <v>287</v>
      </c>
    </row>
    <row r="8">
      <c r="A8" s="83" t="s">
        <v>288</v>
      </c>
      <c r="B8" s="83">
        <v>93.57</v>
      </c>
      <c r="C8" s="83" t="s">
        <v>287</v>
      </c>
    </row>
    <row r="9">
      <c r="A9" s="83" t="s">
        <v>289</v>
      </c>
      <c r="B9" s="83">
        <v>5.0</v>
      </c>
      <c r="C9" s="83" t="s">
        <v>290</v>
      </c>
    </row>
    <row r="10">
      <c r="A10" s="83" t="s">
        <v>291</v>
      </c>
      <c r="B10" s="83" t="s">
        <v>292</v>
      </c>
      <c r="C10" s="83" t="s">
        <v>287</v>
      </c>
    </row>
    <row r="12">
      <c r="A12" s="83" t="s">
        <v>293</v>
      </c>
      <c r="B12" s="83" t="s">
        <v>294</v>
      </c>
    </row>
    <row r="13">
      <c r="A13" s="83" t="s">
        <v>295</v>
      </c>
      <c r="B13" s="83">
        <v>1.0</v>
      </c>
      <c r="C13" s="83" t="s">
        <v>296</v>
      </c>
    </row>
    <row r="14">
      <c r="A14" s="83" t="s">
        <v>297</v>
      </c>
      <c r="B14" s="83" t="s">
        <v>298</v>
      </c>
      <c r="C14" s="83" t="s">
        <v>299</v>
      </c>
    </row>
    <row r="15">
      <c r="A15" s="83" t="s">
        <v>300</v>
      </c>
      <c r="B15" s="83" t="s">
        <v>301</v>
      </c>
      <c r="C15" s="83" t="s">
        <v>302</v>
      </c>
    </row>
    <row r="16">
      <c r="A16" s="83" t="s">
        <v>303</v>
      </c>
      <c r="B16" s="83" t="s">
        <v>304</v>
      </c>
      <c r="C16" s="83" t="s">
        <v>305</v>
      </c>
    </row>
    <row r="17">
      <c r="A17" s="83" t="s">
        <v>306</v>
      </c>
      <c r="B17" s="83" t="s">
        <v>163</v>
      </c>
    </row>
    <row r="18">
      <c r="A18" s="83" t="s">
        <v>307</v>
      </c>
      <c r="B18" s="83" t="s">
        <v>308</v>
      </c>
    </row>
    <row r="19">
      <c r="A19" s="83" t="s">
        <v>309</v>
      </c>
      <c r="B19" s="83" t="s">
        <v>310</v>
      </c>
    </row>
    <row r="20">
      <c r="A20" s="83" t="s">
        <v>311</v>
      </c>
      <c r="B20" s="83">
        <v>111.0</v>
      </c>
    </row>
    <row r="21">
      <c r="A21" s="83" t="s">
        <v>312</v>
      </c>
    </row>
    <row r="22">
      <c r="A22" s="83" t="s">
        <v>313</v>
      </c>
      <c r="B22" s="83" t="s">
        <v>314</v>
      </c>
    </row>
    <row r="23">
      <c r="A23" s="83" t="s">
        <v>315</v>
      </c>
      <c r="B23" s="83" t="s">
        <v>316</v>
      </c>
    </row>
    <row r="25">
      <c r="A25" s="83" t="s">
        <v>317</v>
      </c>
    </row>
    <row r="26">
      <c r="A26" s="83" t="s">
        <v>293</v>
      </c>
      <c r="B26" s="83" t="s">
        <v>294</v>
      </c>
      <c r="C26" s="83" t="s">
        <v>318</v>
      </c>
      <c r="D26" s="83" t="s">
        <v>319</v>
      </c>
    </row>
    <row r="27">
      <c r="A27" s="83" t="s">
        <v>295</v>
      </c>
      <c r="B27" s="83">
        <v>1.0</v>
      </c>
      <c r="C27" s="83">
        <v>1.0</v>
      </c>
      <c r="D27" s="83">
        <v>1.0</v>
      </c>
    </row>
    <row r="28">
      <c r="A28" s="83" t="s">
        <v>297</v>
      </c>
      <c r="B28" s="83" t="s">
        <v>298</v>
      </c>
      <c r="C28" s="83" t="s">
        <v>298</v>
      </c>
      <c r="D28" s="83" t="s">
        <v>298</v>
      </c>
    </row>
    <row r="29">
      <c r="A29" s="83" t="s">
        <v>300</v>
      </c>
      <c r="B29" s="83" t="s">
        <v>301</v>
      </c>
      <c r="C29" s="83" t="s">
        <v>301</v>
      </c>
      <c r="D29" s="83" t="s">
        <v>301</v>
      </c>
    </row>
    <row r="30">
      <c r="A30" s="83" t="s">
        <v>303</v>
      </c>
      <c r="B30" s="83" t="s">
        <v>304</v>
      </c>
      <c r="C30" s="83" t="s">
        <v>304</v>
      </c>
      <c r="D30" s="83" t="s">
        <v>304</v>
      </c>
    </row>
    <row r="31">
      <c r="A31" s="83" t="s">
        <v>306</v>
      </c>
      <c r="B31" s="83" t="s">
        <v>163</v>
      </c>
      <c r="C31" s="83" t="s">
        <v>163</v>
      </c>
      <c r="D31" s="83" t="s">
        <v>163</v>
      </c>
    </row>
    <row r="32">
      <c r="A32" s="83" t="s">
        <v>307</v>
      </c>
      <c r="B32" s="83" t="s">
        <v>308</v>
      </c>
      <c r="C32" s="83" t="s">
        <v>308</v>
      </c>
      <c r="D32" s="83" t="s">
        <v>308</v>
      </c>
    </row>
    <row r="33">
      <c r="A33" s="83" t="s">
        <v>309</v>
      </c>
      <c r="B33" s="83" t="s">
        <v>310</v>
      </c>
      <c r="C33" s="83" t="s">
        <v>310</v>
      </c>
      <c r="D33" s="83" t="s">
        <v>310</v>
      </c>
    </row>
    <row r="34">
      <c r="A34" s="83" t="s">
        <v>311</v>
      </c>
      <c r="B34" s="83">
        <v>111.0</v>
      </c>
      <c r="C34" s="83">
        <v>111.0</v>
      </c>
      <c r="D34" s="83">
        <v>111.0</v>
      </c>
    </row>
    <row r="35">
      <c r="A35" s="83" t="s">
        <v>312</v>
      </c>
    </row>
    <row r="36">
      <c r="A36" s="83" t="s">
        <v>313</v>
      </c>
      <c r="B36" s="102" t="s">
        <v>314</v>
      </c>
      <c r="C36" s="102">
        <v>3.0</v>
      </c>
      <c r="D36" s="102">
        <v>0.4</v>
      </c>
    </row>
    <row r="37">
      <c r="A37" s="83" t="s">
        <v>315</v>
      </c>
      <c r="B37" s="102" t="s">
        <v>316</v>
      </c>
      <c r="C37" s="102">
        <v>5894.6</v>
      </c>
      <c r="D37" s="102">
        <v>792.5</v>
      </c>
    </row>
    <row r="38">
      <c r="A38" s="83" t="s">
        <v>320</v>
      </c>
      <c r="B38" s="83">
        <v>5.1801</v>
      </c>
      <c r="C38" s="74">
        <f t="shared" ref="C38:D38" si="1">C37/1000</f>
        <v>5.8946</v>
      </c>
      <c r="D38" s="74">
        <f t="shared" si="1"/>
        <v>0.7925</v>
      </c>
      <c r="E38" s="74">
        <f>B38+C38+D38</f>
        <v>11.8672</v>
      </c>
    </row>
    <row r="40">
      <c r="A40" s="83" t="s">
        <v>60</v>
      </c>
    </row>
    <row r="41">
      <c r="A41" s="83" t="s">
        <v>282</v>
      </c>
      <c r="B41" s="83" t="s">
        <v>62</v>
      </c>
      <c r="C41" s="83"/>
    </row>
    <row r="42">
      <c r="A42" s="83" t="s">
        <v>283</v>
      </c>
      <c r="B42" s="83" t="s">
        <v>63</v>
      </c>
      <c r="C42" s="83"/>
    </row>
    <row r="43">
      <c r="A43" s="83" t="s">
        <v>284</v>
      </c>
      <c r="B43" s="83" t="s">
        <v>64</v>
      </c>
      <c r="C43" s="83"/>
    </row>
    <row r="44">
      <c r="A44" s="83" t="s">
        <v>285</v>
      </c>
      <c r="C44" s="83"/>
    </row>
    <row r="45">
      <c r="A45" s="83" t="s">
        <v>286</v>
      </c>
      <c r="B45" s="83">
        <v>504.66</v>
      </c>
      <c r="C45" s="83" t="s">
        <v>287</v>
      </c>
    </row>
    <row r="46">
      <c r="A46" s="83" t="s">
        <v>288</v>
      </c>
      <c r="B46" s="83">
        <v>81.36</v>
      </c>
      <c r="C46" s="83" t="s">
        <v>287</v>
      </c>
    </row>
    <row r="47">
      <c r="A47" s="83" t="s">
        <v>289</v>
      </c>
      <c r="B47" s="83">
        <v>17.0</v>
      </c>
      <c r="C47" s="83" t="s">
        <v>290</v>
      </c>
    </row>
    <row r="48">
      <c r="A48" s="83" t="s">
        <v>291</v>
      </c>
      <c r="B48" s="83" t="s">
        <v>292</v>
      </c>
      <c r="C48" s="83" t="s">
        <v>287</v>
      </c>
    </row>
    <row r="50">
      <c r="A50" s="83" t="s">
        <v>293</v>
      </c>
      <c r="B50" s="83" t="s">
        <v>67</v>
      </c>
      <c r="C50" s="83" t="s">
        <v>321</v>
      </c>
    </row>
    <row r="51">
      <c r="A51" s="83" t="s">
        <v>295</v>
      </c>
      <c r="B51" s="83">
        <v>1.0</v>
      </c>
      <c r="C51" s="83">
        <v>1.0</v>
      </c>
    </row>
    <row r="52">
      <c r="A52" s="83" t="s">
        <v>297</v>
      </c>
      <c r="B52" s="83" t="s">
        <v>298</v>
      </c>
      <c r="C52" s="83" t="s">
        <v>298</v>
      </c>
    </row>
    <row r="53">
      <c r="A53" s="83" t="s">
        <v>300</v>
      </c>
      <c r="B53" s="83" t="s">
        <v>301</v>
      </c>
      <c r="C53" s="83" t="s">
        <v>301</v>
      </c>
    </row>
    <row r="54">
      <c r="A54" s="83" t="s">
        <v>303</v>
      </c>
      <c r="B54" s="83" t="s">
        <v>304</v>
      </c>
      <c r="C54" s="83" t="s">
        <v>304</v>
      </c>
    </row>
    <row r="55">
      <c r="A55" s="83" t="s">
        <v>306</v>
      </c>
      <c r="B55" s="83" t="s">
        <v>163</v>
      </c>
      <c r="C55" s="83" t="s">
        <v>163</v>
      </c>
    </row>
    <row r="56">
      <c r="A56" s="83" t="s">
        <v>307</v>
      </c>
      <c r="B56" s="83" t="s">
        <v>308</v>
      </c>
      <c r="C56" s="83" t="s">
        <v>308</v>
      </c>
    </row>
    <row r="57">
      <c r="A57" s="83" t="s">
        <v>309</v>
      </c>
      <c r="B57" s="83" t="s">
        <v>310</v>
      </c>
      <c r="C57" s="83" t="s">
        <v>310</v>
      </c>
    </row>
    <row r="58">
      <c r="A58" s="83" t="s">
        <v>311</v>
      </c>
      <c r="B58" s="83">
        <v>278.0</v>
      </c>
      <c r="C58" s="83">
        <v>73.0</v>
      </c>
    </row>
    <row r="59">
      <c r="A59" s="83" t="s">
        <v>312</v>
      </c>
    </row>
    <row r="60">
      <c r="A60" s="83" t="s">
        <v>313</v>
      </c>
      <c r="B60" s="102">
        <v>28.9</v>
      </c>
      <c r="C60" s="102">
        <v>4.0</v>
      </c>
    </row>
    <row r="61">
      <c r="A61" s="83" t="s">
        <v>315</v>
      </c>
      <c r="B61" s="102">
        <v>68413.8</v>
      </c>
      <c r="C61" s="102">
        <v>9446.7</v>
      </c>
    </row>
    <row r="62">
      <c r="A62" s="83" t="s">
        <v>322</v>
      </c>
      <c r="B62" s="74">
        <f t="shared" ref="B62:C62" si="2">B61/1000</f>
        <v>68.4138</v>
      </c>
      <c r="C62" s="74">
        <f t="shared" si="2"/>
        <v>9.4467</v>
      </c>
      <c r="D62" s="103">
        <f>C62+B62</f>
        <v>77.8605</v>
      </c>
    </row>
    <row r="63">
      <c r="B63" s="74">
        <f>B60*0.5*3.664</f>
        <v>52.9448</v>
      </c>
    </row>
    <row r="65">
      <c r="A65" s="83" t="s">
        <v>75</v>
      </c>
    </row>
    <row r="66">
      <c r="A66" s="83" t="s">
        <v>282</v>
      </c>
      <c r="B66" s="83" t="s">
        <v>222</v>
      </c>
      <c r="C66" s="83"/>
    </row>
    <row r="67">
      <c r="A67" s="83" t="s">
        <v>283</v>
      </c>
      <c r="B67" s="83" t="s">
        <v>323</v>
      </c>
      <c r="C67" s="83"/>
    </row>
    <row r="68">
      <c r="A68" s="83" t="s">
        <v>284</v>
      </c>
      <c r="B68" s="83" t="s">
        <v>78</v>
      </c>
      <c r="C68" s="83"/>
    </row>
    <row r="69">
      <c r="A69" s="83" t="s">
        <v>285</v>
      </c>
      <c r="C69" s="83"/>
    </row>
    <row r="70">
      <c r="A70" s="83" t="s">
        <v>286</v>
      </c>
      <c r="B70" s="83">
        <v>264.38</v>
      </c>
      <c r="C70" s="83" t="s">
        <v>287</v>
      </c>
    </row>
    <row r="71">
      <c r="A71" s="83" t="s">
        <v>288</v>
      </c>
      <c r="B71" s="83">
        <v>64.8</v>
      </c>
      <c r="C71" s="83" t="s">
        <v>287</v>
      </c>
    </row>
    <row r="72">
      <c r="A72" s="83" t="s">
        <v>289</v>
      </c>
      <c r="B72" s="83">
        <v>33.0</v>
      </c>
      <c r="C72" s="83" t="s">
        <v>290</v>
      </c>
    </row>
    <row r="73">
      <c r="A73" s="83" t="s">
        <v>291</v>
      </c>
      <c r="B73" s="83" t="s">
        <v>292</v>
      </c>
      <c r="C73" s="83" t="s">
        <v>287</v>
      </c>
    </row>
    <row r="75">
      <c r="A75" s="83" t="s">
        <v>293</v>
      </c>
      <c r="B75" s="104" t="s">
        <v>81</v>
      </c>
      <c r="C75" s="104" t="s">
        <v>324</v>
      </c>
      <c r="D75" s="104" t="s">
        <v>88</v>
      </c>
      <c r="E75" s="104" t="s">
        <v>90</v>
      </c>
      <c r="F75" s="104" t="s">
        <v>67</v>
      </c>
    </row>
    <row r="76">
      <c r="A76" s="83" t="s">
        <v>295</v>
      </c>
      <c r="B76" s="83">
        <v>1.0</v>
      </c>
      <c r="C76" s="83">
        <v>1.0</v>
      </c>
      <c r="D76" s="83">
        <v>1.0</v>
      </c>
      <c r="E76" s="83">
        <v>1.0</v>
      </c>
      <c r="F76" s="83">
        <v>1.0</v>
      </c>
    </row>
    <row r="77">
      <c r="A77" s="83" t="s">
        <v>297</v>
      </c>
      <c r="B77" s="83" t="s">
        <v>298</v>
      </c>
      <c r="C77" s="83" t="s">
        <v>298</v>
      </c>
      <c r="D77" s="83" t="s">
        <v>298</v>
      </c>
      <c r="E77" s="83" t="s">
        <v>298</v>
      </c>
      <c r="F77" s="83" t="s">
        <v>298</v>
      </c>
    </row>
    <row r="78">
      <c r="A78" s="83" t="s">
        <v>300</v>
      </c>
      <c r="B78" s="83" t="s">
        <v>301</v>
      </c>
      <c r="C78" s="83" t="s">
        <v>301</v>
      </c>
      <c r="D78" s="83" t="s">
        <v>301</v>
      </c>
      <c r="E78" s="83" t="s">
        <v>301</v>
      </c>
      <c r="F78" s="83" t="s">
        <v>301</v>
      </c>
    </row>
    <row r="79">
      <c r="A79" s="83" t="s">
        <v>303</v>
      </c>
      <c r="B79" s="83" t="s">
        <v>304</v>
      </c>
      <c r="C79" s="83" t="s">
        <v>304</v>
      </c>
      <c r="D79" s="83" t="s">
        <v>304</v>
      </c>
      <c r="E79" s="83" t="s">
        <v>304</v>
      </c>
      <c r="F79" s="83" t="s">
        <v>304</v>
      </c>
    </row>
    <row r="80">
      <c r="A80" s="83" t="s">
        <v>306</v>
      </c>
      <c r="B80" s="83" t="s">
        <v>163</v>
      </c>
      <c r="C80" s="83" t="s">
        <v>163</v>
      </c>
      <c r="D80" s="83" t="s">
        <v>163</v>
      </c>
      <c r="E80" s="83" t="s">
        <v>163</v>
      </c>
      <c r="F80" s="83" t="s">
        <v>163</v>
      </c>
    </row>
    <row r="81">
      <c r="A81" s="83" t="s">
        <v>307</v>
      </c>
      <c r="B81" s="83" t="s">
        <v>308</v>
      </c>
      <c r="C81" s="83" t="s">
        <v>308</v>
      </c>
      <c r="D81" s="83" t="s">
        <v>308</v>
      </c>
      <c r="E81" s="83" t="s">
        <v>308</v>
      </c>
      <c r="F81" s="83" t="s">
        <v>308</v>
      </c>
    </row>
    <row r="82">
      <c r="A82" s="83" t="s">
        <v>309</v>
      </c>
      <c r="B82" s="83" t="s">
        <v>310</v>
      </c>
      <c r="C82" s="83" t="s">
        <v>310</v>
      </c>
      <c r="D82" s="83" t="s">
        <v>310</v>
      </c>
      <c r="E82" s="83" t="s">
        <v>310</v>
      </c>
      <c r="F82" s="83" t="s">
        <v>310</v>
      </c>
    </row>
    <row r="83">
      <c r="A83" s="83" t="s">
        <v>311</v>
      </c>
      <c r="B83" s="83">
        <v>666.0</v>
      </c>
      <c r="C83" s="83">
        <v>666.0</v>
      </c>
      <c r="D83" s="83">
        <v>666.0</v>
      </c>
      <c r="E83" s="83">
        <v>666.0</v>
      </c>
      <c r="F83" s="83">
        <v>666.0</v>
      </c>
    </row>
    <row r="84">
      <c r="A84" s="83" t="s">
        <v>312</v>
      </c>
    </row>
    <row r="85">
      <c r="A85" s="83" t="s">
        <v>313</v>
      </c>
      <c r="B85" s="102">
        <v>160.3</v>
      </c>
      <c r="C85" s="102">
        <v>170.4</v>
      </c>
      <c r="D85" s="102">
        <v>96.3</v>
      </c>
      <c r="E85" s="102">
        <v>43.0</v>
      </c>
      <c r="F85" s="102">
        <v>92.4</v>
      </c>
    </row>
    <row r="86">
      <c r="A86" s="83" t="s">
        <v>315</v>
      </c>
      <c r="B86" s="102">
        <v>422775.9</v>
      </c>
      <c r="C86" s="102">
        <v>449534.8</v>
      </c>
      <c r="D86" s="102">
        <v>256008.9</v>
      </c>
      <c r="E86" s="102">
        <v>110254.1</v>
      </c>
      <c r="F86" s="102">
        <v>244817.0</v>
      </c>
    </row>
    <row r="87">
      <c r="A87" s="83" t="s">
        <v>322</v>
      </c>
      <c r="B87" s="74">
        <f t="shared" ref="B87:F87" si="3">B86/1000</f>
        <v>422.7759</v>
      </c>
      <c r="C87" s="74">
        <f t="shared" si="3"/>
        <v>449.5348</v>
      </c>
      <c r="D87" s="74">
        <f t="shared" si="3"/>
        <v>256.0089</v>
      </c>
      <c r="E87" s="74">
        <f t="shared" si="3"/>
        <v>110.2541</v>
      </c>
      <c r="F87" s="74">
        <f t="shared" si="3"/>
        <v>244.817</v>
      </c>
      <c r="G87" s="103">
        <f>F87+E87+D87+C87+B87</f>
        <v>1483.3907</v>
      </c>
    </row>
    <row r="91">
      <c r="A91" s="83" t="s">
        <v>94</v>
      </c>
    </row>
    <row r="92">
      <c r="A92" s="83" t="s">
        <v>282</v>
      </c>
      <c r="B92" s="83" t="s">
        <v>96</v>
      </c>
      <c r="C92" s="83"/>
    </row>
    <row r="93">
      <c r="A93" s="83" t="s">
        <v>283</v>
      </c>
      <c r="B93" s="83" t="s">
        <v>97</v>
      </c>
      <c r="C93" s="83"/>
    </row>
    <row r="94">
      <c r="A94" s="83" t="s">
        <v>284</v>
      </c>
      <c r="B94" s="83" t="s">
        <v>325</v>
      </c>
      <c r="C94" s="83"/>
    </row>
    <row r="95">
      <c r="A95" s="83" t="s">
        <v>285</v>
      </c>
      <c r="C95" s="83"/>
    </row>
    <row r="96">
      <c r="A96" s="83" t="s">
        <v>286</v>
      </c>
      <c r="B96" s="83">
        <v>737.22</v>
      </c>
      <c r="C96" s="83" t="s">
        <v>287</v>
      </c>
    </row>
    <row r="97">
      <c r="A97" s="83" t="s">
        <v>288</v>
      </c>
      <c r="B97" s="83">
        <v>93.8</v>
      </c>
      <c r="C97" s="83" t="s">
        <v>287</v>
      </c>
    </row>
    <row r="98">
      <c r="A98" s="83" t="s">
        <v>289</v>
      </c>
      <c r="B98" s="83">
        <v>7.0</v>
      </c>
      <c r="C98" s="83" t="s">
        <v>290</v>
      </c>
    </row>
    <row r="99">
      <c r="A99" s="83" t="s">
        <v>291</v>
      </c>
      <c r="B99" s="83" t="s">
        <v>292</v>
      </c>
      <c r="C99" s="83" t="s">
        <v>287</v>
      </c>
    </row>
    <row r="101">
      <c r="A101" s="83" t="s">
        <v>293</v>
      </c>
      <c r="B101" s="104" t="s">
        <v>326</v>
      </c>
      <c r="C101" s="104" t="s">
        <v>327</v>
      </c>
    </row>
    <row r="102">
      <c r="A102" s="83" t="s">
        <v>295</v>
      </c>
      <c r="B102" s="83">
        <v>1.0</v>
      </c>
    </row>
    <row r="103">
      <c r="A103" s="83" t="s">
        <v>297</v>
      </c>
      <c r="B103" s="83" t="s">
        <v>298</v>
      </c>
    </row>
    <row r="104">
      <c r="A104" s="83" t="s">
        <v>300</v>
      </c>
      <c r="B104" s="83" t="s">
        <v>301</v>
      </c>
    </row>
    <row r="105">
      <c r="A105" s="83" t="s">
        <v>303</v>
      </c>
      <c r="B105" s="83" t="s">
        <v>304</v>
      </c>
    </row>
    <row r="106">
      <c r="A106" s="83" t="s">
        <v>306</v>
      </c>
      <c r="B106" s="83" t="s">
        <v>163</v>
      </c>
    </row>
    <row r="107">
      <c r="A107" s="83" t="s">
        <v>307</v>
      </c>
      <c r="B107" s="83" t="s">
        <v>308</v>
      </c>
    </row>
    <row r="108">
      <c r="A108" s="83" t="s">
        <v>309</v>
      </c>
      <c r="B108" s="83" t="s">
        <v>328</v>
      </c>
      <c r="C108" s="83" t="s">
        <v>329</v>
      </c>
    </row>
    <row r="109">
      <c r="A109" s="83" t="s">
        <v>311</v>
      </c>
      <c r="B109" s="83">
        <v>4630.0</v>
      </c>
    </row>
    <row r="110">
      <c r="A110" s="83" t="s">
        <v>312</v>
      </c>
    </row>
    <row r="111">
      <c r="A111" s="83" t="s">
        <v>313</v>
      </c>
      <c r="B111" s="102">
        <v>20.0</v>
      </c>
      <c r="C111" s="102"/>
    </row>
    <row r="112">
      <c r="A112" s="83" t="s">
        <v>315</v>
      </c>
      <c r="B112" s="102">
        <v>41131.0</v>
      </c>
      <c r="C112" s="102"/>
    </row>
    <row r="113">
      <c r="B113" s="74">
        <f>41.131</f>
        <v>41.131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3" t="s">
        <v>330</v>
      </c>
    </row>
    <row r="2">
      <c r="B2" s="83" t="s">
        <v>331</v>
      </c>
    </row>
    <row r="3">
      <c r="A3" s="83"/>
      <c r="B3" s="83" t="s">
        <v>332</v>
      </c>
    </row>
    <row r="4">
      <c r="B4" s="83" t="s">
        <v>333</v>
      </c>
    </row>
    <row r="5">
      <c r="A5" s="83" t="s">
        <v>334</v>
      </c>
      <c r="B5" s="83">
        <v>0.0</v>
      </c>
      <c r="C5" s="83">
        <v>10.0</v>
      </c>
      <c r="D5" s="83">
        <v>20.0</v>
      </c>
      <c r="E5" s="83">
        <v>30.0</v>
      </c>
      <c r="F5" s="83">
        <v>40.0</v>
      </c>
      <c r="G5" s="83">
        <v>50.0</v>
      </c>
      <c r="I5" s="83" t="s">
        <v>335</v>
      </c>
      <c r="J5" s="105">
        <v>47.6</v>
      </c>
      <c r="K5" s="83" t="s">
        <v>336</v>
      </c>
    </row>
    <row r="6">
      <c r="A6" s="83">
        <v>1.0</v>
      </c>
      <c r="B6" s="83">
        <v>12.8</v>
      </c>
      <c r="C6" s="83">
        <v>90.6</v>
      </c>
      <c r="D6" s="83">
        <v>153.9</v>
      </c>
      <c r="E6" s="83">
        <v>211.7</v>
      </c>
      <c r="F6" s="83">
        <v>266.2</v>
      </c>
      <c r="G6" s="83">
        <v>318.4</v>
      </c>
      <c r="J6" s="106">
        <f>J5/4.44</f>
        <v>10.72072072</v>
      </c>
      <c r="K6" s="83" t="s">
        <v>337</v>
      </c>
    </row>
    <row r="7">
      <c r="A7" s="83">
        <v>2.0</v>
      </c>
      <c r="B7" s="83">
        <v>22.5</v>
      </c>
      <c r="C7" s="83">
        <v>97.3</v>
      </c>
      <c r="D7" s="83">
        <v>159.9</v>
      </c>
      <c r="E7" s="83">
        <v>217.5</v>
      </c>
      <c r="F7" s="83">
        <v>271.5</v>
      </c>
      <c r="G7" s="83">
        <v>323.5</v>
      </c>
      <c r="J7" s="106">
        <f>J5/333</f>
        <v>0.1429429429</v>
      </c>
      <c r="K7" s="83" t="s">
        <v>338</v>
      </c>
    </row>
    <row r="8">
      <c r="A8" s="83">
        <v>3.0</v>
      </c>
      <c r="B8" s="83">
        <v>31.3</v>
      </c>
      <c r="C8" s="83">
        <v>103.9</v>
      </c>
      <c r="D8" s="83">
        <v>165.8</v>
      </c>
      <c r="E8" s="83">
        <v>222.8</v>
      </c>
      <c r="F8" s="83">
        <v>276.8</v>
      </c>
      <c r="G8" s="83">
        <v>328.6</v>
      </c>
      <c r="J8" s="106">
        <f>J5/3</f>
        <v>15.86666667</v>
      </c>
      <c r="K8" s="83" t="s">
        <v>339</v>
      </c>
    </row>
    <row r="9">
      <c r="A9" s="83">
        <v>4.0</v>
      </c>
      <c r="B9" s="83">
        <v>39.6</v>
      </c>
      <c r="C9" s="83">
        <v>110.4</v>
      </c>
      <c r="D9" s="83">
        <v>171.7</v>
      </c>
      <c r="E9" s="83">
        <v>228.4</v>
      </c>
      <c r="F9" s="83">
        <v>282.1</v>
      </c>
      <c r="G9" s="83">
        <v>333.7</v>
      </c>
      <c r="J9" s="106">
        <f>J8/4.44</f>
        <v>3.573573574</v>
      </c>
      <c r="K9" s="83" t="s">
        <v>340</v>
      </c>
    </row>
    <row r="10">
      <c r="A10" s="83">
        <v>5.0</v>
      </c>
      <c r="B10" s="107">
        <v>47.6</v>
      </c>
      <c r="C10" s="83">
        <v>116.8</v>
      </c>
      <c r="D10" s="83">
        <v>177.5</v>
      </c>
      <c r="E10" s="83">
        <v>233.8</v>
      </c>
      <c r="F10" s="83">
        <v>287.3</v>
      </c>
      <c r="G10" s="83">
        <v>338.7</v>
      </c>
    </row>
    <row r="11">
      <c r="A11" s="83">
        <v>6.0</v>
      </c>
      <c r="B11" s="108">
        <v>55.2</v>
      </c>
      <c r="C11" s="83">
        <v>123.2</v>
      </c>
      <c r="D11" s="83">
        <v>183.3</v>
      </c>
      <c r="E11" s="83">
        <v>239.3</v>
      </c>
      <c r="F11" s="83">
        <v>292.6</v>
      </c>
      <c r="G11" s="83">
        <v>343.8</v>
      </c>
    </row>
    <row r="12">
      <c r="A12" s="83">
        <v>7.0</v>
      </c>
      <c r="B12" s="108">
        <v>62.6</v>
      </c>
      <c r="C12" s="83">
        <v>129.4</v>
      </c>
      <c r="D12" s="83">
        <v>189.1</v>
      </c>
      <c r="E12" s="83">
        <v>244.7</v>
      </c>
      <c r="F12" s="83">
        <v>297.8</v>
      </c>
      <c r="G12" s="83">
        <v>348.8</v>
      </c>
    </row>
    <row r="13">
      <c r="A13" s="83">
        <v>8.0</v>
      </c>
      <c r="B13" s="108">
        <v>69.8</v>
      </c>
      <c r="C13" s="83">
        <v>135.6</v>
      </c>
      <c r="D13" s="83">
        <v>194.8</v>
      </c>
      <c r="E13" s="83">
        <v>250.2</v>
      </c>
      <c r="F13" s="83">
        <v>302.9</v>
      </c>
      <c r="G13" s="83">
        <v>353.8</v>
      </c>
    </row>
    <row r="14">
      <c r="A14" s="74">
        <f>A13+1</f>
        <v>9</v>
      </c>
      <c r="B14" s="109">
        <v>76.9</v>
      </c>
      <c r="C14" s="83">
        <v>141.8</v>
      </c>
      <c r="D14" s="83">
        <v>200.5</v>
      </c>
      <c r="E14" s="83">
        <v>255.5</v>
      </c>
      <c r="F14" s="83">
        <v>308.1</v>
      </c>
      <c r="G14" s="83">
        <v>358.8</v>
      </c>
    </row>
    <row r="15">
      <c r="A15" s="83">
        <v>10.0</v>
      </c>
      <c r="B15" s="83">
        <v>83.8</v>
      </c>
      <c r="C15" s="83">
        <v>147.8</v>
      </c>
      <c r="D15" s="83">
        <v>206.1</v>
      </c>
      <c r="E15" s="83">
        <v>260.9</v>
      </c>
      <c r="F15" s="83">
        <v>313.3</v>
      </c>
      <c r="G15" s="83">
        <v>363.8</v>
      </c>
    </row>
    <row r="16">
      <c r="A16" s="83">
        <f t="shared" ref="A16:A66" si="1">A15+1</f>
        <v>11</v>
      </c>
      <c r="B16" s="83">
        <v>90.6</v>
      </c>
      <c r="C16" s="83">
        <v>153.9</v>
      </c>
      <c r="D16" s="83">
        <v>211.7</v>
      </c>
      <c r="E16" s="83">
        <v>266.2</v>
      </c>
      <c r="F16" s="83">
        <v>318.4</v>
      </c>
      <c r="G16" s="83">
        <v>368.7</v>
      </c>
    </row>
    <row r="17">
      <c r="A17" s="83">
        <f t="shared" si="1"/>
        <v>12</v>
      </c>
      <c r="B17" s="83">
        <v>97.3</v>
      </c>
    </row>
    <row r="18">
      <c r="A18" s="83">
        <f t="shared" si="1"/>
        <v>13</v>
      </c>
      <c r="B18" s="83">
        <v>103.9</v>
      </c>
    </row>
    <row r="19">
      <c r="A19" s="83">
        <f t="shared" si="1"/>
        <v>14</v>
      </c>
      <c r="B19" s="83">
        <v>110.4</v>
      </c>
    </row>
    <row r="20">
      <c r="A20" s="83">
        <f t="shared" si="1"/>
        <v>15</v>
      </c>
      <c r="B20" s="83">
        <v>116.8</v>
      </c>
    </row>
    <row r="21">
      <c r="A21" s="83">
        <f t="shared" si="1"/>
        <v>16</v>
      </c>
      <c r="B21" s="83">
        <v>123.2</v>
      </c>
    </row>
    <row r="22">
      <c r="A22" s="83">
        <f t="shared" si="1"/>
        <v>17</v>
      </c>
      <c r="B22" s="83">
        <v>129.4</v>
      </c>
      <c r="D22" s="108"/>
    </row>
    <row r="23">
      <c r="A23" s="83">
        <f t="shared" si="1"/>
        <v>18</v>
      </c>
      <c r="B23" s="83">
        <v>135.6</v>
      </c>
      <c r="C23" s="108"/>
      <c r="D23" s="108"/>
    </row>
    <row r="24">
      <c r="A24" s="83">
        <f t="shared" si="1"/>
        <v>19</v>
      </c>
      <c r="B24" s="83">
        <v>141.8</v>
      </c>
      <c r="C24" s="108"/>
      <c r="D24" s="108"/>
    </row>
    <row r="25">
      <c r="A25" s="83">
        <f t="shared" si="1"/>
        <v>20</v>
      </c>
      <c r="B25" s="83">
        <v>147.8</v>
      </c>
      <c r="C25" s="108"/>
      <c r="D25" s="108"/>
    </row>
    <row r="26">
      <c r="A26" s="83">
        <f t="shared" si="1"/>
        <v>21</v>
      </c>
      <c r="B26" s="83">
        <v>153.9</v>
      </c>
      <c r="C26" s="108"/>
      <c r="D26" s="108"/>
    </row>
    <row r="27">
      <c r="A27" s="83">
        <f t="shared" si="1"/>
        <v>22</v>
      </c>
      <c r="B27" s="83">
        <v>159.9</v>
      </c>
      <c r="C27" s="108"/>
      <c r="D27" s="108"/>
    </row>
    <row r="28">
      <c r="A28" s="83">
        <f t="shared" si="1"/>
        <v>23</v>
      </c>
      <c r="B28" s="83">
        <v>165.8</v>
      </c>
      <c r="C28" s="108"/>
      <c r="D28" s="109"/>
    </row>
    <row r="29">
      <c r="A29" s="83">
        <f t="shared" si="1"/>
        <v>24</v>
      </c>
      <c r="B29" s="83">
        <v>171.7</v>
      </c>
    </row>
    <row r="30">
      <c r="A30" s="83">
        <f t="shared" si="1"/>
        <v>25</v>
      </c>
      <c r="B30" s="83">
        <v>177.5</v>
      </c>
    </row>
    <row r="31">
      <c r="A31" s="83">
        <f t="shared" si="1"/>
        <v>26</v>
      </c>
      <c r="B31" s="83">
        <v>183.3</v>
      </c>
    </row>
    <row r="32">
      <c r="A32" s="83">
        <f t="shared" si="1"/>
        <v>27</v>
      </c>
      <c r="B32" s="83">
        <v>189.1</v>
      </c>
    </row>
    <row r="33">
      <c r="A33" s="83">
        <f t="shared" si="1"/>
        <v>28</v>
      </c>
      <c r="B33" s="83">
        <v>194.8</v>
      </c>
    </row>
    <row r="34">
      <c r="A34" s="83">
        <f t="shared" si="1"/>
        <v>29</v>
      </c>
      <c r="B34" s="83">
        <v>200.5</v>
      </c>
    </row>
    <row r="35">
      <c r="A35" s="83">
        <f t="shared" si="1"/>
        <v>30</v>
      </c>
      <c r="B35" s="83">
        <v>206.1</v>
      </c>
    </row>
    <row r="36">
      <c r="A36" s="83">
        <f t="shared" si="1"/>
        <v>31</v>
      </c>
      <c r="B36" s="83">
        <v>211.7</v>
      </c>
    </row>
    <row r="37">
      <c r="A37" s="83">
        <f t="shared" si="1"/>
        <v>32</v>
      </c>
      <c r="B37" s="83">
        <v>217.5</v>
      </c>
    </row>
    <row r="38">
      <c r="A38" s="83">
        <f t="shared" si="1"/>
        <v>33</v>
      </c>
      <c r="B38" s="83">
        <v>222.8</v>
      </c>
    </row>
    <row r="39">
      <c r="A39" s="83">
        <f t="shared" si="1"/>
        <v>34</v>
      </c>
      <c r="B39" s="83">
        <v>228.4</v>
      </c>
    </row>
    <row r="40">
      <c r="A40" s="83">
        <f t="shared" si="1"/>
        <v>35</v>
      </c>
      <c r="B40" s="83">
        <v>233.8</v>
      </c>
    </row>
    <row r="41">
      <c r="A41" s="83">
        <f t="shared" si="1"/>
        <v>36</v>
      </c>
      <c r="B41" s="83">
        <v>239.3</v>
      </c>
    </row>
    <row r="42">
      <c r="A42" s="83">
        <f t="shared" si="1"/>
        <v>37</v>
      </c>
      <c r="B42" s="83">
        <v>244.7</v>
      </c>
    </row>
    <row r="43">
      <c r="A43" s="83">
        <f t="shared" si="1"/>
        <v>38</v>
      </c>
      <c r="B43" s="83">
        <v>250.2</v>
      </c>
    </row>
    <row r="44">
      <c r="A44" s="83">
        <f t="shared" si="1"/>
        <v>39</v>
      </c>
      <c r="B44" s="83">
        <v>255.5</v>
      </c>
    </row>
    <row r="45">
      <c r="A45" s="83">
        <f t="shared" si="1"/>
        <v>40</v>
      </c>
      <c r="B45" s="83">
        <v>260.9</v>
      </c>
    </row>
    <row r="46">
      <c r="A46" s="83">
        <f t="shared" si="1"/>
        <v>41</v>
      </c>
      <c r="B46" s="83">
        <v>266.2</v>
      </c>
    </row>
    <row r="47">
      <c r="A47" s="83">
        <f t="shared" si="1"/>
        <v>42</v>
      </c>
      <c r="B47" s="83">
        <v>271.5</v>
      </c>
    </row>
    <row r="48">
      <c r="A48" s="83">
        <f t="shared" si="1"/>
        <v>43</v>
      </c>
      <c r="B48" s="83">
        <v>276.8</v>
      </c>
    </row>
    <row r="49">
      <c r="A49" s="83">
        <f t="shared" si="1"/>
        <v>44</v>
      </c>
      <c r="B49" s="83">
        <v>282.1</v>
      </c>
    </row>
    <row r="50">
      <c r="A50" s="83">
        <f t="shared" si="1"/>
        <v>45</v>
      </c>
      <c r="B50" s="83">
        <v>287.3</v>
      </c>
    </row>
    <row r="51">
      <c r="A51" s="83">
        <f t="shared" si="1"/>
        <v>46</v>
      </c>
      <c r="B51" s="83">
        <v>292.6</v>
      </c>
    </row>
    <row r="52">
      <c r="A52" s="83">
        <f t="shared" si="1"/>
        <v>47</v>
      </c>
      <c r="B52" s="83">
        <v>297.8</v>
      </c>
    </row>
    <row r="53">
      <c r="A53" s="83">
        <f t="shared" si="1"/>
        <v>48</v>
      </c>
      <c r="B53" s="83">
        <v>302.9</v>
      </c>
    </row>
    <row r="54">
      <c r="A54" s="83">
        <f t="shared" si="1"/>
        <v>49</v>
      </c>
      <c r="B54" s="83">
        <v>308.1</v>
      </c>
    </row>
    <row r="55">
      <c r="A55" s="83">
        <f t="shared" si="1"/>
        <v>50</v>
      </c>
      <c r="B55" s="83">
        <v>313.3</v>
      </c>
    </row>
    <row r="56">
      <c r="A56" s="83">
        <f t="shared" si="1"/>
        <v>51</v>
      </c>
      <c r="B56" s="83">
        <v>318.4</v>
      </c>
    </row>
    <row r="57">
      <c r="A57" s="83">
        <f t="shared" si="1"/>
        <v>52</v>
      </c>
      <c r="B57" s="83">
        <v>323.5</v>
      </c>
    </row>
    <row r="58">
      <c r="A58" s="83">
        <f t="shared" si="1"/>
        <v>53</v>
      </c>
      <c r="B58" s="83">
        <v>328.6</v>
      </c>
    </row>
    <row r="59">
      <c r="A59" s="83">
        <f t="shared" si="1"/>
        <v>54</v>
      </c>
      <c r="B59" s="83">
        <v>333.7</v>
      </c>
    </row>
    <row r="60">
      <c r="A60" s="83">
        <f t="shared" si="1"/>
        <v>55</v>
      </c>
      <c r="B60" s="83">
        <v>338.7</v>
      </c>
    </row>
    <row r="61">
      <c r="A61" s="83">
        <f t="shared" si="1"/>
        <v>56</v>
      </c>
      <c r="B61" s="83">
        <v>343.8</v>
      </c>
    </row>
    <row r="62">
      <c r="A62" s="83">
        <f t="shared" si="1"/>
        <v>57</v>
      </c>
      <c r="B62" s="83">
        <v>348.8</v>
      </c>
    </row>
    <row r="63">
      <c r="A63" s="83">
        <f t="shared" si="1"/>
        <v>58</v>
      </c>
      <c r="B63" s="83">
        <v>353.8</v>
      </c>
    </row>
    <row r="64">
      <c r="A64" s="83">
        <f t="shared" si="1"/>
        <v>59</v>
      </c>
      <c r="B64" s="83">
        <v>358.8</v>
      </c>
    </row>
    <row r="65">
      <c r="A65" s="83">
        <f t="shared" si="1"/>
        <v>60</v>
      </c>
      <c r="B65" s="83">
        <v>363.8</v>
      </c>
    </row>
    <row r="66">
      <c r="A66" s="83">
        <f t="shared" si="1"/>
        <v>61</v>
      </c>
      <c r="B66" s="83">
        <v>368.7</v>
      </c>
    </row>
    <row r="70">
      <c r="A70" s="83" t="s">
        <v>341</v>
      </c>
    </row>
    <row r="71">
      <c r="A71" s="83" t="s">
        <v>66</v>
      </c>
      <c r="B71" s="83" t="s">
        <v>342</v>
      </c>
      <c r="F71" s="74">
        <f>C75/233</f>
        <v>0.2721030043</v>
      </c>
      <c r="G71" s="83" t="s">
        <v>338</v>
      </c>
    </row>
    <row r="73">
      <c r="C73" s="83" t="s">
        <v>343</v>
      </c>
    </row>
    <row r="74">
      <c r="B74" s="83" t="s">
        <v>334</v>
      </c>
      <c r="C74" s="83">
        <v>0.0</v>
      </c>
      <c r="D74" s="83">
        <v>10.0</v>
      </c>
      <c r="E74" s="83">
        <v>20.0</v>
      </c>
      <c r="F74" s="83">
        <v>30.0</v>
      </c>
      <c r="G74" s="83">
        <v>40.0</v>
      </c>
      <c r="H74" s="83">
        <v>50.0</v>
      </c>
    </row>
    <row r="75">
      <c r="B75" s="83">
        <v>17.0</v>
      </c>
      <c r="C75" s="107">
        <v>63.4</v>
      </c>
      <c r="D75" s="83">
        <v>103.2</v>
      </c>
      <c r="E75" s="83">
        <v>143.7</v>
      </c>
      <c r="F75" s="83">
        <v>184.8</v>
      </c>
      <c r="G75" s="83">
        <v>226.4</v>
      </c>
      <c r="H75" s="83">
        <v>268.4</v>
      </c>
    </row>
    <row r="76">
      <c r="B76" s="83">
        <v>1.0</v>
      </c>
      <c r="C76" s="83">
        <v>3.3</v>
      </c>
      <c r="D76" s="83">
        <v>40.1</v>
      </c>
      <c r="E76" s="83">
        <v>79.2</v>
      </c>
      <c r="F76" s="83">
        <v>119.3</v>
      </c>
      <c r="G76" s="83">
        <v>160.1</v>
      </c>
      <c r="H76" s="83">
        <v>201.4</v>
      </c>
    </row>
    <row r="77">
      <c r="B77" s="83">
        <v>2.0</v>
      </c>
      <c r="C77" s="83">
        <v>6.8</v>
      </c>
      <c r="D77" s="83">
        <v>44.0</v>
      </c>
      <c r="E77" s="83">
        <v>83.2</v>
      </c>
      <c r="F77" s="83">
        <v>123.3</v>
      </c>
      <c r="G77" s="83">
        <v>164.2</v>
      </c>
      <c r="H77" s="83">
        <v>205.6</v>
      </c>
    </row>
    <row r="78">
      <c r="B78" s="83">
        <v>3.0</v>
      </c>
      <c r="C78" s="83">
        <v>10.3</v>
      </c>
      <c r="D78" s="83">
        <v>47.8</v>
      </c>
      <c r="E78" s="83">
        <v>87.1</v>
      </c>
      <c r="F78" s="83">
        <v>127.4</v>
      </c>
      <c r="G78" s="83">
        <v>168.3</v>
      </c>
      <c r="H78" s="83">
        <v>209.7</v>
      </c>
    </row>
    <row r="79">
      <c r="B79" s="83">
        <v>4.0</v>
      </c>
      <c r="C79" s="83">
        <v>13.9</v>
      </c>
      <c r="D79" s="83">
        <v>51.7</v>
      </c>
      <c r="E79" s="83">
        <v>91.1</v>
      </c>
      <c r="F79" s="83">
        <v>131.5</v>
      </c>
      <c r="G79" s="83">
        <v>172.4</v>
      </c>
      <c r="H79" s="83">
        <v>213.9</v>
      </c>
    </row>
    <row r="80">
      <c r="B80" s="83">
        <v>5.0</v>
      </c>
      <c r="C80" s="83">
        <v>17.6</v>
      </c>
      <c r="D80" s="83">
        <v>55.6</v>
      </c>
      <c r="E80" s="83">
        <v>95.1</v>
      </c>
      <c r="F80" s="83">
        <v>135.5</v>
      </c>
      <c r="G80" s="83">
        <v>176.6</v>
      </c>
      <c r="H80" s="83">
        <v>218.1</v>
      </c>
    </row>
    <row r="81">
      <c r="B81" s="83">
        <v>6.0</v>
      </c>
      <c r="C81" s="83">
        <v>21.3</v>
      </c>
      <c r="D81" s="83">
        <v>59.5</v>
      </c>
      <c r="E81" s="83">
        <v>99.1</v>
      </c>
      <c r="F81" s="83">
        <v>139.6</v>
      </c>
      <c r="G81" s="83">
        <v>180.7</v>
      </c>
      <c r="H81" s="83">
        <v>222.3</v>
      </c>
    </row>
    <row r="82">
      <c r="B82" s="83">
        <v>7.0</v>
      </c>
      <c r="C82" s="83">
        <v>25.0</v>
      </c>
      <c r="D82" s="107">
        <v>63.4</v>
      </c>
      <c r="E82" s="83">
        <v>103.2</v>
      </c>
      <c r="F82" s="83">
        <v>143.7</v>
      </c>
      <c r="G82" s="83">
        <v>184.8</v>
      </c>
      <c r="H82" s="83">
        <v>226.4</v>
      </c>
    </row>
    <row r="83">
      <c r="B83" s="83">
        <v>8.0</v>
      </c>
      <c r="C83" s="83">
        <v>28.7</v>
      </c>
      <c r="D83" s="83">
        <v>67.4</v>
      </c>
      <c r="E83" s="83">
        <v>107.2</v>
      </c>
      <c r="F83" s="83">
        <v>147.8</v>
      </c>
      <c r="G83" s="83">
        <v>189.0</v>
      </c>
      <c r="H83" s="83">
        <v>230.6</v>
      </c>
    </row>
    <row r="84">
      <c r="B84" s="83">
        <v>9.0</v>
      </c>
      <c r="C84" s="83">
        <v>32.5</v>
      </c>
      <c r="D84" s="83">
        <v>71.3</v>
      </c>
      <c r="E84" s="83">
        <v>111.2</v>
      </c>
      <c r="F84" s="83">
        <v>151.9</v>
      </c>
      <c r="G84" s="83">
        <v>193.1</v>
      </c>
      <c r="H84" s="83">
        <v>234.8</v>
      </c>
    </row>
    <row r="85">
      <c r="B85" s="83">
        <v>10.0</v>
      </c>
      <c r="C85" s="83">
        <v>36.3</v>
      </c>
      <c r="D85" s="83">
        <v>75.2</v>
      </c>
      <c r="E85" s="83">
        <v>115.2</v>
      </c>
      <c r="F85" s="83">
        <v>156.0</v>
      </c>
      <c r="G85" s="83">
        <v>197.3</v>
      </c>
      <c r="H85" s="83">
        <v>239.0</v>
      </c>
    </row>
    <row r="87">
      <c r="A87" s="83" t="s">
        <v>72</v>
      </c>
      <c r="B87" s="83" t="s">
        <v>344</v>
      </c>
      <c r="F87" s="74">
        <f>C91/119</f>
        <v>0.2907563025</v>
      </c>
      <c r="G87" s="83" t="s">
        <v>338</v>
      </c>
    </row>
    <row r="89">
      <c r="C89" s="83" t="s">
        <v>343</v>
      </c>
    </row>
    <row r="90">
      <c r="B90" s="83" t="s">
        <v>334</v>
      </c>
      <c r="C90" s="83">
        <v>0.0</v>
      </c>
      <c r="D90" s="83">
        <v>10.0</v>
      </c>
      <c r="E90" s="83">
        <v>20.0</v>
      </c>
      <c r="F90" s="83">
        <v>30.0</v>
      </c>
      <c r="G90" s="83">
        <v>40.0</v>
      </c>
      <c r="H90" s="83">
        <v>50.0</v>
      </c>
    </row>
    <row r="91">
      <c r="B91" s="83">
        <v>17.0</v>
      </c>
      <c r="C91" s="107">
        <v>34.6</v>
      </c>
      <c r="D91" s="83">
        <v>55.4</v>
      </c>
      <c r="E91" s="83">
        <v>76.3</v>
      </c>
      <c r="F91" s="83">
        <v>97.3</v>
      </c>
      <c r="G91" s="83">
        <v>118.3</v>
      </c>
      <c r="H91" s="83">
        <v>139.5</v>
      </c>
    </row>
    <row r="92">
      <c r="B92" s="83">
        <v>1.0</v>
      </c>
      <c r="C92" s="83">
        <v>2.0</v>
      </c>
      <c r="D92" s="83">
        <v>22.2</v>
      </c>
      <c r="E92" s="83">
        <v>42.9</v>
      </c>
      <c r="F92" s="83">
        <v>63.7</v>
      </c>
      <c r="G92" s="83">
        <v>84.6</v>
      </c>
      <c r="H92" s="83">
        <v>105.7</v>
      </c>
    </row>
    <row r="93">
      <c r="B93" s="83">
        <v>2.0</v>
      </c>
      <c r="C93" s="83">
        <v>4.0</v>
      </c>
      <c r="D93" s="83">
        <v>24.3</v>
      </c>
      <c r="E93" s="83">
        <v>45.0</v>
      </c>
      <c r="F93" s="83">
        <v>65.8</v>
      </c>
      <c r="G93" s="83">
        <v>86.7</v>
      </c>
      <c r="H93" s="83">
        <v>107.8</v>
      </c>
    </row>
    <row r="94">
      <c r="B94" s="83">
        <v>3.0</v>
      </c>
      <c r="C94" s="83">
        <v>6.0</v>
      </c>
      <c r="D94" s="83">
        <v>26.4</v>
      </c>
      <c r="E94" s="83">
        <v>47.0</v>
      </c>
      <c r="F94" s="83">
        <v>67.9</v>
      </c>
      <c r="G94" s="83">
        <v>88.8</v>
      </c>
      <c r="H94" s="83">
        <v>109.9</v>
      </c>
    </row>
    <row r="95">
      <c r="B95" s="83">
        <v>4.0</v>
      </c>
      <c r="C95" s="83">
        <v>8.0</v>
      </c>
      <c r="D95" s="83">
        <v>28.4</v>
      </c>
      <c r="E95" s="83">
        <v>49.1</v>
      </c>
      <c r="F95" s="83">
        <v>70.0</v>
      </c>
      <c r="G95" s="83">
        <v>90.9</v>
      </c>
      <c r="H95" s="83">
        <v>112.0</v>
      </c>
    </row>
    <row r="96">
      <c r="B96" s="83">
        <v>5.0</v>
      </c>
      <c r="C96" s="83">
        <v>10.0</v>
      </c>
      <c r="D96" s="83">
        <v>30.5</v>
      </c>
      <c r="E96" s="83">
        <v>51.2</v>
      </c>
      <c r="F96" s="83">
        <v>72.1</v>
      </c>
      <c r="G96" s="83">
        <v>93.0</v>
      </c>
      <c r="H96" s="83">
        <v>114.1</v>
      </c>
    </row>
    <row r="97">
      <c r="B97" s="83">
        <v>6.0</v>
      </c>
      <c r="C97" s="83">
        <v>12.0</v>
      </c>
      <c r="D97" s="83">
        <v>32.5</v>
      </c>
      <c r="E97" s="83">
        <v>53.3</v>
      </c>
      <c r="F97" s="83">
        <v>74.2</v>
      </c>
      <c r="G97" s="83">
        <v>95.1</v>
      </c>
      <c r="H97" s="83">
        <v>116.2</v>
      </c>
    </row>
    <row r="98">
      <c r="B98" s="83">
        <v>7.0</v>
      </c>
      <c r="C98" s="83">
        <v>14.1</v>
      </c>
      <c r="D98" s="107">
        <v>34.6</v>
      </c>
      <c r="E98" s="83">
        <v>55.4</v>
      </c>
      <c r="F98" s="83">
        <v>76.3</v>
      </c>
      <c r="G98" s="83">
        <v>97.3</v>
      </c>
      <c r="H98" s="83">
        <v>118.3</v>
      </c>
    </row>
    <row r="99">
      <c r="B99" s="83">
        <v>8.0</v>
      </c>
      <c r="C99" s="83">
        <v>16.1</v>
      </c>
      <c r="D99" s="83">
        <v>36.7</v>
      </c>
      <c r="E99" s="83">
        <v>57.4</v>
      </c>
      <c r="F99" s="83">
        <v>78.4</v>
      </c>
      <c r="G99" s="83">
        <v>99.4</v>
      </c>
      <c r="H99" s="83">
        <v>120.4</v>
      </c>
    </row>
    <row r="100">
      <c r="B100" s="83">
        <v>9.0</v>
      </c>
      <c r="C100" s="83">
        <v>18.1</v>
      </c>
      <c r="D100" s="83">
        <v>38.7</v>
      </c>
      <c r="E100" s="83">
        <v>59.5</v>
      </c>
      <c r="F100" s="83">
        <v>80.4</v>
      </c>
      <c r="G100" s="83">
        <v>101.5</v>
      </c>
      <c r="H100" s="83">
        <v>122.5</v>
      </c>
    </row>
    <row r="101">
      <c r="B101" s="83">
        <v>10.0</v>
      </c>
      <c r="C101" s="83">
        <v>20.2</v>
      </c>
      <c r="D101" s="83">
        <v>40.8</v>
      </c>
      <c r="E101" s="83">
        <v>61.6</v>
      </c>
      <c r="F101" s="83">
        <v>82.5</v>
      </c>
      <c r="G101" s="83">
        <v>103.6</v>
      </c>
      <c r="H101" s="83">
        <v>124.7</v>
      </c>
    </row>
    <row r="103">
      <c r="A103" s="83" t="s">
        <v>75</v>
      </c>
    </row>
    <row r="104">
      <c r="A104" s="83" t="s">
        <v>345</v>
      </c>
    </row>
    <row r="105">
      <c r="C105" s="83" t="s">
        <v>343</v>
      </c>
    </row>
    <row r="106">
      <c r="B106" s="83" t="s">
        <v>334</v>
      </c>
      <c r="C106" s="83">
        <v>0.0</v>
      </c>
      <c r="D106" s="83">
        <v>10.0</v>
      </c>
      <c r="E106" s="83">
        <v>20.0</v>
      </c>
      <c r="F106" s="83">
        <v>30.0</v>
      </c>
      <c r="G106" s="83">
        <v>40.0</v>
      </c>
      <c r="H106" s="83">
        <v>50.0</v>
      </c>
    </row>
    <row r="107">
      <c r="B107" s="83">
        <v>33.0</v>
      </c>
      <c r="C107" s="102">
        <v>314.0</v>
      </c>
      <c r="D107" s="83">
        <v>434.5</v>
      </c>
      <c r="E107" s="83">
        <v>561.7</v>
      </c>
      <c r="F107" s="83">
        <v>694.4</v>
      </c>
      <c r="G107" s="83">
        <v>832.1</v>
      </c>
      <c r="H107" s="83">
        <v>974.2</v>
      </c>
    </row>
    <row r="108">
      <c r="B108" s="83">
        <v>1.0</v>
      </c>
      <c r="C108" s="83">
        <v>4.5</v>
      </c>
      <c r="D108" s="83">
        <v>81.7</v>
      </c>
      <c r="E108" s="83">
        <v>180.4</v>
      </c>
      <c r="F108" s="83">
        <v>290.8</v>
      </c>
      <c r="G108" s="83">
        <v>409.9</v>
      </c>
      <c r="H108" s="83">
        <v>535.8</v>
      </c>
    </row>
    <row r="109">
      <c r="B109" s="83">
        <v>2.0</v>
      </c>
      <c r="C109" s="83">
        <v>10.3</v>
      </c>
      <c r="D109" s="83">
        <v>90.9</v>
      </c>
      <c r="E109" s="83">
        <v>191.0</v>
      </c>
      <c r="F109" s="83">
        <v>302.4</v>
      </c>
      <c r="G109" s="83">
        <v>422.2</v>
      </c>
      <c r="H109" s="83">
        <v>548.7</v>
      </c>
    </row>
    <row r="110">
      <c r="B110" s="83">
        <v>3.0</v>
      </c>
      <c r="C110" s="83">
        <v>16.8</v>
      </c>
      <c r="D110" s="83">
        <v>100.3</v>
      </c>
      <c r="E110" s="83">
        <v>201.7</v>
      </c>
      <c r="F110" s="102">
        <v>314.0</v>
      </c>
      <c r="G110" s="83">
        <v>434.5</v>
      </c>
      <c r="H110" s="83">
        <v>561.7</v>
      </c>
    </row>
    <row r="111">
      <c r="B111" s="83">
        <v>4.0</v>
      </c>
      <c r="C111" s="83">
        <v>23.8</v>
      </c>
      <c r="D111" s="83">
        <v>109.8</v>
      </c>
      <c r="E111" s="83">
        <v>212.5</v>
      </c>
      <c r="F111" s="83">
        <v>325.7</v>
      </c>
      <c r="G111" s="83">
        <v>447.0</v>
      </c>
      <c r="H111" s="83">
        <v>574.7</v>
      </c>
    </row>
    <row r="112">
      <c r="B112" s="83">
        <v>5.0</v>
      </c>
      <c r="C112" s="83">
        <v>31.2</v>
      </c>
      <c r="D112" s="83">
        <v>119.5</v>
      </c>
      <c r="E112" s="83">
        <v>223.4</v>
      </c>
      <c r="F112" s="83">
        <v>337.5</v>
      </c>
      <c r="G112" s="83">
        <v>459.5</v>
      </c>
      <c r="H112" s="83">
        <v>587.8</v>
      </c>
    </row>
    <row r="113">
      <c r="B113" s="83">
        <v>6.0</v>
      </c>
      <c r="C113" s="83">
        <v>39.0</v>
      </c>
      <c r="D113" s="83">
        <v>129.3</v>
      </c>
      <c r="E113" s="83">
        <v>234.4</v>
      </c>
      <c r="F113" s="83">
        <v>349.4</v>
      </c>
      <c r="G113" s="83">
        <v>472.0</v>
      </c>
      <c r="H113" s="83">
        <v>600.9</v>
      </c>
    </row>
    <row r="114">
      <c r="B114" s="83">
        <v>7.0</v>
      </c>
      <c r="C114" s="83">
        <v>47.0</v>
      </c>
      <c r="D114" s="83">
        <v>139.3</v>
      </c>
      <c r="E114" s="83">
        <v>245.5</v>
      </c>
      <c r="F114" s="83">
        <v>361.3</v>
      </c>
      <c r="G114" s="83">
        <v>484.7</v>
      </c>
      <c r="H114" s="83">
        <v>614.1</v>
      </c>
    </row>
    <row r="115">
      <c r="B115" s="83">
        <v>8.0</v>
      </c>
      <c r="C115" s="83">
        <v>55.4</v>
      </c>
      <c r="D115" s="83">
        <v>149.4</v>
      </c>
      <c r="E115" s="83">
        <v>256.7</v>
      </c>
      <c r="F115" s="83">
        <v>373.4</v>
      </c>
      <c r="G115" s="83">
        <v>497.3</v>
      </c>
      <c r="H115" s="83">
        <v>627.4</v>
      </c>
    </row>
    <row r="116">
      <c r="B116" s="83">
        <v>9.0</v>
      </c>
      <c r="C116" s="83">
        <v>63.9</v>
      </c>
      <c r="D116" s="83">
        <v>159.6</v>
      </c>
      <c r="E116" s="83">
        <v>268.0</v>
      </c>
      <c r="F116" s="83">
        <v>385.5</v>
      </c>
      <c r="G116" s="83">
        <v>510.1</v>
      </c>
      <c r="H116" s="83">
        <v>640.7</v>
      </c>
    </row>
    <row r="117">
      <c r="B117" s="83">
        <v>10.0</v>
      </c>
      <c r="C117" s="83">
        <v>72.7</v>
      </c>
      <c r="D117" s="83">
        <v>169.9</v>
      </c>
      <c r="E117" s="83">
        <v>279.4</v>
      </c>
      <c r="F117" s="83">
        <v>397.6</v>
      </c>
      <c r="G117" s="83">
        <v>522.9</v>
      </c>
      <c r="H117" s="83">
        <v>654.1</v>
      </c>
    </row>
    <row r="121">
      <c r="A121" s="83" t="s">
        <v>75</v>
      </c>
    </row>
    <row r="122">
      <c r="A122" s="83" t="s">
        <v>89</v>
      </c>
      <c r="B122" s="83" t="s">
        <v>346</v>
      </c>
    </row>
    <row r="123">
      <c r="C123" s="83" t="s">
        <v>343</v>
      </c>
    </row>
    <row r="124">
      <c r="B124" s="83" t="s">
        <v>334</v>
      </c>
      <c r="C124" s="83">
        <v>0.0</v>
      </c>
      <c r="D124" s="83">
        <v>10.0</v>
      </c>
      <c r="E124" s="83">
        <v>20.0</v>
      </c>
      <c r="F124" s="83">
        <v>30.0</v>
      </c>
      <c r="G124" s="83">
        <v>40.0</v>
      </c>
      <c r="H124" s="83">
        <v>50.0</v>
      </c>
    </row>
    <row r="125">
      <c r="B125" s="83">
        <v>33.0</v>
      </c>
      <c r="C125" s="102">
        <v>273.6</v>
      </c>
      <c r="D125" s="83">
        <v>381.9</v>
      </c>
      <c r="E125" s="83">
        <v>497.0</v>
      </c>
      <c r="F125" s="83">
        <v>618.0</v>
      </c>
      <c r="G125" s="83">
        <v>744.2</v>
      </c>
      <c r="H125" s="83">
        <v>875.0</v>
      </c>
    </row>
    <row r="126">
      <c r="B126" s="83">
        <v>1.0</v>
      </c>
      <c r="C126" s="83">
        <v>3.5</v>
      </c>
      <c r="D126" s="83">
        <v>68.7</v>
      </c>
      <c r="E126" s="83">
        <v>154.9</v>
      </c>
      <c r="F126" s="83">
        <v>252.9</v>
      </c>
      <c r="G126" s="83">
        <v>359.7</v>
      </c>
      <c r="H126" s="83">
        <v>473.5</v>
      </c>
    </row>
    <row r="127">
      <c r="B127" s="83">
        <v>2.0</v>
      </c>
      <c r="C127" s="83">
        <v>8.2</v>
      </c>
      <c r="D127" s="83">
        <v>76.6</v>
      </c>
      <c r="E127" s="83">
        <v>164.2</v>
      </c>
      <c r="F127" s="83">
        <v>263.2</v>
      </c>
      <c r="G127" s="83">
        <v>370.7</v>
      </c>
      <c r="H127" s="83">
        <v>485.2</v>
      </c>
    </row>
    <row r="128">
      <c r="B128" s="83">
        <v>3.0</v>
      </c>
      <c r="C128" s="83">
        <v>13.6</v>
      </c>
      <c r="D128" s="83">
        <v>84.7</v>
      </c>
      <c r="E128" s="83">
        <v>173.7</v>
      </c>
      <c r="F128" s="102">
        <v>273.6</v>
      </c>
      <c r="G128" s="83">
        <v>381.9</v>
      </c>
      <c r="H128" s="83">
        <v>497.0</v>
      </c>
    </row>
    <row r="129">
      <c r="B129" s="83">
        <v>4.0</v>
      </c>
      <c r="C129" s="83">
        <v>19.4</v>
      </c>
      <c r="D129" s="83">
        <v>93.0</v>
      </c>
      <c r="E129" s="83">
        <v>183.2</v>
      </c>
      <c r="F129" s="83">
        <v>284.1</v>
      </c>
      <c r="G129" s="83">
        <v>393.1</v>
      </c>
      <c r="H129" s="83">
        <v>508.9</v>
      </c>
    </row>
    <row r="130">
      <c r="B130" s="83">
        <v>5.0</v>
      </c>
      <c r="C130" s="83">
        <v>25.6</v>
      </c>
      <c r="D130" s="83">
        <v>101.4</v>
      </c>
      <c r="E130" s="83">
        <v>192.9</v>
      </c>
      <c r="F130" s="83">
        <v>294.7</v>
      </c>
      <c r="G130" s="83">
        <v>404.4</v>
      </c>
      <c r="H130" s="83">
        <v>520.8</v>
      </c>
    </row>
    <row r="131">
      <c r="B131" s="83">
        <v>6.0</v>
      </c>
      <c r="C131" s="83">
        <v>32.1</v>
      </c>
      <c r="D131" s="83">
        <v>110.0</v>
      </c>
      <c r="E131" s="83">
        <v>202.6</v>
      </c>
      <c r="F131" s="83">
        <v>305.3</v>
      </c>
      <c r="G131" s="83">
        <v>415.8</v>
      </c>
      <c r="H131" s="83">
        <v>532.8</v>
      </c>
    </row>
    <row r="132">
      <c r="B132" s="83">
        <v>7.0</v>
      </c>
      <c r="C132" s="83">
        <v>39.0</v>
      </c>
      <c r="D132" s="83">
        <v>118.7</v>
      </c>
      <c r="E132" s="83">
        <v>212.5</v>
      </c>
      <c r="F132" s="83">
        <v>316.0</v>
      </c>
      <c r="G132" s="83">
        <v>427.2</v>
      </c>
      <c r="H132" s="83">
        <v>544.8</v>
      </c>
    </row>
    <row r="133">
      <c r="B133" s="83">
        <v>8.0</v>
      </c>
      <c r="C133" s="83">
        <v>46.1</v>
      </c>
      <c r="D133" s="83">
        <v>127.6</v>
      </c>
      <c r="E133" s="83">
        <v>222.0</v>
      </c>
      <c r="F133" s="83">
        <v>326.8</v>
      </c>
      <c r="G133" s="83">
        <v>438.7</v>
      </c>
      <c r="H133" s="83">
        <v>556.9</v>
      </c>
    </row>
    <row r="134">
      <c r="B134" s="83">
        <v>9.0</v>
      </c>
      <c r="C134" s="83">
        <v>53.4</v>
      </c>
      <c r="D134" s="83">
        <v>136.6</v>
      </c>
      <c r="E134" s="83">
        <v>232.5</v>
      </c>
      <c r="F134" s="83">
        <v>337.7</v>
      </c>
      <c r="G134" s="83">
        <v>450.2</v>
      </c>
      <c r="H134" s="83">
        <v>569.0</v>
      </c>
    </row>
    <row r="135">
      <c r="B135" s="83">
        <v>10.0</v>
      </c>
      <c r="C135" s="83">
        <v>61.0</v>
      </c>
      <c r="D135" s="83">
        <v>145.7</v>
      </c>
      <c r="E135" s="83">
        <v>242.7</v>
      </c>
      <c r="F135" s="83">
        <v>348.6</v>
      </c>
      <c r="G135" s="83">
        <v>461.8</v>
      </c>
      <c r="H135" s="83">
        <v>581.2</v>
      </c>
    </row>
    <row r="138">
      <c r="A138" s="83" t="s">
        <v>75</v>
      </c>
    </row>
    <row r="139">
      <c r="A139" s="83" t="s">
        <v>347</v>
      </c>
    </row>
    <row r="140">
      <c r="C140" s="83" t="s">
        <v>343</v>
      </c>
    </row>
    <row r="141">
      <c r="B141" s="83" t="s">
        <v>334</v>
      </c>
      <c r="C141" s="83">
        <v>0.0</v>
      </c>
      <c r="D141" s="83">
        <v>10.0</v>
      </c>
      <c r="E141" s="83">
        <v>20.0</v>
      </c>
      <c r="F141" s="83">
        <v>30.0</v>
      </c>
      <c r="G141" s="83">
        <v>40.0</v>
      </c>
      <c r="H141" s="83">
        <v>50.0</v>
      </c>
    </row>
    <row r="142">
      <c r="B142" s="83">
        <v>33.0</v>
      </c>
      <c r="C142" s="102">
        <v>494.6</v>
      </c>
      <c r="D142" s="83">
        <v>621.6</v>
      </c>
      <c r="E142" s="83">
        <v>744.5</v>
      </c>
      <c r="F142" s="83">
        <v>864.4</v>
      </c>
      <c r="G142" s="83">
        <v>981.7</v>
      </c>
      <c r="H142" s="83">
        <v>1096.8</v>
      </c>
    </row>
    <row r="143">
      <c r="B143" s="83">
        <v>1.0</v>
      </c>
      <c r="C143" s="83">
        <v>24.4</v>
      </c>
      <c r="D143" s="83">
        <v>191.7</v>
      </c>
      <c r="E143" s="83">
        <v>334.8</v>
      </c>
      <c r="F143" s="83">
        <v>468.6</v>
      </c>
      <c r="G143" s="83">
        <v>596.5</v>
      </c>
      <c r="H143" s="83">
        <v>720.2</v>
      </c>
    </row>
    <row r="144">
      <c r="B144" s="83">
        <v>2.0</v>
      </c>
      <c r="C144" s="83">
        <v>44.2</v>
      </c>
      <c r="D144" s="83">
        <v>206.6</v>
      </c>
      <c r="E144" s="83">
        <v>348.5</v>
      </c>
      <c r="F144" s="83">
        <v>481.6</v>
      </c>
      <c r="G144" s="83">
        <v>609.1</v>
      </c>
      <c r="H144" s="83">
        <v>732.4</v>
      </c>
    </row>
    <row r="145">
      <c r="B145" s="83">
        <v>3.0</v>
      </c>
      <c r="C145" s="83">
        <v>62.6</v>
      </c>
      <c r="D145" s="83">
        <v>221.4</v>
      </c>
      <c r="E145" s="83">
        <v>362.2</v>
      </c>
      <c r="F145" s="102">
        <v>494.6</v>
      </c>
      <c r="G145" s="83">
        <v>621.6</v>
      </c>
      <c r="H145" s="83">
        <v>744.5</v>
      </c>
    </row>
    <row r="146">
      <c r="B146" s="83">
        <v>4.0</v>
      </c>
      <c r="C146" s="83">
        <v>80.2</v>
      </c>
      <c r="D146" s="83">
        <v>236.0</v>
      </c>
      <c r="E146" s="83">
        <v>375.7</v>
      </c>
      <c r="F146" s="83">
        <v>507.5</v>
      </c>
      <c r="G146" s="83">
        <v>634.0</v>
      </c>
      <c r="H146" s="83">
        <v>756.7</v>
      </c>
    </row>
    <row r="147">
      <c r="B147" s="83">
        <v>5.0</v>
      </c>
      <c r="C147" s="83">
        <v>97.2</v>
      </c>
      <c r="D147" s="83">
        <v>250.5</v>
      </c>
      <c r="E147" s="83">
        <v>389.2</v>
      </c>
      <c r="F147" s="83">
        <v>520.4</v>
      </c>
      <c r="G147" s="83">
        <v>646.4</v>
      </c>
      <c r="H147" s="83">
        <v>768.7</v>
      </c>
    </row>
    <row r="148">
      <c r="B148" s="83">
        <v>6.0</v>
      </c>
      <c r="C148" s="83">
        <v>113.7</v>
      </c>
      <c r="D148" s="83">
        <v>264.8</v>
      </c>
      <c r="E148" s="83">
        <v>402.6</v>
      </c>
      <c r="F148" s="83">
        <v>533.2</v>
      </c>
      <c r="G148" s="83">
        <v>658.8</v>
      </c>
      <c r="H148" s="83">
        <v>780.8</v>
      </c>
    </row>
    <row r="149">
      <c r="B149" s="83">
        <v>7.0</v>
      </c>
      <c r="C149" s="83">
        <v>129.9</v>
      </c>
      <c r="D149" s="83">
        <v>279.0</v>
      </c>
      <c r="E149" s="83">
        <v>415.9</v>
      </c>
      <c r="F149" s="83">
        <v>545.9</v>
      </c>
      <c r="G149" s="83">
        <v>671.2</v>
      </c>
      <c r="H149" s="83">
        <v>792.8</v>
      </c>
    </row>
    <row r="150">
      <c r="B150" s="83">
        <v>8.0</v>
      </c>
      <c r="C150" s="83">
        <v>145.7</v>
      </c>
      <c r="D150" s="83">
        <v>293.1</v>
      </c>
      <c r="E150" s="83">
        <v>429.2</v>
      </c>
      <c r="F150" s="83">
        <v>558.6</v>
      </c>
      <c r="G150" s="83">
        <v>683.5</v>
      </c>
      <c r="H150" s="83">
        <v>804.8</v>
      </c>
    </row>
    <row r="151">
      <c r="B151" s="83">
        <v>9.0</v>
      </c>
      <c r="C151" s="83">
        <v>161.2</v>
      </c>
      <c r="D151" s="83">
        <v>307.1</v>
      </c>
      <c r="E151" s="83">
        <v>442.4</v>
      </c>
      <c r="F151" s="83">
        <v>571.3</v>
      </c>
      <c r="G151" s="83">
        <v>695.8</v>
      </c>
      <c r="H151" s="83">
        <v>816.8</v>
      </c>
    </row>
    <row r="152">
      <c r="B152" s="83">
        <v>10.0</v>
      </c>
      <c r="C152" s="83">
        <v>176.6</v>
      </c>
      <c r="D152" s="83">
        <v>321.0</v>
      </c>
      <c r="E152" s="83">
        <v>455.5</v>
      </c>
      <c r="F152" s="83">
        <v>583.9</v>
      </c>
      <c r="G152" s="83">
        <v>708.0</v>
      </c>
      <c r="H152" s="83">
        <v>828.7</v>
      </c>
    </row>
    <row r="154">
      <c r="A154" s="83" t="s">
        <v>94</v>
      </c>
      <c r="B154" s="83" t="s">
        <v>348</v>
      </c>
      <c r="E154" s="74">
        <f>C157/4630</f>
        <v>0.09419006479</v>
      </c>
      <c r="F154" s="83" t="s">
        <v>338</v>
      </c>
    </row>
    <row r="155">
      <c r="C155" s="83" t="s">
        <v>343</v>
      </c>
    </row>
    <row r="156">
      <c r="B156" s="83" t="s">
        <v>334</v>
      </c>
      <c r="C156" s="83">
        <v>0.0</v>
      </c>
      <c r="D156" s="83">
        <v>10.0</v>
      </c>
      <c r="E156" s="83">
        <v>20.0</v>
      </c>
      <c r="F156" s="83">
        <v>30.0</v>
      </c>
      <c r="G156" s="83">
        <v>40.0</v>
      </c>
      <c r="H156" s="83">
        <v>50.0</v>
      </c>
    </row>
    <row r="157">
      <c r="B157" s="83">
        <v>7.0</v>
      </c>
      <c r="C157" s="102">
        <v>436.1</v>
      </c>
      <c r="D157" s="83">
        <v>1387.3</v>
      </c>
      <c r="E157" s="83">
        <v>2539.3</v>
      </c>
      <c r="F157" s="83">
        <v>3833.9</v>
      </c>
      <c r="G157" s="83">
        <v>5242.5</v>
      </c>
      <c r="H157" s="83">
        <v>6747.6</v>
      </c>
    </row>
    <row r="160">
      <c r="B160" s="83" t="s">
        <v>349</v>
      </c>
    </row>
    <row r="162">
      <c r="C162" s="83" t="s">
        <v>343</v>
      </c>
    </row>
    <row r="163">
      <c r="B163" s="83" t="s">
        <v>334</v>
      </c>
      <c r="C163" s="83">
        <v>0.0</v>
      </c>
      <c r="D163" s="83">
        <v>10.0</v>
      </c>
      <c r="E163" s="83">
        <v>20.0</v>
      </c>
      <c r="F163" s="83">
        <v>30.0</v>
      </c>
      <c r="G163" s="83">
        <v>40.0</v>
      </c>
      <c r="H163" s="83">
        <v>50.0</v>
      </c>
    </row>
    <row r="164">
      <c r="A164" s="83" t="s">
        <v>350</v>
      </c>
      <c r="B164" s="83">
        <v>7.0</v>
      </c>
      <c r="C164" s="102">
        <v>15613.4</v>
      </c>
      <c r="D164" s="83">
        <v>36223.2</v>
      </c>
      <c r="E164" s="83">
        <v>57084.2</v>
      </c>
      <c r="F164" s="83">
        <v>78348.3</v>
      </c>
      <c r="G164" s="83">
        <v>100026.5</v>
      </c>
      <c r="H164" s="83">
        <v>122104.8</v>
      </c>
    </row>
    <row r="165">
      <c r="A165" s="83" t="s">
        <v>351</v>
      </c>
      <c r="B165" s="83">
        <v>7.0</v>
      </c>
      <c r="C165" s="74">
        <f t="shared" ref="C165:H165" si="2">C164/100</f>
        <v>156.134</v>
      </c>
      <c r="D165" s="74">
        <f t="shared" si="2"/>
        <v>362.232</v>
      </c>
      <c r="E165" s="74">
        <f t="shared" si="2"/>
        <v>570.842</v>
      </c>
      <c r="F165" s="74">
        <f t="shared" si="2"/>
        <v>783.483</v>
      </c>
      <c r="G165" s="74">
        <f t="shared" si="2"/>
        <v>1000.265</v>
      </c>
      <c r="H165" s="74">
        <f t="shared" si="2"/>
        <v>1221.048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18.5"/>
    <col customWidth="1" min="4" max="4" width="15.25"/>
    <col customWidth="1" hidden="1" min="5" max="5" width="13.63"/>
    <col customWidth="1" hidden="1" min="6" max="7" width="23.25"/>
    <col customWidth="1" hidden="1" min="8" max="8" width="8.5"/>
    <col customWidth="1" hidden="1" min="9" max="9" width="12.25"/>
    <col customWidth="1" min="10" max="10" width="15.13"/>
    <col customWidth="1" min="11" max="11" width="20.13"/>
    <col customWidth="1" min="12" max="12" width="15.25"/>
    <col customWidth="1" hidden="1" min="13" max="13" width="15.13"/>
    <col customWidth="1" hidden="1" min="14" max="14" width="25.38"/>
    <col customWidth="1" hidden="1" min="15" max="15" width="16.13"/>
    <col customWidth="1" hidden="1" min="16" max="16" width="19.38"/>
    <col customWidth="1" hidden="1" min="17" max="17" width="24.0"/>
    <col customWidth="1" hidden="1" min="18" max="18" width="8.25"/>
    <col customWidth="1" min="19" max="19" width="14.63"/>
    <col customWidth="1" min="20" max="20" width="26.75"/>
    <col customWidth="1" hidden="1" min="21" max="21" width="11.63"/>
    <col customWidth="1" hidden="1" min="22" max="22" width="35.88"/>
    <col customWidth="1" hidden="1" min="23" max="23" width="5.5"/>
    <col hidden="1" min="24" max="32" width="12.63"/>
    <col customWidth="1" min="33" max="33" width="12.38"/>
    <col hidden="1" min="34" max="34" width="12.63"/>
    <col customWidth="1" hidden="1" min="35" max="35" width="43.0"/>
    <col customWidth="1" hidden="1" min="36" max="36" width="69.13"/>
    <col customWidth="1" min="41" max="41" width="25.5"/>
    <col customWidth="1" min="42" max="42" width="8.63"/>
    <col customWidth="1" min="44" max="44" width="9.38"/>
    <col customWidth="1" min="45" max="45" width="6.25"/>
    <col customWidth="1" min="46" max="46" width="9.38"/>
    <col customWidth="1" min="47" max="47" width="6.25"/>
    <col customWidth="1" min="48" max="48" width="9.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355</v>
      </c>
      <c r="AS1" s="110" t="s">
        <v>356</v>
      </c>
      <c r="AT1" s="110" t="s">
        <v>354</v>
      </c>
      <c r="AU1" s="110" t="s">
        <v>357</v>
      </c>
      <c r="AV1" s="110" t="s">
        <v>354</v>
      </c>
      <c r="AW1" s="110" t="s">
        <v>358</v>
      </c>
      <c r="AX1" s="110"/>
    </row>
    <row r="2">
      <c r="A2" s="9" t="s">
        <v>40</v>
      </c>
      <c r="B2" s="10" t="s">
        <v>41</v>
      </c>
      <c r="C2" s="11" t="s">
        <v>42</v>
      </c>
      <c r="D2" s="11" t="s">
        <v>43</v>
      </c>
      <c r="E2" s="11" t="s">
        <v>44</v>
      </c>
      <c r="F2" s="11" t="s">
        <v>45</v>
      </c>
      <c r="G2" s="11" t="s">
        <v>46</v>
      </c>
      <c r="H2" s="11">
        <v>40.03</v>
      </c>
      <c r="I2" s="11">
        <v>-92.188</v>
      </c>
      <c r="J2" s="11" t="s">
        <v>47</v>
      </c>
      <c r="K2" s="12" t="s">
        <v>48</v>
      </c>
      <c r="L2" s="13">
        <v>4.44</v>
      </c>
      <c r="M2" s="14">
        <f t="shared" ref="M2:M12" si="1">CONVERT(L2,"ha","us_acre")</f>
        <v>10.97143505</v>
      </c>
      <c r="N2" s="11" t="s">
        <v>49</v>
      </c>
      <c r="O2" s="1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39" t="s">
        <v>359</v>
      </c>
      <c r="AP2" s="112">
        <v>22.0</v>
      </c>
      <c r="AQ2" s="113">
        <v>8.65</v>
      </c>
      <c r="AR2" s="39"/>
      <c r="AS2" s="39">
        <v>5.0</v>
      </c>
      <c r="AT2" s="114">
        <f> ((1.938*25)/1000)*0.5</f>
        <v>0.024225</v>
      </c>
      <c r="AU2" s="39"/>
      <c r="AV2" s="114"/>
      <c r="AW2" s="112" t="s">
        <v>360</v>
      </c>
      <c r="AX2" s="11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11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39"/>
      <c r="AP3" s="112">
        <v>22.0</v>
      </c>
      <c r="AQ3" s="113">
        <v>2.79</v>
      </c>
      <c r="AR3" s="39"/>
      <c r="AS3" s="39">
        <v>5.0</v>
      </c>
      <c r="AT3" s="114">
        <f> ((1.179*25)/1000)*0.5</f>
        <v>0.0147375</v>
      </c>
      <c r="AU3" s="39"/>
      <c r="AV3" s="114"/>
      <c r="AW3" s="116"/>
      <c r="AX3" s="116"/>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c r="AP4" s="112">
        <v>22.0</v>
      </c>
      <c r="AQ4" s="113">
        <v>4.9</v>
      </c>
      <c r="AR4" s="39"/>
      <c r="AS4" s="39">
        <v>5.0</v>
      </c>
      <c r="AT4" s="114">
        <f> ((0.884*25)/1000)*0.5</f>
        <v>0.01105</v>
      </c>
      <c r="AU4" s="39"/>
      <c r="AV4" s="114"/>
      <c r="AW4" s="116"/>
      <c r="AX4" s="116"/>
    </row>
    <row r="5">
      <c r="A5" s="23"/>
      <c r="B5" s="117"/>
      <c r="C5" s="25"/>
      <c r="D5" s="25"/>
      <c r="E5" s="25"/>
      <c r="F5" s="25"/>
      <c r="G5" s="25"/>
      <c r="H5" s="25"/>
      <c r="I5" s="25"/>
      <c r="J5" s="25"/>
      <c r="K5" s="26"/>
      <c r="L5" s="27"/>
      <c r="M5" s="28">
        <f t="shared" si="1"/>
        <v>0</v>
      </c>
      <c r="N5" s="25"/>
      <c r="O5" s="115"/>
      <c r="Q5" s="29">
        <f t="shared" ref="Q5:Q6" si="5">10000/(15*2.4)</f>
        <v>277.7777778</v>
      </c>
      <c r="S5" s="82"/>
      <c r="T5" s="25"/>
      <c r="W5" s="31"/>
      <c r="X5" s="31"/>
      <c r="Y5" s="31"/>
      <c r="Z5" s="32"/>
      <c r="AA5" s="31"/>
      <c r="AB5" s="31"/>
      <c r="AC5" s="33"/>
      <c r="AD5" s="31"/>
      <c r="AE5" s="31"/>
      <c r="AF5" s="36">
        <f t="shared" ref="AF5:AF6" si="6">233/2.8</f>
        <v>83.21428571</v>
      </c>
      <c r="AG5" s="37"/>
      <c r="AH5" s="37"/>
      <c r="AI5" s="37"/>
      <c r="AJ5" s="38"/>
      <c r="AK5" s="74" t="b">
        <v>0</v>
      </c>
      <c r="AL5" s="118" t="b">
        <v>0</v>
      </c>
      <c r="AM5" s="74" t="b">
        <v>0</v>
      </c>
      <c r="AN5" s="118" t="b">
        <v>0</v>
      </c>
      <c r="AO5" s="39" t="s">
        <v>361</v>
      </c>
      <c r="AP5" s="112">
        <v>22.0</v>
      </c>
      <c r="AQ5" s="119">
        <f>SUM(AQ2:AQ4)</f>
        <v>16.34</v>
      </c>
      <c r="AR5" s="120">
        <f t="shared" ref="AR5:AR19" si="7">AQ5/AP5</f>
        <v>0.7427272727</v>
      </c>
      <c r="AS5" s="22"/>
      <c r="AT5" s="121">
        <f>SUM(AT2:AT4)</f>
        <v>0.0500125</v>
      </c>
      <c r="AU5" s="22"/>
      <c r="AV5" s="119"/>
      <c r="AW5" s="116"/>
      <c r="AX5" s="116"/>
    </row>
    <row r="6">
      <c r="A6" s="9" t="s">
        <v>60</v>
      </c>
      <c r="B6" s="10" t="s">
        <v>61</v>
      </c>
      <c r="C6" s="11"/>
      <c r="D6" s="11" t="s">
        <v>62</v>
      </c>
      <c r="E6" s="11" t="s">
        <v>63</v>
      </c>
      <c r="F6" s="11" t="s">
        <v>64</v>
      </c>
      <c r="G6" s="11" t="s">
        <v>65</v>
      </c>
      <c r="H6" s="11">
        <v>36.091</v>
      </c>
      <c r="I6" s="11">
        <v>-94.19</v>
      </c>
      <c r="J6" s="11" t="s">
        <v>66</v>
      </c>
      <c r="K6" s="12" t="s">
        <v>67</v>
      </c>
      <c r="L6" s="13">
        <v>1.12</v>
      </c>
      <c r="M6" s="14">
        <f t="shared" si="1"/>
        <v>2.767569202</v>
      </c>
      <c r="N6" s="11">
        <v>15.0</v>
      </c>
      <c r="O6" s="111">
        <v>2.4</v>
      </c>
      <c r="Q6" s="15">
        <f t="shared" si="5"/>
        <v>277.7777778</v>
      </c>
      <c r="S6" s="16">
        <v>17.0</v>
      </c>
      <c r="T6" s="11" t="s">
        <v>68</v>
      </c>
      <c r="W6" s="17" t="s">
        <v>69</v>
      </c>
      <c r="X6" s="17">
        <v>81005.0</v>
      </c>
      <c r="Y6" s="17">
        <v>2.09</v>
      </c>
      <c r="Z6" s="18">
        <v>3.6493568909051493</v>
      </c>
      <c r="AA6" s="17">
        <v>172.77</v>
      </c>
      <c r="AB6" s="17">
        <v>392.91</v>
      </c>
      <c r="AC6" s="19">
        <v>1289.07480314961</v>
      </c>
      <c r="AD6" s="17">
        <v>50.0</v>
      </c>
      <c r="AE6" s="17" t="s">
        <v>70</v>
      </c>
      <c r="AF6" s="40">
        <f t="shared" si="6"/>
        <v>83.21428571</v>
      </c>
      <c r="AG6" s="41"/>
      <c r="AH6" s="41"/>
      <c r="AI6" s="41" t="s">
        <v>71</v>
      </c>
      <c r="AJ6" s="42"/>
      <c r="AK6" s="22" t="b">
        <v>1</v>
      </c>
      <c r="AL6" s="22" t="b">
        <v>1</v>
      </c>
      <c r="AM6" s="22" t="b">
        <v>1</v>
      </c>
      <c r="AN6" s="39" t="b">
        <v>0</v>
      </c>
      <c r="AO6" s="39" t="s">
        <v>362</v>
      </c>
      <c r="AP6" s="39">
        <v>17.0</v>
      </c>
      <c r="AQ6" s="122">
        <f>3.4+(3.4*0.25)</f>
        <v>4.25</v>
      </c>
      <c r="AR6" s="120">
        <f t="shared" si="7"/>
        <v>0.25</v>
      </c>
      <c r="AS6" s="116"/>
      <c r="AT6" s="116">
        <f>AS6/AQ6</f>
        <v>0</v>
      </c>
      <c r="AU6" s="116"/>
      <c r="AV6" s="116"/>
      <c r="AW6" s="116"/>
      <c r="AX6" s="116"/>
    </row>
    <row r="7">
      <c r="A7" s="23" t="s">
        <v>60</v>
      </c>
      <c r="B7" s="24" t="s">
        <v>61</v>
      </c>
      <c r="C7" s="25"/>
      <c r="D7" s="25" t="s">
        <v>62</v>
      </c>
      <c r="E7" s="25" t="s">
        <v>63</v>
      </c>
      <c r="F7" s="25" t="s">
        <v>64</v>
      </c>
      <c r="G7" s="25" t="s">
        <v>65</v>
      </c>
      <c r="H7" s="25">
        <v>36.091</v>
      </c>
      <c r="I7" s="25">
        <v>-94.19</v>
      </c>
      <c r="J7" s="25" t="s">
        <v>72</v>
      </c>
      <c r="K7" s="26" t="s">
        <v>73</v>
      </c>
      <c r="L7" s="27">
        <v>1.84</v>
      </c>
      <c r="M7" s="28">
        <f t="shared" si="1"/>
        <v>4.546720832</v>
      </c>
      <c r="N7" s="25">
        <v>15.0</v>
      </c>
      <c r="O7" s="115">
        <v>9.1</v>
      </c>
      <c r="Q7" s="29">
        <f>10000/(15*9.1)</f>
        <v>73.26007326</v>
      </c>
      <c r="S7" s="30">
        <v>17.0</v>
      </c>
      <c r="T7" s="25" t="s">
        <v>74</v>
      </c>
      <c r="W7" s="31" t="s">
        <v>69</v>
      </c>
      <c r="X7" s="31">
        <v>81005.0</v>
      </c>
      <c r="Y7" s="31">
        <v>1.43</v>
      </c>
      <c r="Z7" s="32">
        <v>2.496339185224331</v>
      </c>
      <c r="AA7" s="31">
        <v>186.84</v>
      </c>
      <c r="AB7" s="31">
        <v>380.66</v>
      </c>
      <c r="AC7" s="33">
        <v>1248.88451443569</v>
      </c>
      <c r="AD7" s="31">
        <v>50.0</v>
      </c>
      <c r="AE7" s="31" t="s">
        <v>70</v>
      </c>
      <c r="AF7" s="36">
        <f>119/4.5</f>
        <v>26.44444444</v>
      </c>
      <c r="AG7" s="37"/>
      <c r="AH7" s="37"/>
      <c r="AI7" s="37" t="s">
        <v>71</v>
      </c>
      <c r="AJ7" s="38"/>
      <c r="AK7" s="22" t="b">
        <v>1</v>
      </c>
      <c r="AL7" s="22" t="b">
        <v>1</v>
      </c>
      <c r="AM7" s="22" t="b">
        <v>1</v>
      </c>
      <c r="AN7" s="39" t="b">
        <v>0</v>
      </c>
      <c r="AO7" s="22"/>
      <c r="AP7" s="39">
        <v>17.0</v>
      </c>
      <c r="AQ7" s="122">
        <f>12.7+(12.7*0.25)</f>
        <v>15.875</v>
      </c>
      <c r="AR7" s="120">
        <f t="shared" si="7"/>
        <v>0.9338235294</v>
      </c>
      <c r="AS7" s="116"/>
      <c r="AT7" s="116"/>
      <c r="AU7" s="116"/>
      <c r="AV7" s="116"/>
      <c r="AW7" s="116"/>
      <c r="AX7" s="116"/>
    </row>
    <row r="8">
      <c r="A8" s="9" t="s">
        <v>75</v>
      </c>
      <c r="B8" s="10" t="s">
        <v>41</v>
      </c>
      <c r="C8" s="11"/>
      <c r="D8" s="11" t="s">
        <v>76</v>
      </c>
      <c r="E8" s="11" t="s">
        <v>77</v>
      </c>
      <c r="F8" s="11" t="s">
        <v>78</v>
      </c>
      <c r="G8" s="11" t="s">
        <v>79</v>
      </c>
      <c r="H8" s="45"/>
      <c r="I8" s="45"/>
      <c r="J8" s="11" t="s">
        <v>80</v>
      </c>
      <c r="K8" s="12" t="s">
        <v>81</v>
      </c>
      <c r="L8" s="13">
        <v>30.0</v>
      </c>
      <c r="M8" s="14">
        <f t="shared" si="1"/>
        <v>74.13131791</v>
      </c>
      <c r="N8" s="45">
        <v>45823.0</v>
      </c>
      <c r="O8" s="111">
        <v>6.0</v>
      </c>
      <c r="P8" s="11">
        <v>111.0</v>
      </c>
      <c r="Q8" s="15" t="str">
        <f t="shared" ref="Q8:Q12" si="8">TEXT(10000/(6*15),"0")&amp;" to "&amp;TEXT(10000/(6*6),"0")</f>
        <v>111 to 278</v>
      </c>
      <c r="S8" s="16">
        <v>33.0</v>
      </c>
      <c r="T8" s="11">
        <v>666.0</v>
      </c>
      <c r="U8" s="11" t="s">
        <v>82</v>
      </c>
      <c r="V8" s="11" t="s">
        <v>83</v>
      </c>
      <c r="W8" s="17" t="s">
        <v>84</v>
      </c>
      <c r="X8" s="17">
        <v>92003.0</v>
      </c>
      <c r="Y8" s="17">
        <v>1.94</v>
      </c>
      <c r="Z8" s="18">
        <v>3.387233288185025</v>
      </c>
      <c r="AA8" s="17">
        <v>232.85</v>
      </c>
      <c r="AB8" s="17">
        <v>338.98</v>
      </c>
      <c r="AC8" s="19">
        <v>1112.13910761155</v>
      </c>
      <c r="AD8" s="17" t="s">
        <v>54</v>
      </c>
      <c r="AE8" s="20"/>
      <c r="AF8" s="46" t="str">
        <f t="shared" ref="AF8:AF12" si="9">TEXT(111/2.47105,"0")&amp;" total, "&amp;TEXT(111/(2.47105*5),"0")&amp;" each sp"</f>
        <v>45 total, 9 each sp</v>
      </c>
      <c r="AG8" s="20"/>
      <c r="AH8" s="20"/>
      <c r="AI8" s="20"/>
      <c r="AJ8" s="21"/>
      <c r="AK8" s="22" t="b">
        <v>1</v>
      </c>
      <c r="AL8" s="22" t="b">
        <v>1</v>
      </c>
      <c r="AM8" s="22" t="b">
        <v>1</v>
      </c>
      <c r="AN8" s="22" t="b">
        <v>1</v>
      </c>
      <c r="AO8" s="39" t="s">
        <v>363</v>
      </c>
      <c r="AP8" s="112">
        <v>33.0</v>
      </c>
      <c r="AQ8" s="123">
        <f>12.3+(12.3*0.25)</f>
        <v>15.375</v>
      </c>
      <c r="AR8" s="120">
        <f t="shared" si="7"/>
        <v>0.4659090909</v>
      </c>
      <c r="AS8" s="112"/>
      <c r="AT8" s="112"/>
      <c r="AW8" s="116"/>
      <c r="AX8" s="116"/>
    </row>
    <row r="9">
      <c r="A9" s="23" t="s">
        <v>75</v>
      </c>
      <c r="B9" s="24" t="s">
        <v>41</v>
      </c>
      <c r="C9" s="25"/>
      <c r="D9" s="25" t="s">
        <v>76</v>
      </c>
      <c r="E9" s="25" t="s">
        <v>77</v>
      </c>
      <c r="F9" s="25" t="s">
        <v>78</v>
      </c>
      <c r="G9" s="25" t="s">
        <v>79</v>
      </c>
      <c r="H9" s="43"/>
      <c r="I9" s="43"/>
      <c r="J9" s="25" t="s">
        <v>85</v>
      </c>
      <c r="K9" s="26" t="s">
        <v>86</v>
      </c>
      <c r="L9" s="27">
        <v>30.0</v>
      </c>
      <c r="M9" s="28">
        <f t="shared" si="1"/>
        <v>74.13131791</v>
      </c>
      <c r="N9" s="43">
        <v>45823.0</v>
      </c>
      <c r="O9" s="115">
        <v>6.0</v>
      </c>
      <c r="P9" s="25">
        <v>111.0</v>
      </c>
      <c r="Q9" s="29" t="str">
        <f t="shared" si="8"/>
        <v>111 to 278</v>
      </c>
      <c r="S9" s="30">
        <v>33.0</v>
      </c>
      <c r="T9" s="25">
        <v>666.0</v>
      </c>
      <c r="U9" s="25" t="s">
        <v>82</v>
      </c>
      <c r="V9" s="25" t="s">
        <v>83</v>
      </c>
      <c r="W9" s="31" t="s">
        <v>84</v>
      </c>
      <c r="X9" s="31">
        <v>92003.0</v>
      </c>
      <c r="Y9" s="31">
        <v>1.94</v>
      </c>
      <c r="Z9" s="32">
        <f t="shared" ref="Z9:Z12" si="10">tan(Y9*PI()/180)*100</f>
        <v>3.387233288</v>
      </c>
      <c r="AA9" s="31">
        <v>232.85</v>
      </c>
      <c r="AB9" s="31">
        <v>338.98</v>
      </c>
      <c r="AC9" s="33">
        <f t="shared" ref="AC9:AC12" si="11">CONVERT(AB9,"m","ft")</f>
        <v>1112.139108</v>
      </c>
      <c r="AD9" s="31" t="s">
        <v>54</v>
      </c>
      <c r="AE9" s="34"/>
      <c r="AF9" s="44" t="str">
        <f t="shared" si="9"/>
        <v>45 total, 9 each sp</v>
      </c>
      <c r="AG9" s="34"/>
      <c r="AH9" s="34"/>
      <c r="AI9" s="34"/>
      <c r="AJ9" s="35"/>
      <c r="AK9" s="22" t="b">
        <v>1</v>
      </c>
      <c r="AL9" s="22" t="b">
        <v>1</v>
      </c>
      <c r="AM9" s="22" t="b">
        <v>1</v>
      </c>
      <c r="AN9" s="22" t="b">
        <v>1</v>
      </c>
      <c r="AO9" s="22"/>
      <c r="AP9" s="112">
        <v>33.0</v>
      </c>
      <c r="AQ9" s="123">
        <f>7.9+(7.9*0.25)</f>
        <v>9.875</v>
      </c>
      <c r="AR9" s="120">
        <f t="shared" si="7"/>
        <v>0.2992424242</v>
      </c>
      <c r="AW9" s="116"/>
      <c r="AX9" s="116"/>
    </row>
    <row r="10">
      <c r="A10" s="9" t="s">
        <v>75</v>
      </c>
      <c r="B10" s="10" t="s">
        <v>41</v>
      </c>
      <c r="C10" s="11"/>
      <c r="D10" s="11" t="s">
        <v>76</v>
      </c>
      <c r="E10" s="11" t="s">
        <v>77</v>
      </c>
      <c r="F10" s="11" t="s">
        <v>78</v>
      </c>
      <c r="G10" s="11" t="s">
        <v>79</v>
      </c>
      <c r="H10" s="45"/>
      <c r="I10" s="45"/>
      <c r="J10" s="11" t="s">
        <v>87</v>
      </c>
      <c r="K10" s="12" t="s">
        <v>88</v>
      </c>
      <c r="L10" s="13">
        <v>30.0</v>
      </c>
      <c r="M10" s="14">
        <f t="shared" si="1"/>
        <v>74.13131791</v>
      </c>
      <c r="N10" s="45">
        <v>45823.0</v>
      </c>
      <c r="O10" s="111">
        <v>6.0</v>
      </c>
      <c r="P10" s="11">
        <v>111.0</v>
      </c>
      <c r="Q10" s="15" t="str">
        <f t="shared" si="8"/>
        <v>111 to 278</v>
      </c>
      <c r="S10" s="16">
        <v>33.0</v>
      </c>
      <c r="T10" s="11">
        <v>666.0</v>
      </c>
      <c r="U10" s="11" t="s">
        <v>82</v>
      </c>
      <c r="V10" s="11" t="s">
        <v>83</v>
      </c>
      <c r="W10" s="17" t="s">
        <v>84</v>
      </c>
      <c r="X10" s="17">
        <v>92003.0</v>
      </c>
      <c r="Y10" s="17">
        <v>1.94</v>
      </c>
      <c r="Z10" s="18">
        <f t="shared" si="10"/>
        <v>3.387233288</v>
      </c>
      <c r="AA10" s="17">
        <v>232.85</v>
      </c>
      <c r="AB10" s="17">
        <v>338.98</v>
      </c>
      <c r="AC10" s="19">
        <f t="shared" si="11"/>
        <v>1112.139108</v>
      </c>
      <c r="AD10" s="17" t="s">
        <v>54</v>
      </c>
      <c r="AE10" s="20"/>
      <c r="AF10" s="46" t="str">
        <f t="shared" si="9"/>
        <v>45 total, 9 each sp</v>
      </c>
      <c r="AG10" s="20"/>
      <c r="AH10" s="20"/>
      <c r="AI10" s="20"/>
      <c r="AJ10" s="21"/>
      <c r="AK10" s="22" t="b">
        <v>1</v>
      </c>
      <c r="AL10" s="22" t="b">
        <v>1</v>
      </c>
      <c r="AM10" s="22" t="b">
        <v>1</v>
      </c>
      <c r="AN10" s="22" t="b">
        <v>1</v>
      </c>
      <c r="AO10" s="22"/>
      <c r="AP10" s="112">
        <v>33.0</v>
      </c>
      <c r="AQ10" s="123">
        <f>16.2+(0.25*16.2)</f>
        <v>20.25</v>
      </c>
      <c r="AR10" s="120">
        <f t="shared" si="7"/>
        <v>0.6136363636</v>
      </c>
      <c r="AW10" s="116"/>
      <c r="AX10" s="116"/>
    </row>
    <row r="11">
      <c r="A11" s="23" t="s">
        <v>75</v>
      </c>
      <c r="B11" s="24" t="s">
        <v>41</v>
      </c>
      <c r="C11" s="25"/>
      <c r="D11" s="25" t="s">
        <v>76</v>
      </c>
      <c r="E11" s="25" t="s">
        <v>77</v>
      </c>
      <c r="F11" s="25" t="s">
        <v>78</v>
      </c>
      <c r="G11" s="25" t="s">
        <v>79</v>
      </c>
      <c r="H11" s="43"/>
      <c r="I11" s="43"/>
      <c r="J11" s="25" t="s">
        <v>89</v>
      </c>
      <c r="K11" s="26" t="s">
        <v>90</v>
      </c>
      <c r="L11" s="27">
        <v>30.0</v>
      </c>
      <c r="M11" s="28">
        <f t="shared" si="1"/>
        <v>74.13131791</v>
      </c>
      <c r="N11" s="43">
        <v>45823.0</v>
      </c>
      <c r="O11" s="115">
        <v>6.0</v>
      </c>
      <c r="P11" s="25">
        <v>111.0</v>
      </c>
      <c r="Q11" s="29" t="str">
        <f t="shared" si="8"/>
        <v>111 to 278</v>
      </c>
      <c r="S11" s="30">
        <v>33.0</v>
      </c>
      <c r="T11" s="25">
        <v>666.0</v>
      </c>
      <c r="U11" s="25" t="s">
        <v>91</v>
      </c>
      <c r="V11" s="25" t="s">
        <v>83</v>
      </c>
      <c r="W11" s="31" t="s">
        <v>84</v>
      </c>
      <c r="X11" s="31">
        <v>92003.0</v>
      </c>
      <c r="Y11" s="31">
        <v>1.94</v>
      </c>
      <c r="Z11" s="32">
        <f t="shared" si="10"/>
        <v>3.387233288</v>
      </c>
      <c r="AA11" s="31">
        <v>232.85</v>
      </c>
      <c r="AB11" s="31">
        <v>338.98</v>
      </c>
      <c r="AC11" s="33">
        <f t="shared" si="11"/>
        <v>1112.139108</v>
      </c>
      <c r="AD11" s="31" t="s">
        <v>54</v>
      </c>
      <c r="AE11" s="34"/>
      <c r="AF11" s="44" t="str">
        <f t="shared" si="9"/>
        <v>45 total, 9 each sp</v>
      </c>
      <c r="AG11" s="34"/>
      <c r="AH11" s="34"/>
      <c r="AI11" s="34"/>
      <c r="AJ11" s="35"/>
      <c r="AK11" s="22" t="b">
        <v>1</v>
      </c>
      <c r="AL11" s="22" t="b">
        <v>1</v>
      </c>
      <c r="AM11" s="22" t="b">
        <v>1</v>
      </c>
      <c r="AN11" s="22" t="b">
        <v>1</v>
      </c>
      <c r="AO11" s="22"/>
      <c r="AP11" s="112">
        <v>33.0</v>
      </c>
      <c r="AQ11" s="123">
        <f>9.9+(0.25*9.9)</f>
        <v>12.375</v>
      </c>
      <c r="AR11" s="120">
        <f t="shared" si="7"/>
        <v>0.375</v>
      </c>
    </row>
    <row r="12">
      <c r="A12" s="9" t="s">
        <v>75</v>
      </c>
      <c r="B12" s="10" t="s">
        <v>41</v>
      </c>
      <c r="C12" s="11"/>
      <c r="D12" s="11" t="s">
        <v>76</v>
      </c>
      <c r="E12" s="11" t="s">
        <v>77</v>
      </c>
      <c r="F12" s="11" t="s">
        <v>78</v>
      </c>
      <c r="G12" s="11" t="s">
        <v>79</v>
      </c>
      <c r="H12" s="45"/>
      <c r="I12" s="45"/>
      <c r="J12" s="11" t="s">
        <v>92</v>
      </c>
      <c r="K12" s="12" t="s">
        <v>67</v>
      </c>
      <c r="L12" s="13">
        <v>30.0</v>
      </c>
      <c r="M12" s="14">
        <f t="shared" si="1"/>
        <v>74.13131791</v>
      </c>
      <c r="N12" s="45">
        <v>45823.0</v>
      </c>
      <c r="O12" s="111">
        <v>6.0</v>
      </c>
      <c r="P12" s="11">
        <v>111.0</v>
      </c>
      <c r="Q12" s="15" t="str">
        <f t="shared" si="8"/>
        <v>111 to 278</v>
      </c>
      <c r="S12" s="16">
        <v>33.0</v>
      </c>
      <c r="T12" s="11">
        <v>666.0</v>
      </c>
      <c r="U12" s="11" t="s">
        <v>93</v>
      </c>
      <c r="V12" s="11" t="s">
        <v>83</v>
      </c>
      <c r="W12" s="17" t="s">
        <v>84</v>
      </c>
      <c r="X12" s="17">
        <v>92003.0</v>
      </c>
      <c r="Y12" s="17">
        <v>1.94</v>
      </c>
      <c r="Z12" s="18">
        <f t="shared" si="10"/>
        <v>3.387233288</v>
      </c>
      <c r="AA12" s="17">
        <v>232.85</v>
      </c>
      <c r="AB12" s="17">
        <v>338.98</v>
      </c>
      <c r="AC12" s="19">
        <f t="shared" si="11"/>
        <v>1112.139108</v>
      </c>
      <c r="AD12" s="17" t="s">
        <v>54</v>
      </c>
      <c r="AE12" s="20"/>
      <c r="AF12" s="46" t="str">
        <f t="shared" si="9"/>
        <v>45 total, 9 each sp</v>
      </c>
      <c r="AG12" s="20"/>
      <c r="AH12" s="20"/>
      <c r="AI12" s="20"/>
      <c r="AJ12" s="21"/>
      <c r="AK12" s="22" t="b">
        <v>1</v>
      </c>
      <c r="AL12" s="22" t="b">
        <v>1</v>
      </c>
      <c r="AM12" s="22" t="b">
        <v>1</v>
      </c>
      <c r="AN12" s="22" t="b">
        <v>1</v>
      </c>
      <c r="AO12" s="22"/>
      <c r="AP12" s="112">
        <v>33.0</v>
      </c>
      <c r="AQ12" s="123">
        <f>19.6+(19.6*0.25)</f>
        <v>24.5</v>
      </c>
      <c r="AR12" s="120">
        <f t="shared" si="7"/>
        <v>0.7424242424</v>
      </c>
    </row>
    <row r="13">
      <c r="A13" s="23" t="s">
        <v>94</v>
      </c>
      <c r="B13" s="24" t="s">
        <v>95</v>
      </c>
      <c r="C13" s="25"/>
      <c r="D13" s="25" t="s">
        <v>96</v>
      </c>
      <c r="E13" s="25" t="s">
        <v>97</v>
      </c>
      <c r="F13" s="25"/>
      <c r="G13" s="25" t="s">
        <v>98</v>
      </c>
      <c r="H13" s="25"/>
      <c r="I13" s="25"/>
      <c r="J13" s="25" t="s">
        <v>99</v>
      </c>
      <c r="K13" s="25" t="s">
        <v>100</v>
      </c>
      <c r="L13" s="124"/>
      <c r="M13" s="28"/>
      <c r="N13" s="25">
        <v>1.8</v>
      </c>
      <c r="O13" s="115">
        <v>1.2</v>
      </c>
      <c r="Q13" s="29">
        <f>10000/(N13*O13)</f>
        <v>4629.62963</v>
      </c>
      <c r="S13" s="82">
        <v>45815.0</v>
      </c>
      <c r="T13" s="125">
        <f>10000/(1.8*1.2)</f>
        <v>4629.62963</v>
      </c>
      <c r="V13" s="25" t="s">
        <v>101</v>
      </c>
      <c r="W13" s="31" t="s">
        <v>53</v>
      </c>
      <c r="X13" s="31">
        <v>90503.0</v>
      </c>
      <c r="Y13" s="31">
        <v>1.76</v>
      </c>
      <c r="Z13" s="32">
        <v>3.0727460078610753</v>
      </c>
      <c r="AA13" s="31">
        <v>233.23</v>
      </c>
      <c r="AB13" s="31">
        <v>316.24</v>
      </c>
      <c r="AC13" s="33">
        <v>1037.53280839895</v>
      </c>
      <c r="AD13" s="31" t="s">
        <v>54</v>
      </c>
      <c r="AE13" s="34"/>
      <c r="AF13" s="44">
        <f t="shared" ref="AF13:AF57" si="12">IF(ISNUMBER(P13),P13/2.471,IF(ISNUMBER(Q13),Q13/2.471,""))</f>
        <v>1873.585443</v>
      </c>
      <c r="AG13" s="34"/>
      <c r="AH13" s="34"/>
      <c r="AI13" s="34"/>
      <c r="AJ13" s="35"/>
      <c r="AK13" s="22" t="b">
        <v>1</v>
      </c>
      <c r="AL13" s="22" t="b">
        <v>1</v>
      </c>
      <c r="AM13" s="22" t="b">
        <v>1</v>
      </c>
      <c r="AN13" s="39" t="b">
        <v>1</v>
      </c>
      <c r="AO13" s="126"/>
      <c r="AP13" s="83">
        <v>7.0</v>
      </c>
      <c r="AQ13" s="127">
        <f>17.8+(17.8*0.25)</f>
        <v>22.25</v>
      </c>
      <c r="AR13" s="120">
        <f t="shared" si="7"/>
        <v>3.178571429</v>
      </c>
      <c r="AU13" s="116"/>
      <c r="AV13" s="116"/>
    </row>
    <row r="14">
      <c r="A14" s="54" t="s">
        <v>102</v>
      </c>
      <c r="B14" s="55" t="s">
        <v>61</v>
      </c>
      <c r="C14" s="17"/>
      <c r="D14" s="17" t="s">
        <v>62</v>
      </c>
      <c r="E14" s="17" t="s">
        <v>103</v>
      </c>
      <c r="F14" s="17" t="s">
        <v>104</v>
      </c>
      <c r="G14" s="17" t="s">
        <v>105</v>
      </c>
      <c r="H14" s="17"/>
      <c r="I14" s="17"/>
      <c r="J14" s="17" t="s">
        <v>106</v>
      </c>
      <c r="K14" s="17" t="s">
        <v>107</v>
      </c>
      <c r="L14" s="17" t="s">
        <v>108</v>
      </c>
      <c r="M14" s="19"/>
      <c r="N14" s="17" t="s">
        <v>109</v>
      </c>
      <c r="O14" s="56">
        <v>2.1</v>
      </c>
      <c r="P14" s="17">
        <v>308.0</v>
      </c>
      <c r="Q14" s="40"/>
      <c r="R14" s="41"/>
      <c r="S14" s="16">
        <v>18.0</v>
      </c>
      <c r="T14" s="17" t="s">
        <v>110</v>
      </c>
      <c r="U14" s="17" t="s">
        <v>111</v>
      </c>
      <c r="V14" s="17"/>
      <c r="W14" s="17" t="s">
        <v>69</v>
      </c>
      <c r="X14" s="17">
        <v>80911.0</v>
      </c>
      <c r="Y14" s="17">
        <v>2.67</v>
      </c>
      <c r="Z14" s="18">
        <f t="shared" ref="Z14:Z19" si="13">IF(ISNUMBER(Y14),tan(Y14*PI()/180)*100,"")</f>
        <v>4.663405255</v>
      </c>
      <c r="AA14" s="17">
        <v>126.9</v>
      </c>
      <c r="AB14" s="17">
        <v>308.0</v>
      </c>
      <c r="AC14" s="19">
        <f t="shared" ref="AC14:AC19" si="14">IF(ISNUMBER(AB14), CONVERT(AB14,"m","ft"),"")</f>
        <v>1010.498688</v>
      </c>
      <c r="AD14" s="17">
        <v>50.0</v>
      </c>
      <c r="AE14" s="17" t="s">
        <v>112</v>
      </c>
      <c r="AF14" s="46">
        <f t="shared" si="12"/>
        <v>124.6458924</v>
      </c>
      <c r="AG14" s="17" t="s">
        <v>113</v>
      </c>
      <c r="AH14" s="17" t="s">
        <v>114</v>
      </c>
      <c r="AI14" s="20"/>
      <c r="AJ14" s="57" t="s">
        <v>115</v>
      </c>
      <c r="AK14" s="22" t="b">
        <v>1</v>
      </c>
      <c r="AL14" s="22" t="b">
        <v>1</v>
      </c>
      <c r="AM14" s="22" t="b">
        <v>1</v>
      </c>
      <c r="AN14" s="22" t="b">
        <v>1</v>
      </c>
      <c r="AP14" s="83">
        <v>18.0</v>
      </c>
      <c r="AQ14" s="128">
        <f t="shared" ref="AQ14:AQ19" si="15">AX14*0.465*0.5</f>
        <v>23.20164</v>
      </c>
      <c r="AR14" s="120">
        <f t="shared" si="7"/>
        <v>1.28898</v>
      </c>
      <c r="AS14" s="129"/>
      <c r="AT14" s="116"/>
      <c r="AU14" s="116"/>
      <c r="AV14" s="116"/>
      <c r="AW14" s="126">
        <f>373-49</f>
        <v>324</v>
      </c>
      <c r="AX14" s="127">
        <f>(AW14*308)/1000</f>
        <v>99.792</v>
      </c>
    </row>
    <row r="15">
      <c r="A15" s="50" t="s">
        <v>116</v>
      </c>
      <c r="B15" s="51" t="s">
        <v>61</v>
      </c>
      <c r="C15" s="31"/>
      <c r="D15" s="31" t="s">
        <v>62</v>
      </c>
      <c r="E15" s="31" t="s">
        <v>103</v>
      </c>
      <c r="F15" s="31" t="s">
        <v>104</v>
      </c>
      <c r="G15" s="31" t="s">
        <v>105</v>
      </c>
      <c r="H15" s="31"/>
      <c r="I15" s="31"/>
      <c r="J15" s="31" t="s">
        <v>106</v>
      </c>
      <c r="K15" s="31" t="s">
        <v>107</v>
      </c>
      <c r="L15" s="31" t="s">
        <v>108</v>
      </c>
      <c r="M15" s="33"/>
      <c r="N15" s="31">
        <v>2.4</v>
      </c>
      <c r="O15" s="52">
        <v>2.1</v>
      </c>
      <c r="P15" s="31">
        <v>568.0</v>
      </c>
      <c r="Q15" s="36"/>
      <c r="R15" s="37"/>
      <c r="S15" s="30">
        <v>18.0</v>
      </c>
      <c r="T15" s="31" t="s">
        <v>117</v>
      </c>
      <c r="U15" s="31" t="s">
        <v>111</v>
      </c>
      <c r="V15" s="31"/>
      <c r="W15" s="31" t="s">
        <v>69</v>
      </c>
      <c r="X15" s="31">
        <v>80911.0</v>
      </c>
      <c r="Y15" s="31">
        <v>2.67</v>
      </c>
      <c r="Z15" s="32">
        <f t="shared" si="13"/>
        <v>4.663405255</v>
      </c>
      <c r="AA15" s="31">
        <v>126.9</v>
      </c>
      <c r="AB15" s="31">
        <v>308.0</v>
      </c>
      <c r="AC15" s="33">
        <f t="shared" si="14"/>
        <v>1010.498688</v>
      </c>
      <c r="AD15" s="31">
        <v>50.0</v>
      </c>
      <c r="AE15" s="31" t="s">
        <v>112</v>
      </c>
      <c r="AF15" s="44">
        <f t="shared" si="12"/>
        <v>229.8664508</v>
      </c>
      <c r="AG15" s="31" t="s">
        <v>113</v>
      </c>
      <c r="AH15" s="31" t="s">
        <v>114</v>
      </c>
      <c r="AI15" s="34"/>
      <c r="AJ15" s="53" t="s">
        <v>115</v>
      </c>
      <c r="AK15" s="22" t="b">
        <v>1</v>
      </c>
      <c r="AL15" s="22" t="b">
        <v>1</v>
      </c>
      <c r="AM15" s="22" t="b">
        <v>1</v>
      </c>
      <c r="AN15" s="22" t="b">
        <v>1</v>
      </c>
      <c r="AP15" s="83">
        <v>18.0</v>
      </c>
      <c r="AQ15" s="128">
        <f t="shared" si="15"/>
        <v>38.16534</v>
      </c>
      <c r="AR15" s="120">
        <f t="shared" si="7"/>
        <v>2.120296667</v>
      </c>
      <c r="AW15" s="126">
        <f>((343-37)+(310-38))/2</f>
        <v>289</v>
      </c>
      <c r="AX15" s="127">
        <f>(AW15*568)/1000</f>
        <v>164.152</v>
      </c>
    </row>
    <row r="16">
      <c r="A16" s="54" t="s">
        <v>118</v>
      </c>
      <c r="B16" s="55" t="s">
        <v>61</v>
      </c>
      <c r="C16" s="17"/>
      <c r="D16" s="17" t="s">
        <v>62</v>
      </c>
      <c r="E16" s="17" t="s">
        <v>103</v>
      </c>
      <c r="F16" s="17" t="s">
        <v>104</v>
      </c>
      <c r="G16" s="17" t="s">
        <v>105</v>
      </c>
      <c r="H16" s="17"/>
      <c r="I16" s="17"/>
      <c r="J16" s="17" t="s">
        <v>106</v>
      </c>
      <c r="K16" s="17" t="s">
        <v>107</v>
      </c>
      <c r="L16" s="17" t="s">
        <v>108</v>
      </c>
      <c r="M16" s="19"/>
      <c r="N16" s="17">
        <v>2.4</v>
      </c>
      <c r="O16" s="56">
        <v>2.1</v>
      </c>
      <c r="P16" s="17">
        <v>932.0</v>
      </c>
      <c r="Q16" s="40"/>
      <c r="R16" s="41"/>
      <c r="S16" s="16">
        <v>18.0</v>
      </c>
      <c r="T16" s="17" t="s">
        <v>119</v>
      </c>
      <c r="U16" s="17" t="s">
        <v>111</v>
      </c>
      <c r="V16" s="17"/>
      <c r="W16" s="17" t="s">
        <v>69</v>
      </c>
      <c r="X16" s="17">
        <v>80911.0</v>
      </c>
      <c r="Y16" s="17">
        <v>2.67</v>
      </c>
      <c r="Z16" s="18">
        <f t="shared" si="13"/>
        <v>4.663405255</v>
      </c>
      <c r="AA16" s="17">
        <v>126.9</v>
      </c>
      <c r="AB16" s="17">
        <v>308.0</v>
      </c>
      <c r="AC16" s="19">
        <f t="shared" si="14"/>
        <v>1010.498688</v>
      </c>
      <c r="AD16" s="17">
        <v>50.0</v>
      </c>
      <c r="AE16" s="17" t="s">
        <v>112</v>
      </c>
      <c r="AF16" s="46">
        <f t="shared" si="12"/>
        <v>377.1752327</v>
      </c>
      <c r="AG16" s="17" t="s">
        <v>113</v>
      </c>
      <c r="AH16" s="17" t="s">
        <v>114</v>
      </c>
      <c r="AI16" s="20"/>
      <c r="AJ16" s="57" t="s">
        <v>115</v>
      </c>
      <c r="AK16" s="22" t="b">
        <v>1</v>
      </c>
      <c r="AL16" s="22" t="b">
        <v>1</v>
      </c>
      <c r="AM16" s="22" t="b">
        <v>1</v>
      </c>
      <c r="AN16" s="22" t="b">
        <v>1</v>
      </c>
      <c r="AP16" s="83">
        <v>18.0</v>
      </c>
      <c r="AQ16" s="128">
        <f t="shared" si="15"/>
        <v>52.764015</v>
      </c>
      <c r="AR16" s="120">
        <f t="shared" si="7"/>
        <v>2.931334167</v>
      </c>
      <c r="AW16" s="126">
        <f>((292-28)+(243-20))/2</f>
        <v>243.5</v>
      </c>
      <c r="AX16" s="127">
        <f>(AW16*932)/1000</f>
        <v>226.942</v>
      </c>
    </row>
    <row r="17">
      <c r="A17" s="50" t="s">
        <v>120</v>
      </c>
      <c r="B17" s="51" t="s">
        <v>61</v>
      </c>
      <c r="C17" s="31" t="s">
        <v>121</v>
      </c>
      <c r="D17" s="31" t="s">
        <v>62</v>
      </c>
      <c r="E17" s="31" t="s">
        <v>103</v>
      </c>
      <c r="F17" s="31" t="s">
        <v>104</v>
      </c>
      <c r="G17" s="31" t="s">
        <v>105</v>
      </c>
      <c r="H17" s="31"/>
      <c r="I17" s="31"/>
      <c r="J17" s="31" t="s">
        <v>106</v>
      </c>
      <c r="K17" s="31" t="s">
        <v>107</v>
      </c>
      <c r="L17" s="31" t="s">
        <v>108</v>
      </c>
      <c r="M17" s="33"/>
      <c r="N17" s="31" t="s">
        <v>109</v>
      </c>
      <c r="O17" s="52">
        <v>2.1</v>
      </c>
      <c r="P17" s="31">
        <v>308.0</v>
      </c>
      <c r="Q17" s="36"/>
      <c r="R17" s="37"/>
      <c r="S17" s="30">
        <v>18.0</v>
      </c>
      <c r="T17" s="31" t="s">
        <v>110</v>
      </c>
      <c r="U17" s="31" t="s">
        <v>111</v>
      </c>
      <c r="V17" s="31"/>
      <c r="W17" s="31" t="s">
        <v>69</v>
      </c>
      <c r="X17" s="31">
        <v>80911.0</v>
      </c>
      <c r="Y17" s="31">
        <v>2.67</v>
      </c>
      <c r="Z17" s="32">
        <f t="shared" si="13"/>
        <v>4.663405255</v>
      </c>
      <c r="AA17" s="31">
        <v>126.9</v>
      </c>
      <c r="AB17" s="31">
        <v>308.0</v>
      </c>
      <c r="AC17" s="33">
        <f t="shared" si="14"/>
        <v>1010.498688</v>
      </c>
      <c r="AD17" s="31">
        <v>50.0</v>
      </c>
      <c r="AE17" s="31" t="s">
        <v>112</v>
      </c>
      <c r="AF17" s="44">
        <f t="shared" si="12"/>
        <v>124.6458924</v>
      </c>
      <c r="AG17" s="31" t="s">
        <v>113</v>
      </c>
      <c r="AH17" s="31" t="s">
        <v>114</v>
      </c>
      <c r="AI17" s="31" t="s">
        <v>122</v>
      </c>
      <c r="AJ17" s="53" t="s">
        <v>115</v>
      </c>
      <c r="AK17" s="22" t="b">
        <v>1</v>
      </c>
      <c r="AL17" s="22" t="b">
        <v>1</v>
      </c>
      <c r="AM17" s="22" t="b">
        <v>1</v>
      </c>
      <c r="AN17" s="22" t="b">
        <v>1</v>
      </c>
      <c r="AP17" s="83">
        <v>18.0</v>
      </c>
      <c r="AQ17" s="128">
        <f t="shared" si="15"/>
        <v>22.84359</v>
      </c>
      <c r="AR17" s="120">
        <f t="shared" si="7"/>
        <v>1.269088333</v>
      </c>
      <c r="AW17" s="126">
        <f>359-40</f>
        <v>319</v>
      </c>
      <c r="AX17" s="127">
        <f>(AW17*308)/1000</f>
        <v>98.252</v>
      </c>
    </row>
    <row r="18">
      <c r="A18" s="54" t="s">
        <v>123</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568.0</v>
      </c>
      <c r="Q18" s="40"/>
      <c r="R18" s="41"/>
      <c r="S18" s="16">
        <v>18.0</v>
      </c>
      <c r="T18" s="17" t="s">
        <v>117</v>
      </c>
      <c r="U18" s="17" t="s">
        <v>111</v>
      </c>
      <c r="V18" s="17"/>
      <c r="W18" s="17" t="s">
        <v>69</v>
      </c>
      <c r="X18" s="17">
        <v>80911.0</v>
      </c>
      <c r="Y18" s="17">
        <v>2.67</v>
      </c>
      <c r="Z18" s="18">
        <f t="shared" si="13"/>
        <v>4.663405255</v>
      </c>
      <c r="AA18" s="17">
        <v>126.9</v>
      </c>
      <c r="AB18" s="17">
        <v>308.0</v>
      </c>
      <c r="AC18" s="19">
        <f t="shared" si="14"/>
        <v>1010.498688</v>
      </c>
      <c r="AD18" s="17">
        <v>50.0</v>
      </c>
      <c r="AE18" s="17" t="s">
        <v>112</v>
      </c>
      <c r="AF18" s="46">
        <f t="shared" si="12"/>
        <v>229.8664508</v>
      </c>
      <c r="AG18" s="17" t="s">
        <v>113</v>
      </c>
      <c r="AH18" s="17" t="s">
        <v>114</v>
      </c>
      <c r="AI18" s="17" t="s">
        <v>122</v>
      </c>
      <c r="AJ18" s="57" t="s">
        <v>115</v>
      </c>
      <c r="AK18" s="22" t="b">
        <v>1</v>
      </c>
      <c r="AL18" s="22" t="b">
        <v>1</v>
      </c>
      <c r="AM18" s="22" t="b">
        <v>1</v>
      </c>
      <c r="AN18" s="22" t="b">
        <v>1</v>
      </c>
      <c r="AP18" s="83">
        <v>18.0</v>
      </c>
      <c r="AQ18" s="128">
        <f t="shared" si="15"/>
        <v>39.35388</v>
      </c>
      <c r="AR18" s="120">
        <f t="shared" si="7"/>
        <v>2.186326667</v>
      </c>
      <c r="AW18" s="22">
        <f>((300-34)+(351-21))/2</f>
        <v>298</v>
      </c>
      <c r="AX18" s="127">
        <f>(AW18*568)/1000</f>
        <v>169.264</v>
      </c>
    </row>
    <row r="19">
      <c r="A19" s="50" t="s">
        <v>124</v>
      </c>
      <c r="B19" s="51" t="s">
        <v>61</v>
      </c>
      <c r="C19" s="31" t="s">
        <v>121</v>
      </c>
      <c r="D19" s="31" t="s">
        <v>62</v>
      </c>
      <c r="E19" s="31" t="s">
        <v>103</v>
      </c>
      <c r="F19" s="31" t="s">
        <v>104</v>
      </c>
      <c r="G19" s="31" t="s">
        <v>105</v>
      </c>
      <c r="H19" s="31"/>
      <c r="I19" s="31"/>
      <c r="J19" s="31" t="s">
        <v>106</v>
      </c>
      <c r="K19" s="31" t="s">
        <v>107</v>
      </c>
      <c r="L19" s="31" t="s">
        <v>108</v>
      </c>
      <c r="M19" s="33"/>
      <c r="N19" s="31">
        <v>2.4</v>
      </c>
      <c r="O19" s="52">
        <v>2.1</v>
      </c>
      <c r="P19" s="31">
        <v>932.0</v>
      </c>
      <c r="Q19" s="36"/>
      <c r="R19" s="37"/>
      <c r="S19" s="30">
        <v>18.0</v>
      </c>
      <c r="T19" s="31" t="s">
        <v>119</v>
      </c>
      <c r="U19" s="31" t="s">
        <v>111</v>
      </c>
      <c r="V19" s="31"/>
      <c r="W19" s="31" t="s">
        <v>69</v>
      </c>
      <c r="X19" s="31">
        <v>80911.0</v>
      </c>
      <c r="Y19" s="31">
        <v>2.67</v>
      </c>
      <c r="Z19" s="32">
        <f t="shared" si="13"/>
        <v>4.663405255</v>
      </c>
      <c r="AA19" s="31">
        <v>126.9</v>
      </c>
      <c r="AB19" s="31">
        <v>308.0</v>
      </c>
      <c r="AC19" s="33">
        <f t="shared" si="14"/>
        <v>1010.498688</v>
      </c>
      <c r="AD19" s="31">
        <v>50.0</v>
      </c>
      <c r="AE19" s="31" t="s">
        <v>112</v>
      </c>
      <c r="AF19" s="44">
        <f t="shared" si="12"/>
        <v>377.1752327</v>
      </c>
      <c r="AG19" s="31" t="s">
        <v>113</v>
      </c>
      <c r="AH19" s="31" t="s">
        <v>114</v>
      </c>
      <c r="AI19" s="31" t="s">
        <v>122</v>
      </c>
      <c r="AJ19" s="53" t="s">
        <v>115</v>
      </c>
      <c r="AK19" s="22" t="b">
        <v>1</v>
      </c>
      <c r="AL19" s="22" t="b">
        <v>1</v>
      </c>
      <c r="AM19" s="22" t="b">
        <v>1</v>
      </c>
      <c r="AN19" s="22" t="b">
        <v>1</v>
      </c>
      <c r="AP19" s="83">
        <v>18.0</v>
      </c>
      <c r="AQ19" s="128">
        <f t="shared" si="15"/>
        <v>54.60588</v>
      </c>
      <c r="AR19" s="120">
        <f t="shared" si="7"/>
        <v>3.03366</v>
      </c>
      <c r="AW19" s="74">
        <f>((317-15)+(219-17))/2</f>
        <v>252</v>
      </c>
      <c r="AX19" s="127">
        <f>(AW19*932)/1000</f>
        <v>234.864</v>
      </c>
    </row>
    <row r="20" hidden="1">
      <c r="A20" s="58" t="s">
        <v>125</v>
      </c>
      <c r="B20" s="59" t="s">
        <v>126</v>
      </c>
      <c r="C20" s="60"/>
      <c r="D20" s="60"/>
      <c r="E20" s="60"/>
      <c r="F20" s="60"/>
      <c r="G20" s="60"/>
      <c r="H20" s="60"/>
      <c r="I20" s="60"/>
      <c r="J20" s="61" t="s">
        <v>127</v>
      </c>
      <c r="K20" s="61" t="s">
        <v>128</v>
      </c>
      <c r="L20" s="62"/>
      <c r="M20" s="63"/>
      <c r="N20" s="60"/>
      <c r="O20" s="64"/>
      <c r="P20" s="60"/>
      <c r="Q20" s="60"/>
      <c r="R20" s="60"/>
      <c r="S20" s="130"/>
      <c r="T20" s="60"/>
      <c r="U20" s="60"/>
      <c r="V20" s="60"/>
      <c r="W20" s="60"/>
      <c r="X20" s="60"/>
      <c r="Y20" s="60"/>
      <c r="Z20" s="60"/>
      <c r="AA20" s="60"/>
      <c r="AB20" s="60"/>
      <c r="AC20" s="63"/>
      <c r="AD20" s="60"/>
      <c r="AE20" s="60"/>
      <c r="AF20" s="66" t="str">
        <f t="shared" si="12"/>
        <v/>
      </c>
      <c r="AG20" s="60"/>
      <c r="AH20" s="60"/>
      <c r="AI20" s="60"/>
      <c r="AJ20" s="67"/>
      <c r="AK20" s="68" t="s">
        <v>129</v>
      </c>
      <c r="AL20" s="68" t="s">
        <v>129</v>
      </c>
      <c r="AM20" s="68" t="s">
        <v>129</v>
      </c>
      <c r="AN20" s="68" t="s">
        <v>129</v>
      </c>
    </row>
    <row r="21" hidden="1">
      <c r="A21" s="50" t="s">
        <v>130</v>
      </c>
      <c r="B21" s="51" t="s">
        <v>95</v>
      </c>
      <c r="C21" s="31" t="s">
        <v>131</v>
      </c>
      <c r="D21" s="31" t="s">
        <v>132</v>
      </c>
      <c r="E21" s="37"/>
      <c r="F21" s="31" t="s">
        <v>133</v>
      </c>
      <c r="G21" s="37"/>
      <c r="H21" s="37"/>
      <c r="I21" s="37"/>
      <c r="J21" s="31" t="s">
        <v>134</v>
      </c>
      <c r="K21" s="31" t="s">
        <v>135</v>
      </c>
      <c r="L21" s="72"/>
      <c r="M21" s="73"/>
      <c r="N21" s="31">
        <v>1.5</v>
      </c>
      <c r="O21" s="52">
        <v>3.0</v>
      </c>
      <c r="P21" s="31">
        <v>2222.0</v>
      </c>
      <c r="Q21" s="37"/>
      <c r="R21" s="37"/>
      <c r="S21" s="30">
        <v>6.0</v>
      </c>
      <c r="T21" s="31" t="s">
        <v>136</v>
      </c>
      <c r="U21" s="31" t="s">
        <v>82</v>
      </c>
      <c r="V21" s="31" t="s">
        <v>137</v>
      </c>
      <c r="W21" s="31" t="s">
        <v>138</v>
      </c>
      <c r="X21" s="25">
        <v>922.0</v>
      </c>
      <c r="Y21" s="37"/>
      <c r="Z21" s="32" t="str">
        <f t="shared" ref="Z21:Z41" si="16">IF(ISNUMBER(Y21),tan(Y21*PI()/180)*100,"")</f>
        <v/>
      </c>
      <c r="AA21" s="37"/>
      <c r="AB21" s="37"/>
      <c r="AC21" s="33" t="str">
        <f t="shared" ref="AC21:AC41" si="17">IF(ISNUMBER(AB21), CONVERT(AB21,"m","ft"),"")</f>
        <v/>
      </c>
      <c r="AD21" s="37"/>
      <c r="AE21" s="37"/>
      <c r="AF21" s="44">
        <f t="shared" si="12"/>
        <v>899.2310805</v>
      </c>
      <c r="AG21" s="37"/>
      <c r="AH21" s="37"/>
      <c r="AI21" s="37"/>
      <c r="AJ21" s="38"/>
      <c r="AK21" s="71" t="s">
        <v>139</v>
      </c>
      <c r="AL21" s="71" t="s">
        <v>139</v>
      </c>
      <c r="AM21" s="71" t="s">
        <v>139</v>
      </c>
      <c r="AN21" s="71" t="s">
        <v>139</v>
      </c>
    </row>
    <row r="22" hidden="1">
      <c r="A22" s="54" t="s">
        <v>130</v>
      </c>
      <c r="B22" s="55" t="s">
        <v>95</v>
      </c>
      <c r="D22" s="17" t="s">
        <v>132</v>
      </c>
      <c r="F22" s="17" t="s">
        <v>133</v>
      </c>
      <c r="G22" s="41"/>
      <c r="H22" s="41"/>
      <c r="I22" s="41"/>
      <c r="J22" s="17" t="s">
        <v>140</v>
      </c>
      <c r="K22" s="17" t="s">
        <v>141</v>
      </c>
      <c r="L22" s="69"/>
      <c r="M22" s="70"/>
      <c r="N22" s="17">
        <v>1.5</v>
      </c>
      <c r="O22" s="56">
        <v>3.0</v>
      </c>
      <c r="P22" s="17">
        <v>2222.0</v>
      </c>
      <c r="Q22" s="41"/>
      <c r="R22" s="41"/>
      <c r="S22" s="16">
        <v>6.0</v>
      </c>
      <c r="T22" s="17" t="s">
        <v>136</v>
      </c>
      <c r="U22" s="17" t="s">
        <v>82</v>
      </c>
      <c r="V22" s="17" t="s">
        <v>137</v>
      </c>
      <c r="W22" s="17" t="s">
        <v>138</v>
      </c>
      <c r="X22" s="11">
        <v>922.0</v>
      </c>
      <c r="Y22" s="41"/>
      <c r="Z22" s="18" t="str">
        <f t="shared" si="16"/>
        <v/>
      </c>
      <c r="AA22" s="41"/>
      <c r="AB22" s="41"/>
      <c r="AC22" s="19" t="str">
        <f t="shared" si="17"/>
        <v/>
      </c>
      <c r="AD22" s="41"/>
      <c r="AE22" s="41"/>
      <c r="AF22" s="46">
        <f t="shared" si="12"/>
        <v>899.2310805</v>
      </c>
      <c r="AG22" s="41"/>
      <c r="AH22" s="41"/>
      <c r="AI22" s="41"/>
      <c r="AJ22" s="42"/>
      <c r="AK22" s="71" t="s">
        <v>139</v>
      </c>
      <c r="AL22" s="71" t="s">
        <v>139</v>
      </c>
      <c r="AM22" s="71" t="s">
        <v>139</v>
      </c>
      <c r="AN22" s="71" t="s">
        <v>139</v>
      </c>
    </row>
    <row r="23" hidden="1">
      <c r="A23" s="50" t="s">
        <v>130</v>
      </c>
      <c r="B23" s="51" t="s">
        <v>95</v>
      </c>
      <c r="D23" s="31" t="s">
        <v>132</v>
      </c>
      <c r="F23" s="31" t="s">
        <v>133</v>
      </c>
      <c r="G23" s="37"/>
      <c r="H23" s="37"/>
      <c r="I23" s="37"/>
      <c r="J23" s="37"/>
      <c r="K23" s="31" t="s">
        <v>142</v>
      </c>
      <c r="L23" s="72"/>
      <c r="M23" s="73"/>
      <c r="N23" s="31">
        <v>1.5</v>
      </c>
      <c r="O23" s="52">
        <v>3.0</v>
      </c>
      <c r="P23" s="31">
        <v>2222.0</v>
      </c>
      <c r="Q23" s="37"/>
      <c r="R23" s="37"/>
      <c r="S23" s="30">
        <v>6.0</v>
      </c>
      <c r="T23" s="31" t="s">
        <v>136</v>
      </c>
      <c r="U23" s="31" t="s">
        <v>82</v>
      </c>
      <c r="V23" s="31" t="s">
        <v>137</v>
      </c>
      <c r="W23" s="31" t="s">
        <v>138</v>
      </c>
      <c r="X23" s="25">
        <v>922.0</v>
      </c>
      <c r="Y23" s="37"/>
      <c r="Z23" s="32" t="str">
        <f t="shared" si="16"/>
        <v/>
      </c>
      <c r="AA23" s="37"/>
      <c r="AB23" s="37"/>
      <c r="AC23" s="33" t="str">
        <f t="shared" si="17"/>
        <v/>
      </c>
      <c r="AD23" s="37"/>
      <c r="AE23" s="37"/>
      <c r="AF23" s="44">
        <f t="shared" si="12"/>
        <v>899.2310805</v>
      </c>
      <c r="AG23" s="37"/>
      <c r="AH23" s="37"/>
      <c r="AI23" s="37"/>
      <c r="AJ23" s="38"/>
      <c r="AK23" s="71" t="s">
        <v>139</v>
      </c>
      <c r="AL23" s="71" t="s">
        <v>139</v>
      </c>
      <c r="AM23" s="71" t="s">
        <v>139</v>
      </c>
      <c r="AN23" s="71" t="s">
        <v>139</v>
      </c>
    </row>
    <row r="24" hidden="1">
      <c r="A24" s="54" t="s">
        <v>130</v>
      </c>
      <c r="B24" s="55" t="s">
        <v>95</v>
      </c>
      <c r="D24" s="17" t="s">
        <v>132</v>
      </c>
      <c r="F24" s="17" t="s">
        <v>133</v>
      </c>
      <c r="G24" s="41"/>
      <c r="H24" s="41"/>
      <c r="I24" s="41"/>
      <c r="J24" s="17" t="s">
        <v>143</v>
      </c>
      <c r="K24" s="17" t="s">
        <v>144</v>
      </c>
      <c r="L24" s="69"/>
      <c r="M24" s="70"/>
      <c r="N24" s="17">
        <v>1.5</v>
      </c>
      <c r="O24" s="56">
        <v>3.0</v>
      </c>
      <c r="P24" s="17">
        <v>2222.0</v>
      </c>
      <c r="Q24" s="41"/>
      <c r="R24" s="41"/>
      <c r="S24" s="16">
        <v>6.0</v>
      </c>
      <c r="T24" s="17" t="s">
        <v>136</v>
      </c>
      <c r="U24" s="17" t="s">
        <v>82</v>
      </c>
      <c r="V24" s="17" t="s">
        <v>137</v>
      </c>
      <c r="W24" s="17" t="s">
        <v>138</v>
      </c>
      <c r="X24" s="11">
        <v>922.0</v>
      </c>
      <c r="Y24" s="41"/>
      <c r="Z24" s="18" t="str">
        <f t="shared" si="16"/>
        <v/>
      </c>
      <c r="AA24" s="41"/>
      <c r="AB24" s="41"/>
      <c r="AC24" s="19" t="str">
        <f t="shared" si="17"/>
        <v/>
      </c>
      <c r="AD24" s="41"/>
      <c r="AE24" s="41"/>
      <c r="AF24" s="46">
        <f t="shared" si="12"/>
        <v>899.2310805</v>
      </c>
      <c r="AG24" s="41"/>
      <c r="AH24" s="41"/>
      <c r="AI24" s="41"/>
      <c r="AJ24" s="42"/>
      <c r="AK24" s="71" t="s">
        <v>139</v>
      </c>
      <c r="AL24" s="71" t="s">
        <v>139</v>
      </c>
      <c r="AM24" s="71" t="s">
        <v>139</v>
      </c>
      <c r="AN24" s="71" t="s">
        <v>139</v>
      </c>
    </row>
    <row r="25" hidden="1">
      <c r="A25" s="50" t="s">
        <v>130</v>
      </c>
      <c r="B25" s="51" t="s">
        <v>95</v>
      </c>
      <c r="D25" s="31" t="s">
        <v>132</v>
      </c>
      <c r="E25" s="37"/>
      <c r="F25" s="31" t="s">
        <v>133</v>
      </c>
      <c r="G25" s="37"/>
      <c r="H25" s="37"/>
      <c r="I25" s="37"/>
      <c r="J25" s="31" t="s">
        <v>145</v>
      </c>
      <c r="K25" s="31" t="s">
        <v>146</v>
      </c>
      <c r="L25" s="72"/>
      <c r="M25" s="73"/>
      <c r="N25" s="31">
        <v>1.5</v>
      </c>
      <c r="O25" s="52">
        <v>3.0</v>
      </c>
      <c r="P25" s="31">
        <v>2222.0</v>
      </c>
      <c r="Q25" s="37"/>
      <c r="R25" s="37"/>
      <c r="S25" s="30">
        <v>6.0</v>
      </c>
      <c r="T25" s="31" t="s">
        <v>136</v>
      </c>
      <c r="U25" s="31" t="s">
        <v>82</v>
      </c>
      <c r="V25" s="31" t="s">
        <v>137</v>
      </c>
      <c r="W25" s="31" t="s">
        <v>138</v>
      </c>
      <c r="X25" s="25">
        <v>922.0</v>
      </c>
      <c r="Y25" s="37"/>
      <c r="Z25" s="32" t="str">
        <f t="shared" si="16"/>
        <v/>
      </c>
      <c r="AA25" s="37"/>
      <c r="AB25" s="37"/>
      <c r="AC25" s="33" t="str">
        <f t="shared" si="17"/>
        <v/>
      </c>
      <c r="AD25" s="37"/>
      <c r="AE25" s="37"/>
      <c r="AF25" s="44">
        <f t="shared" si="12"/>
        <v>899.2310805</v>
      </c>
      <c r="AG25" s="37"/>
      <c r="AH25" s="37"/>
      <c r="AI25" s="37"/>
      <c r="AJ25" s="38"/>
      <c r="AK25" s="71" t="s">
        <v>139</v>
      </c>
      <c r="AL25" s="71" t="s">
        <v>139</v>
      </c>
      <c r="AM25" s="71" t="s">
        <v>139</v>
      </c>
      <c r="AN25" s="71" t="s">
        <v>139</v>
      </c>
    </row>
    <row r="26" hidden="1">
      <c r="A26" s="54" t="s">
        <v>130</v>
      </c>
      <c r="B26" s="55" t="s">
        <v>95</v>
      </c>
      <c r="C26" s="17" t="s">
        <v>147</v>
      </c>
      <c r="D26" s="17" t="s">
        <v>132</v>
      </c>
      <c r="E26" s="41"/>
      <c r="F26" s="17" t="s">
        <v>148</v>
      </c>
      <c r="G26" s="41"/>
      <c r="H26" s="41"/>
      <c r="I26" s="41"/>
      <c r="J26" s="17" t="s">
        <v>134</v>
      </c>
      <c r="K26" s="17" t="s">
        <v>135</v>
      </c>
      <c r="L26" s="69"/>
      <c r="M26" s="70"/>
      <c r="N26" s="17">
        <v>1.5</v>
      </c>
      <c r="O26" s="56">
        <v>3.0</v>
      </c>
      <c r="P26" s="17">
        <v>2222.0</v>
      </c>
      <c r="Q26" s="41"/>
      <c r="R26" s="41"/>
      <c r="S26" s="16">
        <v>6.0</v>
      </c>
      <c r="T26" s="17" t="s">
        <v>136</v>
      </c>
      <c r="U26" s="17" t="s">
        <v>82</v>
      </c>
      <c r="V26" s="17" t="s">
        <v>137</v>
      </c>
      <c r="W26" s="17" t="s">
        <v>138</v>
      </c>
      <c r="X26" s="11">
        <v>922.0</v>
      </c>
      <c r="Y26" s="41"/>
      <c r="Z26" s="18" t="str">
        <f t="shared" si="16"/>
        <v/>
      </c>
      <c r="AA26" s="41"/>
      <c r="AB26" s="41"/>
      <c r="AC26" s="19" t="str">
        <f t="shared" si="17"/>
        <v/>
      </c>
      <c r="AD26" s="41"/>
      <c r="AE26" s="41"/>
      <c r="AF26" s="46">
        <f t="shared" si="12"/>
        <v>899.2310805</v>
      </c>
      <c r="AG26" s="41"/>
      <c r="AH26" s="41"/>
      <c r="AI26" s="41"/>
      <c r="AJ26" s="42"/>
      <c r="AK26" s="71" t="s">
        <v>139</v>
      </c>
      <c r="AL26" s="71" t="s">
        <v>139</v>
      </c>
      <c r="AM26" s="71" t="s">
        <v>139</v>
      </c>
      <c r="AN26" s="71" t="s">
        <v>139</v>
      </c>
    </row>
    <row r="27" hidden="1">
      <c r="A27" s="50" t="s">
        <v>130</v>
      </c>
      <c r="B27" s="51" t="s">
        <v>95</v>
      </c>
      <c r="D27" s="31" t="s">
        <v>132</v>
      </c>
      <c r="F27" s="31" t="s">
        <v>148</v>
      </c>
      <c r="G27" s="37"/>
      <c r="H27" s="37"/>
      <c r="I27" s="37"/>
      <c r="J27" s="31" t="s">
        <v>140</v>
      </c>
      <c r="K27" s="31" t="s">
        <v>141</v>
      </c>
      <c r="L27" s="72"/>
      <c r="M27" s="73"/>
      <c r="N27" s="31">
        <v>1.5</v>
      </c>
      <c r="O27" s="52">
        <v>3.0</v>
      </c>
      <c r="P27" s="31">
        <v>2222.0</v>
      </c>
      <c r="Q27" s="37"/>
      <c r="R27" s="37"/>
      <c r="S27" s="30">
        <v>6.0</v>
      </c>
      <c r="T27" s="31" t="s">
        <v>136</v>
      </c>
      <c r="U27" s="31" t="s">
        <v>82</v>
      </c>
      <c r="V27" s="31" t="s">
        <v>137</v>
      </c>
      <c r="W27" s="31" t="s">
        <v>138</v>
      </c>
      <c r="X27" s="25">
        <v>922.0</v>
      </c>
      <c r="Y27" s="37"/>
      <c r="Z27" s="32" t="str">
        <f t="shared" si="16"/>
        <v/>
      </c>
      <c r="AA27" s="37"/>
      <c r="AB27" s="37"/>
      <c r="AC27" s="33" t="str">
        <f t="shared" si="17"/>
        <v/>
      </c>
      <c r="AD27" s="37"/>
      <c r="AE27" s="37"/>
      <c r="AF27" s="44">
        <f t="shared" si="12"/>
        <v>899.2310805</v>
      </c>
      <c r="AG27" s="37"/>
      <c r="AH27" s="37"/>
      <c r="AI27" s="37"/>
      <c r="AJ27" s="38"/>
      <c r="AK27" s="71" t="s">
        <v>139</v>
      </c>
      <c r="AL27" s="71" t="s">
        <v>139</v>
      </c>
      <c r="AM27" s="71" t="s">
        <v>139</v>
      </c>
      <c r="AN27" s="71" t="s">
        <v>139</v>
      </c>
    </row>
    <row r="28" hidden="1">
      <c r="A28" s="54" t="s">
        <v>130</v>
      </c>
      <c r="B28" s="55" t="s">
        <v>95</v>
      </c>
      <c r="D28" s="17" t="s">
        <v>132</v>
      </c>
      <c r="F28" s="17" t="s">
        <v>148</v>
      </c>
      <c r="G28" s="41"/>
      <c r="H28" s="41"/>
      <c r="I28" s="41"/>
      <c r="J28" s="41"/>
      <c r="K28" s="17" t="s">
        <v>142</v>
      </c>
      <c r="L28" s="69"/>
      <c r="M28" s="70"/>
      <c r="N28" s="17">
        <v>1.5</v>
      </c>
      <c r="O28" s="56">
        <v>3.0</v>
      </c>
      <c r="P28" s="17">
        <v>2222.0</v>
      </c>
      <c r="Q28" s="41"/>
      <c r="R28" s="41"/>
      <c r="S28" s="16">
        <v>6.0</v>
      </c>
      <c r="T28" s="17" t="s">
        <v>136</v>
      </c>
      <c r="U28" s="17" t="s">
        <v>82</v>
      </c>
      <c r="V28" s="17" t="s">
        <v>137</v>
      </c>
      <c r="W28" s="17" t="s">
        <v>138</v>
      </c>
      <c r="X28" s="11">
        <v>922.0</v>
      </c>
      <c r="Y28" s="41"/>
      <c r="Z28" s="18" t="str">
        <f t="shared" si="16"/>
        <v/>
      </c>
      <c r="AA28" s="41"/>
      <c r="AB28" s="41"/>
      <c r="AC28" s="19" t="str">
        <f t="shared" si="17"/>
        <v/>
      </c>
      <c r="AD28" s="41"/>
      <c r="AE28" s="41"/>
      <c r="AF28" s="46">
        <f t="shared" si="12"/>
        <v>899.2310805</v>
      </c>
      <c r="AG28" s="41"/>
      <c r="AH28" s="41"/>
      <c r="AI28" s="41"/>
      <c r="AJ28" s="42"/>
      <c r="AK28" s="71" t="s">
        <v>139</v>
      </c>
      <c r="AL28" s="71" t="s">
        <v>139</v>
      </c>
      <c r="AM28" s="71" t="s">
        <v>139</v>
      </c>
      <c r="AN28" s="71" t="s">
        <v>139</v>
      </c>
    </row>
    <row r="29" hidden="1">
      <c r="A29" s="50" t="s">
        <v>130</v>
      </c>
      <c r="B29" s="51" t="s">
        <v>95</v>
      </c>
      <c r="C29" s="37"/>
      <c r="D29" s="31" t="s">
        <v>132</v>
      </c>
      <c r="E29" s="37"/>
      <c r="F29" s="31" t="s">
        <v>148</v>
      </c>
      <c r="G29" s="37"/>
      <c r="H29" s="37"/>
      <c r="I29" s="37"/>
      <c r="J29" s="31" t="s">
        <v>143</v>
      </c>
      <c r="K29" s="31" t="s">
        <v>144</v>
      </c>
      <c r="L29" s="72"/>
      <c r="M29" s="73"/>
      <c r="N29" s="31">
        <v>1.5</v>
      </c>
      <c r="O29" s="52">
        <v>3.0</v>
      </c>
      <c r="P29" s="31">
        <v>2222.0</v>
      </c>
      <c r="Q29" s="37"/>
      <c r="R29" s="37"/>
      <c r="S29" s="30">
        <v>6.0</v>
      </c>
      <c r="T29" s="31" t="s">
        <v>136</v>
      </c>
      <c r="U29" s="31" t="s">
        <v>82</v>
      </c>
      <c r="V29" s="31" t="s">
        <v>137</v>
      </c>
      <c r="W29" s="31" t="s">
        <v>138</v>
      </c>
      <c r="X29" s="25">
        <v>922.0</v>
      </c>
      <c r="Y29" s="37"/>
      <c r="Z29" s="32" t="str">
        <f t="shared" si="16"/>
        <v/>
      </c>
      <c r="AA29" s="37"/>
      <c r="AB29" s="37"/>
      <c r="AC29" s="33" t="str">
        <f t="shared" si="17"/>
        <v/>
      </c>
      <c r="AD29" s="37"/>
      <c r="AE29" s="37"/>
      <c r="AF29" s="44">
        <f t="shared" si="12"/>
        <v>899.2310805</v>
      </c>
      <c r="AG29" s="37"/>
      <c r="AH29" s="37"/>
      <c r="AI29" s="37"/>
      <c r="AJ29" s="38"/>
      <c r="AK29" s="71" t="s">
        <v>139</v>
      </c>
      <c r="AL29" s="71" t="s">
        <v>139</v>
      </c>
      <c r="AM29" s="71" t="s">
        <v>139</v>
      </c>
      <c r="AN29" s="71" t="s">
        <v>139</v>
      </c>
    </row>
    <row r="30" hidden="1">
      <c r="A30" s="54" t="s">
        <v>130</v>
      </c>
      <c r="B30" s="55" t="s">
        <v>95</v>
      </c>
      <c r="C30" s="41"/>
      <c r="D30" s="17" t="s">
        <v>132</v>
      </c>
      <c r="E30" s="41"/>
      <c r="F30" s="17" t="s">
        <v>148</v>
      </c>
      <c r="G30" s="41"/>
      <c r="H30" s="41"/>
      <c r="I30" s="41"/>
      <c r="J30" s="17" t="s">
        <v>145</v>
      </c>
      <c r="K30" s="17" t="s">
        <v>146</v>
      </c>
      <c r="L30" s="69"/>
      <c r="M30" s="70"/>
      <c r="N30" s="17">
        <v>1.5</v>
      </c>
      <c r="O30" s="56">
        <v>3.0</v>
      </c>
      <c r="P30" s="17">
        <v>2222.0</v>
      </c>
      <c r="Q30" s="41"/>
      <c r="R30" s="41"/>
      <c r="S30" s="16">
        <v>6.0</v>
      </c>
      <c r="T30" s="17" t="s">
        <v>136</v>
      </c>
      <c r="U30" s="17" t="s">
        <v>82</v>
      </c>
      <c r="V30" s="17" t="s">
        <v>137</v>
      </c>
      <c r="W30" s="17" t="s">
        <v>138</v>
      </c>
      <c r="X30" s="11">
        <v>922.0</v>
      </c>
      <c r="Y30" s="41"/>
      <c r="Z30" s="18" t="str">
        <f t="shared" si="16"/>
        <v/>
      </c>
      <c r="AA30" s="41"/>
      <c r="AB30" s="41"/>
      <c r="AC30" s="19" t="str">
        <f t="shared" si="17"/>
        <v/>
      </c>
      <c r="AD30" s="41"/>
      <c r="AE30" s="41"/>
      <c r="AF30" s="46">
        <f t="shared" si="12"/>
        <v>899.2310805</v>
      </c>
      <c r="AG30" s="41"/>
      <c r="AH30" s="41"/>
      <c r="AI30" s="41"/>
      <c r="AJ30" s="42"/>
      <c r="AK30" s="71" t="s">
        <v>139</v>
      </c>
      <c r="AL30" s="71" t="s">
        <v>139</v>
      </c>
      <c r="AM30" s="71" t="s">
        <v>139</v>
      </c>
      <c r="AN30" s="71" t="s">
        <v>139</v>
      </c>
    </row>
    <row r="31" hidden="1">
      <c r="A31" s="50" t="s">
        <v>130</v>
      </c>
      <c r="B31" s="51" t="s">
        <v>95</v>
      </c>
      <c r="C31" s="31" t="s">
        <v>147</v>
      </c>
      <c r="D31" s="31" t="s">
        <v>132</v>
      </c>
      <c r="E31" s="37"/>
      <c r="F31" s="31" t="s">
        <v>149</v>
      </c>
      <c r="G31" s="37"/>
      <c r="H31" s="37"/>
      <c r="I31" s="37"/>
      <c r="J31" s="31" t="s">
        <v>134</v>
      </c>
      <c r="K31" s="31" t="s">
        <v>135</v>
      </c>
      <c r="L31" s="72"/>
      <c r="M31" s="73"/>
      <c r="N31" s="31">
        <v>1.5</v>
      </c>
      <c r="O31" s="52">
        <v>3.0</v>
      </c>
      <c r="P31" s="31">
        <v>2222.0</v>
      </c>
      <c r="Q31" s="37"/>
      <c r="R31" s="37"/>
      <c r="S31" s="30">
        <v>6.0</v>
      </c>
      <c r="T31" s="31" t="s">
        <v>136</v>
      </c>
      <c r="U31" s="31" t="s">
        <v>82</v>
      </c>
      <c r="V31" s="31" t="s">
        <v>137</v>
      </c>
      <c r="W31" s="31" t="s">
        <v>138</v>
      </c>
      <c r="X31" s="25">
        <v>922.0</v>
      </c>
      <c r="Y31" s="37"/>
      <c r="Z31" s="32" t="str">
        <f t="shared" si="16"/>
        <v/>
      </c>
      <c r="AA31" s="37"/>
      <c r="AB31" s="37"/>
      <c r="AC31" s="33" t="str">
        <f t="shared" si="17"/>
        <v/>
      </c>
      <c r="AD31" s="37"/>
      <c r="AE31" s="37"/>
      <c r="AF31" s="44">
        <f t="shared" si="12"/>
        <v>899.2310805</v>
      </c>
      <c r="AG31" s="37"/>
      <c r="AH31" s="37"/>
      <c r="AI31" s="37"/>
      <c r="AJ31" s="38"/>
      <c r="AK31" s="71" t="s">
        <v>139</v>
      </c>
      <c r="AL31" s="71" t="s">
        <v>139</v>
      </c>
      <c r="AM31" s="71" t="s">
        <v>139</v>
      </c>
      <c r="AN31" s="71" t="s">
        <v>139</v>
      </c>
    </row>
    <row r="32" hidden="1">
      <c r="A32" s="54" t="s">
        <v>130</v>
      </c>
      <c r="B32" s="55" t="s">
        <v>95</v>
      </c>
      <c r="D32" s="17" t="s">
        <v>132</v>
      </c>
      <c r="F32" s="17" t="s">
        <v>149</v>
      </c>
      <c r="G32" s="41"/>
      <c r="H32" s="41"/>
      <c r="I32" s="41"/>
      <c r="J32" s="17" t="s">
        <v>140</v>
      </c>
      <c r="K32" s="17" t="s">
        <v>141</v>
      </c>
      <c r="L32" s="69"/>
      <c r="M32" s="70"/>
      <c r="N32" s="17">
        <v>1.5</v>
      </c>
      <c r="O32" s="56">
        <v>3.0</v>
      </c>
      <c r="P32" s="17">
        <v>2222.0</v>
      </c>
      <c r="Q32" s="41"/>
      <c r="R32" s="41"/>
      <c r="S32" s="16">
        <v>6.0</v>
      </c>
      <c r="T32" s="17" t="s">
        <v>136</v>
      </c>
      <c r="U32" s="17" t="s">
        <v>82</v>
      </c>
      <c r="V32" s="17" t="s">
        <v>137</v>
      </c>
      <c r="W32" s="17" t="s">
        <v>138</v>
      </c>
      <c r="X32" s="11">
        <v>922.0</v>
      </c>
      <c r="Y32" s="41"/>
      <c r="Z32" s="18" t="str">
        <f t="shared" si="16"/>
        <v/>
      </c>
      <c r="AA32" s="41"/>
      <c r="AB32" s="41"/>
      <c r="AC32" s="19" t="str">
        <f t="shared" si="17"/>
        <v/>
      </c>
      <c r="AD32" s="41"/>
      <c r="AE32" s="41"/>
      <c r="AF32" s="46">
        <f t="shared" si="12"/>
        <v>899.2310805</v>
      </c>
      <c r="AG32" s="41"/>
      <c r="AH32" s="41"/>
      <c r="AI32" s="41"/>
      <c r="AJ32" s="42"/>
      <c r="AK32" s="71" t="s">
        <v>139</v>
      </c>
      <c r="AL32" s="71" t="s">
        <v>139</v>
      </c>
      <c r="AM32" s="71" t="s">
        <v>139</v>
      </c>
      <c r="AN32" s="71" t="s">
        <v>139</v>
      </c>
    </row>
    <row r="33" hidden="1">
      <c r="A33" s="50" t="s">
        <v>130</v>
      </c>
      <c r="B33" s="51" t="s">
        <v>95</v>
      </c>
      <c r="C33" s="37"/>
      <c r="D33" s="31" t="s">
        <v>132</v>
      </c>
      <c r="E33" s="37"/>
      <c r="F33" s="31" t="s">
        <v>149</v>
      </c>
      <c r="G33" s="37"/>
      <c r="H33" s="37"/>
      <c r="I33" s="37"/>
      <c r="J33" s="37"/>
      <c r="K33" s="31" t="s">
        <v>142</v>
      </c>
      <c r="L33" s="72"/>
      <c r="M33" s="73"/>
      <c r="N33" s="31">
        <v>1.5</v>
      </c>
      <c r="O33" s="52">
        <v>3.0</v>
      </c>
      <c r="P33" s="31">
        <v>2222.0</v>
      </c>
      <c r="Q33" s="37"/>
      <c r="R33" s="37"/>
      <c r="S33" s="30">
        <v>6.0</v>
      </c>
      <c r="T33" s="31" t="s">
        <v>136</v>
      </c>
      <c r="U33" s="31" t="s">
        <v>82</v>
      </c>
      <c r="V33" s="31" t="s">
        <v>137</v>
      </c>
      <c r="W33" s="31" t="s">
        <v>138</v>
      </c>
      <c r="X33" s="25">
        <v>922.0</v>
      </c>
      <c r="Y33" s="37"/>
      <c r="Z33" s="32" t="str">
        <f t="shared" si="16"/>
        <v/>
      </c>
      <c r="AA33" s="37"/>
      <c r="AB33" s="37"/>
      <c r="AC33" s="33" t="str">
        <f t="shared" si="17"/>
        <v/>
      </c>
      <c r="AD33" s="37"/>
      <c r="AE33" s="37"/>
      <c r="AF33" s="44">
        <f t="shared" si="12"/>
        <v>899.2310805</v>
      </c>
      <c r="AG33" s="37"/>
      <c r="AH33" s="37"/>
      <c r="AI33" s="37"/>
      <c r="AJ33" s="38"/>
      <c r="AK33" s="71" t="s">
        <v>139</v>
      </c>
      <c r="AL33" s="71" t="s">
        <v>139</v>
      </c>
      <c r="AM33" s="71" t="s">
        <v>139</v>
      </c>
      <c r="AN33" s="71" t="s">
        <v>139</v>
      </c>
    </row>
    <row r="34" hidden="1">
      <c r="A34" s="54" t="s">
        <v>130</v>
      </c>
      <c r="B34" s="55" t="s">
        <v>95</v>
      </c>
      <c r="C34" s="41"/>
      <c r="D34" s="17" t="s">
        <v>132</v>
      </c>
      <c r="E34" s="41"/>
      <c r="F34" s="17" t="s">
        <v>149</v>
      </c>
      <c r="G34" s="41"/>
      <c r="H34" s="41"/>
      <c r="I34" s="41"/>
      <c r="J34" s="17" t="s">
        <v>143</v>
      </c>
      <c r="K34" s="17" t="s">
        <v>144</v>
      </c>
      <c r="L34" s="69"/>
      <c r="M34" s="70"/>
      <c r="N34" s="17">
        <v>1.5</v>
      </c>
      <c r="O34" s="56">
        <v>3.0</v>
      </c>
      <c r="P34" s="17">
        <v>2222.0</v>
      </c>
      <c r="Q34" s="41"/>
      <c r="R34" s="41"/>
      <c r="S34" s="16">
        <v>6.0</v>
      </c>
      <c r="T34" s="17" t="s">
        <v>136</v>
      </c>
      <c r="U34" s="17" t="s">
        <v>82</v>
      </c>
      <c r="V34" s="17" t="s">
        <v>137</v>
      </c>
      <c r="W34" s="17" t="s">
        <v>138</v>
      </c>
      <c r="X34" s="11">
        <v>922.0</v>
      </c>
      <c r="Y34" s="41"/>
      <c r="Z34" s="18" t="str">
        <f t="shared" si="16"/>
        <v/>
      </c>
      <c r="AA34" s="41"/>
      <c r="AB34" s="41"/>
      <c r="AC34" s="19" t="str">
        <f t="shared" si="17"/>
        <v/>
      </c>
      <c r="AD34" s="41"/>
      <c r="AE34" s="41"/>
      <c r="AF34" s="46">
        <f t="shared" si="12"/>
        <v>899.2310805</v>
      </c>
      <c r="AG34" s="41"/>
      <c r="AH34" s="41"/>
      <c r="AI34" s="41"/>
      <c r="AJ34" s="42"/>
      <c r="AK34" s="71" t="s">
        <v>139</v>
      </c>
      <c r="AL34" s="71" t="s">
        <v>139</v>
      </c>
      <c r="AM34" s="71" t="s">
        <v>139</v>
      </c>
      <c r="AN34" s="71" t="s">
        <v>139</v>
      </c>
    </row>
    <row r="35" hidden="1">
      <c r="A35" s="50" t="s">
        <v>130</v>
      </c>
      <c r="B35" s="51" t="s">
        <v>95</v>
      </c>
      <c r="C35" s="37"/>
      <c r="D35" s="31" t="s">
        <v>132</v>
      </c>
      <c r="E35" s="37"/>
      <c r="F35" s="31" t="s">
        <v>149</v>
      </c>
      <c r="G35" s="37"/>
      <c r="H35" s="37"/>
      <c r="I35" s="37"/>
      <c r="J35" s="31" t="s">
        <v>145</v>
      </c>
      <c r="K35" s="31" t="s">
        <v>146</v>
      </c>
      <c r="L35" s="72"/>
      <c r="M35" s="73"/>
      <c r="N35" s="31">
        <v>1.5</v>
      </c>
      <c r="O35" s="52">
        <v>3.0</v>
      </c>
      <c r="P35" s="31">
        <v>2222.0</v>
      </c>
      <c r="Q35" s="37"/>
      <c r="R35" s="37"/>
      <c r="S35" s="30">
        <v>6.0</v>
      </c>
      <c r="T35" s="31" t="s">
        <v>136</v>
      </c>
      <c r="U35" s="31" t="s">
        <v>82</v>
      </c>
      <c r="V35" s="31" t="s">
        <v>137</v>
      </c>
      <c r="W35" s="31" t="s">
        <v>138</v>
      </c>
      <c r="X35" s="25">
        <v>922.0</v>
      </c>
      <c r="Y35" s="37"/>
      <c r="Z35" s="32" t="str">
        <f t="shared" si="16"/>
        <v/>
      </c>
      <c r="AA35" s="37"/>
      <c r="AB35" s="37"/>
      <c r="AC35" s="33" t="str">
        <f t="shared" si="17"/>
        <v/>
      </c>
      <c r="AD35" s="37"/>
      <c r="AE35" s="37"/>
      <c r="AF35" s="44">
        <f t="shared" si="12"/>
        <v>899.2310805</v>
      </c>
      <c r="AG35" s="37"/>
      <c r="AH35" s="37"/>
      <c r="AI35" s="37"/>
      <c r="AJ35" s="38"/>
      <c r="AK35" s="71" t="s">
        <v>139</v>
      </c>
      <c r="AL35" s="71" t="s">
        <v>139</v>
      </c>
      <c r="AM35" s="71" t="s">
        <v>139</v>
      </c>
      <c r="AN35" s="71" t="s">
        <v>139</v>
      </c>
    </row>
    <row r="36" hidden="1">
      <c r="A36" s="54" t="s">
        <v>130</v>
      </c>
      <c r="B36" s="55" t="s">
        <v>95</v>
      </c>
      <c r="C36" s="17" t="s">
        <v>150</v>
      </c>
      <c r="D36" s="17" t="s">
        <v>132</v>
      </c>
      <c r="E36" s="41"/>
      <c r="F36" s="17" t="s">
        <v>151</v>
      </c>
      <c r="G36" s="41"/>
      <c r="H36" s="41"/>
      <c r="I36" s="41"/>
      <c r="J36" s="17" t="s">
        <v>134</v>
      </c>
      <c r="K36" s="17" t="s">
        <v>135</v>
      </c>
      <c r="L36" s="69"/>
      <c r="M36" s="70"/>
      <c r="N36" s="17">
        <v>1.5</v>
      </c>
      <c r="O36" s="56">
        <v>3.0</v>
      </c>
      <c r="P36" s="17">
        <v>2222.0</v>
      </c>
      <c r="Q36" s="41"/>
      <c r="R36" s="41"/>
      <c r="S36" s="16">
        <v>6.0</v>
      </c>
      <c r="T36" s="17" t="s">
        <v>136</v>
      </c>
      <c r="U36" s="17" t="s">
        <v>82</v>
      </c>
      <c r="V36" s="17" t="s">
        <v>137</v>
      </c>
      <c r="W36" s="17" t="s">
        <v>138</v>
      </c>
      <c r="X36" s="11">
        <v>922.0</v>
      </c>
      <c r="Y36" s="41"/>
      <c r="Z36" s="18" t="str">
        <f t="shared" si="16"/>
        <v/>
      </c>
      <c r="AA36" s="41"/>
      <c r="AB36" s="41"/>
      <c r="AC36" s="19" t="str">
        <f t="shared" si="17"/>
        <v/>
      </c>
      <c r="AD36" s="41"/>
      <c r="AE36" s="41"/>
      <c r="AF36" s="46">
        <f t="shared" si="12"/>
        <v>899.2310805</v>
      </c>
      <c r="AG36" s="41"/>
      <c r="AH36" s="41"/>
      <c r="AI36" s="41"/>
      <c r="AJ36" s="42"/>
      <c r="AK36" s="71" t="s">
        <v>139</v>
      </c>
      <c r="AL36" s="71" t="s">
        <v>139</v>
      </c>
      <c r="AM36" s="71" t="s">
        <v>139</v>
      </c>
      <c r="AN36" s="71" t="s">
        <v>139</v>
      </c>
    </row>
    <row r="37" hidden="1">
      <c r="A37" s="50" t="s">
        <v>130</v>
      </c>
      <c r="B37" s="51" t="s">
        <v>95</v>
      </c>
      <c r="C37" s="37"/>
      <c r="D37" s="31" t="s">
        <v>132</v>
      </c>
      <c r="E37" s="37"/>
      <c r="F37" s="31" t="s">
        <v>151</v>
      </c>
      <c r="G37" s="37"/>
      <c r="H37" s="37"/>
      <c r="I37" s="37"/>
      <c r="J37" s="31" t="s">
        <v>140</v>
      </c>
      <c r="K37" s="31" t="s">
        <v>141</v>
      </c>
      <c r="L37" s="72"/>
      <c r="M37" s="73"/>
      <c r="N37" s="31">
        <v>1.5</v>
      </c>
      <c r="O37" s="52">
        <v>3.0</v>
      </c>
      <c r="P37" s="31">
        <v>2222.0</v>
      </c>
      <c r="Q37" s="37"/>
      <c r="R37" s="37"/>
      <c r="S37" s="30">
        <v>6.0</v>
      </c>
      <c r="T37" s="31" t="s">
        <v>136</v>
      </c>
      <c r="U37" s="31" t="s">
        <v>82</v>
      </c>
      <c r="V37" s="31" t="s">
        <v>137</v>
      </c>
      <c r="W37" s="31" t="s">
        <v>138</v>
      </c>
      <c r="X37" s="25">
        <v>922.0</v>
      </c>
      <c r="Y37" s="37"/>
      <c r="Z37" s="32" t="str">
        <f t="shared" si="16"/>
        <v/>
      </c>
      <c r="AA37" s="37"/>
      <c r="AB37" s="37"/>
      <c r="AC37" s="33" t="str">
        <f t="shared" si="17"/>
        <v/>
      </c>
      <c r="AD37" s="37"/>
      <c r="AE37" s="37"/>
      <c r="AF37" s="44">
        <f t="shared" si="12"/>
        <v>899.2310805</v>
      </c>
      <c r="AG37" s="37"/>
      <c r="AH37" s="37"/>
      <c r="AI37" s="37"/>
      <c r="AJ37" s="38"/>
      <c r="AK37" s="71" t="s">
        <v>139</v>
      </c>
      <c r="AL37" s="71" t="s">
        <v>139</v>
      </c>
      <c r="AM37" s="71" t="s">
        <v>139</v>
      </c>
      <c r="AN37" s="71" t="s">
        <v>139</v>
      </c>
    </row>
    <row r="38" hidden="1">
      <c r="A38" s="54" t="s">
        <v>130</v>
      </c>
      <c r="B38" s="55" t="s">
        <v>95</v>
      </c>
      <c r="C38" s="41"/>
      <c r="D38" s="17" t="s">
        <v>132</v>
      </c>
      <c r="E38" s="41"/>
      <c r="F38" s="17" t="s">
        <v>151</v>
      </c>
      <c r="G38" s="41"/>
      <c r="H38" s="41"/>
      <c r="I38" s="41"/>
      <c r="J38" s="41"/>
      <c r="K38" s="17" t="s">
        <v>142</v>
      </c>
      <c r="L38" s="69"/>
      <c r="M38" s="70"/>
      <c r="N38" s="17">
        <v>1.5</v>
      </c>
      <c r="O38" s="56">
        <v>3.0</v>
      </c>
      <c r="P38" s="17">
        <v>2222.0</v>
      </c>
      <c r="Q38" s="41"/>
      <c r="R38" s="41"/>
      <c r="S38" s="16">
        <v>6.0</v>
      </c>
      <c r="T38" s="17" t="s">
        <v>136</v>
      </c>
      <c r="U38" s="17" t="s">
        <v>82</v>
      </c>
      <c r="V38" s="17" t="s">
        <v>137</v>
      </c>
      <c r="W38" s="17" t="s">
        <v>138</v>
      </c>
      <c r="X38" s="11">
        <v>922.0</v>
      </c>
      <c r="Y38" s="41"/>
      <c r="Z38" s="18" t="str">
        <f t="shared" si="16"/>
        <v/>
      </c>
      <c r="AA38" s="41"/>
      <c r="AB38" s="41"/>
      <c r="AC38" s="19" t="str">
        <f t="shared" si="17"/>
        <v/>
      </c>
      <c r="AD38" s="41"/>
      <c r="AE38" s="41"/>
      <c r="AF38" s="46">
        <f t="shared" si="12"/>
        <v>899.2310805</v>
      </c>
      <c r="AG38" s="41"/>
      <c r="AH38" s="41"/>
      <c r="AI38" s="41"/>
      <c r="AJ38" s="42"/>
      <c r="AK38" s="71" t="s">
        <v>139</v>
      </c>
      <c r="AL38" s="71" t="s">
        <v>139</v>
      </c>
      <c r="AM38" s="71" t="s">
        <v>139</v>
      </c>
      <c r="AN38" s="71" t="s">
        <v>139</v>
      </c>
    </row>
    <row r="39" hidden="1">
      <c r="A39" s="50" t="s">
        <v>130</v>
      </c>
      <c r="B39" s="51" t="s">
        <v>95</v>
      </c>
      <c r="C39" s="37"/>
      <c r="D39" s="31" t="s">
        <v>132</v>
      </c>
      <c r="E39" s="37"/>
      <c r="F39" s="31" t="s">
        <v>151</v>
      </c>
      <c r="G39" s="37"/>
      <c r="H39" s="37"/>
      <c r="I39" s="37"/>
      <c r="J39" s="31" t="s">
        <v>143</v>
      </c>
      <c r="K39" s="31" t="s">
        <v>144</v>
      </c>
      <c r="L39" s="72"/>
      <c r="M39" s="73"/>
      <c r="N39" s="31">
        <v>1.5</v>
      </c>
      <c r="O39" s="52">
        <v>3.0</v>
      </c>
      <c r="P39" s="31">
        <v>2222.0</v>
      </c>
      <c r="Q39" s="37"/>
      <c r="R39" s="37"/>
      <c r="S39" s="30">
        <v>6.0</v>
      </c>
      <c r="T39" s="31" t="s">
        <v>136</v>
      </c>
      <c r="U39" s="31" t="s">
        <v>82</v>
      </c>
      <c r="V39" s="31" t="s">
        <v>137</v>
      </c>
      <c r="W39" s="31" t="s">
        <v>138</v>
      </c>
      <c r="X39" s="25">
        <v>922.0</v>
      </c>
      <c r="Y39" s="37"/>
      <c r="Z39" s="32" t="str">
        <f t="shared" si="16"/>
        <v/>
      </c>
      <c r="AA39" s="37"/>
      <c r="AB39" s="37"/>
      <c r="AC39" s="33" t="str">
        <f t="shared" si="17"/>
        <v/>
      </c>
      <c r="AD39" s="37"/>
      <c r="AE39" s="37"/>
      <c r="AF39" s="44">
        <f t="shared" si="12"/>
        <v>899.2310805</v>
      </c>
      <c r="AG39" s="37"/>
      <c r="AH39" s="37"/>
      <c r="AI39" s="37"/>
      <c r="AJ39" s="38"/>
      <c r="AK39" s="71" t="s">
        <v>139</v>
      </c>
      <c r="AL39" s="71" t="s">
        <v>139</v>
      </c>
      <c r="AM39" s="71" t="s">
        <v>139</v>
      </c>
      <c r="AN39" s="71" t="s">
        <v>139</v>
      </c>
    </row>
    <row r="40" hidden="1">
      <c r="A40" s="54" t="s">
        <v>130</v>
      </c>
      <c r="B40" s="55" t="s">
        <v>95</v>
      </c>
      <c r="C40" s="41"/>
      <c r="D40" s="17" t="s">
        <v>132</v>
      </c>
      <c r="E40" s="41"/>
      <c r="F40" s="17" t="s">
        <v>151</v>
      </c>
      <c r="G40" s="41"/>
      <c r="H40" s="41"/>
      <c r="I40" s="41"/>
      <c r="J40" s="17" t="s">
        <v>145</v>
      </c>
      <c r="K40" s="17" t="s">
        <v>146</v>
      </c>
      <c r="L40" s="69"/>
      <c r="M40" s="70"/>
      <c r="N40" s="17">
        <v>1.5</v>
      </c>
      <c r="O40" s="56">
        <v>3.0</v>
      </c>
      <c r="P40" s="17">
        <v>2222.0</v>
      </c>
      <c r="Q40" s="41"/>
      <c r="R40" s="41"/>
      <c r="S40" s="16">
        <v>6.0</v>
      </c>
      <c r="T40" s="17" t="s">
        <v>136</v>
      </c>
      <c r="U40" s="17" t="s">
        <v>82</v>
      </c>
      <c r="V40" s="17" t="s">
        <v>137</v>
      </c>
      <c r="W40" s="17" t="s">
        <v>138</v>
      </c>
      <c r="X40" s="11">
        <v>922.0</v>
      </c>
      <c r="Y40" s="41"/>
      <c r="Z40" s="18" t="str">
        <f t="shared" si="16"/>
        <v/>
      </c>
      <c r="AA40" s="41"/>
      <c r="AB40" s="41"/>
      <c r="AC40" s="19" t="str">
        <f t="shared" si="17"/>
        <v/>
      </c>
      <c r="AD40" s="41"/>
      <c r="AE40" s="41"/>
      <c r="AF40" s="46">
        <f t="shared" si="12"/>
        <v>899.2310805</v>
      </c>
      <c r="AG40" s="41"/>
      <c r="AH40" s="41"/>
      <c r="AI40" s="41"/>
      <c r="AJ40" s="42"/>
      <c r="AK40" s="71" t="s">
        <v>139</v>
      </c>
      <c r="AL40" s="71" t="s">
        <v>139</v>
      </c>
      <c r="AM40" s="71" t="s">
        <v>139</v>
      </c>
      <c r="AN40" s="71" t="s">
        <v>139</v>
      </c>
    </row>
    <row r="41">
      <c r="A41" s="50" t="s">
        <v>152</v>
      </c>
      <c r="B41" s="51" t="s">
        <v>61</v>
      </c>
      <c r="C41" s="37"/>
      <c r="D41" s="31" t="s">
        <v>153</v>
      </c>
      <c r="E41" s="31" t="s">
        <v>154</v>
      </c>
      <c r="F41" s="31" t="s">
        <v>155</v>
      </c>
      <c r="G41" s="31" t="s">
        <v>156</v>
      </c>
      <c r="H41" s="37"/>
      <c r="I41" s="37"/>
      <c r="J41" s="31" t="s">
        <v>157</v>
      </c>
      <c r="K41" s="31" t="s">
        <v>158</v>
      </c>
      <c r="L41" s="32">
        <v>0.6</v>
      </c>
      <c r="M41" s="73"/>
      <c r="N41" s="31">
        <v>7.0</v>
      </c>
      <c r="O41" s="52">
        <v>2.5</v>
      </c>
      <c r="P41" s="31">
        <v>570.0</v>
      </c>
      <c r="Q41" s="31">
        <v>571.4</v>
      </c>
      <c r="R41" s="37"/>
      <c r="S41" s="30">
        <v>11.0</v>
      </c>
      <c r="T41" s="31" t="s">
        <v>159</v>
      </c>
      <c r="U41" s="31" t="s">
        <v>157</v>
      </c>
      <c r="V41" s="37"/>
      <c r="W41" s="31" t="s">
        <v>160</v>
      </c>
      <c r="X41" s="31">
        <v>612.0</v>
      </c>
      <c r="Y41" s="25">
        <v>4.1</v>
      </c>
      <c r="Z41" s="32">
        <f t="shared" si="16"/>
        <v>7.168089129</v>
      </c>
      <c r="AA41" s="31">
        <v>64.7</v>
      </c>
      <c r="AB41" s="31">
        <v>127.9</v>
      </c>
      <c r="AC41" s="33">
        <f t="shared" si="17"/>
        <v>419.6194226</v>
      </c>
      <c r="AD41" s="31" t="s">
        <v>161</v>
      </c>
      <c r="AE41" s="31" t="s">
        <v>161</v>
      </c>
      <c r="AF41" s="44">
        <f t="shared" si="12"/>
        <v>230.6758397</v>
      </c>
      <c r="AG41" s="31" t="s">
        <v>162</v>
      </c>
      <c r="AH41" s="37"/>
      <c r="AI41" s="31" t="s">
        <v>163</v>
      </c>
      <c r="AJ41" s="53" t="s">
        <v>163</v>
      </c>
      <c r="AK41" s="83" t="b">
        <v>0</v>
      </c>
      <c r="AL41" s="74" t="b">
        <v>1</v>
      </c>
      <c r="AM41" s="74" t="b">
        <v>1</v>
      </c>
      <c r="AN41" s="74" t="b">
        <v>1</v>
      </c>
      <c r="AO41" s="83" t="s">
        <v>364</v>
      </c>
      <c r="AP41" s="83">
        <v>11.0</v>
      </c>
      <c r="AQ41" s="83">
        <v>74.0</v>
      </c>
      <c r="AR41" s="120">
        <f>AQ41/AP41</f>
        <v>6.727272727</v>
      </c>
    </row>
    <row r="42" hidden="1">
      <c r="A42" s="58" t="s">
        <v>164</v>
      </c>
      <c r="B42" s="59" t="s">
        <v>126</v>
      </c>
      <c r="C42" s="60"/>
      <c r="D42" s="61" t="s">
        <v>165</v>
      </c>
      <c r="E42" s="60"/>
      <c r="F42" s="60"/>
      <c r="G42" s="60"/>
      <c r="H42" s="60"/>
      <c r="I42" s="60"/>
      <c r="J42" s="61" t="s">
        <v>166</v>
      </c>
      <c r="K42" s="61" t="s">
        <v>167</v>
      </c>
      <c r="L42" s="75" t="s">
        <v>168</v>
      </c>
      <c r="M42" s="76" t="s">
        <v>168</v>
      </c>
      <c r="N42" s="61" t="s">
        <v>168</v>
      </c>
      <c r="O42" s="75" t="s">
        <v>168</v>
      </c>
      <c r="P42" s="61" t="s">
        <v>168</v>
      </c>
      <c r="Q42" s="61" t="s">
        <v>168</v>
      </c>
      <c r="R42" s="61" t="s">
        <v>168</v>
      </c>
      <c r="S42" s="65" t="s">
        <v>169</v>
      </c>
      <c r="T42" s="61" t="s">
        <v>168</v>
      </c>
      <c r="U42" s="60"/>
      <c r="V42" s="60"/>
      <c r="W42" s="60"/>
      <c r="X42" s="60"/>
      <c r="Y42" s="60"/>
      <c r="Z42" s="60"/>
      <c r="AA42" s="60"/>
      <c r="AB42" s="60"/>
      <c r="AC42" s="63"/>
      <c r="AD42" s="60"/>
      <c r="AE42" s="60"/>
      <c r="AF42" s="66" t="str">
        <f t="shared" si="12"/>
        <v/>
      </c>
      <c r="AG42" s="60"/>
      <c r="AH42" s="60"/>
      <c r="AI42" s="60"/>
      <c r="AJ42" s="67"/>
      <c r="AK42" s="68" t="s">
        <v>129</v>
      </c>
      <c r="AL42" s="68" t="s">
        <v>129</v>
      </c>
      <c r="AM42" s="68" t="s">
        <v>129</v>
      </c>
      <c r="AN42" s="68" t="s">
        <v>129</v>
      </c>
    </row>
    <row r="43" hidden="1">
      <c r="A43" s="58" t="s">
        <v>164</v>
      </c>
      <c r="B43" s="59" t="s">
        <v>126</v>
      </c>
      <c r="C43" s="60"/>
      <c r="D43" s="61" t="s">
        <v>170</v>
      </c>
      <c r="E43" s="60"/>
      <c r="F43" s="60"/>
      <c r="G43" s="60"/>
      <c r="H43" s="60"/>
      <c r="I43" s="60"/>
      <c r="J43" s="61" t="s">
        <v>166</v>
      </c>
      <c r="K43" s="61" t="s">
        <v>167</v>
      </c>
      <c r="L43" s="75" t="s">
        <v>168</v>
      </c>
      <c r="M43" s="76" t="s">
        <v>168</v>
      </c>
      <c r="N43" s="61" t="s">
        <v>168</v>
      </c>
      <c r="O43" s="64"/>
      <c r="P43" s="60"/>
      <c r="Q43" s="60"/>
      <c r="R43" s="60"/>
      <c r="S43" s="65" t="s">
        <v>171</v>
      </c>
      <c r="T43" s="60"/>
      <c r="U43" s="60"/>
      <c r="V43" s="60"/>
      <c r="W43" s="60"/>
      <c r="X43" s="60"/>
      <c r="Y43" s="60"/>
      <c r="Z43" s="60"/>
      <c r="AA43" s="60"/>
      <c r="AB43" s="60"/>
      <c r="AC43" s="63"/>
      <c r="AD43" s="60"/>
      <c r="AE43" s="60"/>
      <c r="AF43" s="66" t="str">
        <f t="shared" si="12"/>
        <v/>
      </c>
      <c r="AG43" s="60"/>
      <c r="AH43" s="60"/>
      <c r="AI43" s="60"/>
      <c r="AJ43" s="67"/>
      <c r="AK43" s="68" t="s">
        <v>129</v>
      </c>
      <c r="AL43" s="68" t="s">
        <v>129</v>
      </c>
      <c r="AM43" s="68" t="s">
        <v>129</v>
      </c>
      <c r="AN43" s="68" t="s">
        <v>129</v>
      </c>
    </row>
    <row r="44">
      <c r="A44" s="54" t="s">
        <v>172</v>
      </c>
      <c r="B44" s="55" t="s">
        <v>41</v>
      </c>
      <c r="C44" s="17" t="s">
        <v>173</v>
      </c>
      <c r="D44" s="17" t="s">
        <v>43</v>
      </c>
      <c r="E44" s="11" t="s">
        <v>174</v>
      </c>
      <c r="F44" s="17" t="s">
        <v>175</v>
      </c>
      <c r="H44" s="17">
        <v>39.02</v>
      </c>
      <c r="I44" s="17">
        <v>92.76</v>
      </c>
      <c r="J44" s="17" t="s">
        <v>80</v>
      </c>
      <c r="K44" s="17" t="s">
        <v>81</v>
      </c>
      <c r="L44" s="18">
        <v>1.5</v>
      </c>
      <c r="M44" s="70"/>
      <c r="N44" s="17">
        <v>9.1</v>
      </c>
      <c r="O44" s="56">
        <v>9.1</v>
      </c>
      <c r="P44" s="41"/>
      <c r="Q44" s="17">
        <v>121.0</v>
      </c>
      <c r="R44" s="41"/>
      <c r="S44" s="16">
        <v>9.0</v>
      </c>
      <c r="T44" s="17">
        <v>180.0</v>
      </c>
      <c r="U44" s="17" t="s">
        <v>176</v>
      </c>
      <c r="V44" s="41"/>
      <c r="W44" s="41"/>
      <c r="X44" s="41"/>
      <c r="Y44" s="41"/>
      <c r="Z44" s="18" t="str">
        <f t="shared" ref="Z44:Z47" si="18">IF(ISNUMBER(Y44),tan(Y44*PI()/180)*100,"")</f>
        <v/>
      </c>
      <c r="AA44" s="41"/>
      <c r="AB44" s="41"/>
      <c r="AC44" s="19" t="str">
        <f t="shared" ref="AC44:AC47" si="19">IF(ISNUMBER(AB44), CONVERT(AB44,"m","ft"),"")</f>
        <v/>
      </c>
      <c r="AD44" s="17">
        <v>65.0</v>
      </c>
      <c r="AE44" s="17" t="s">
        <v>177</v>
      </c>
      <c r="AF44" s="46">
        <f t="shared" si="12"/>
        <v>48.96802914</v>
      </c>
      <c r="AG44" s="17" t="s">
        <v>178</v>
      </c>
      <c r="AH44" s="78" t="s">
        <v>365</v>
      </c>
      <c r="AI44" s="41"/>
      <c r="AJ44" s="42"/>
      <c r="AK44" s="74" t="b">
        <v>1</v>
      </c>
      <c r="AL44" s="71" t="s">
        <v>139</v>
      </c>
      <c r="AM44" s="71" t="s">
        <v>139</v>
      </c>
      <c r="AN44" s="71" t="s">
        <v>139</v>
      </c>
      <c r="AO44" s="83" t="s">
        <v>364</v>
      </c>
      <c r="AP44" s="83">
        <v>10.0</v>
      </c>
      <c r="AQ44" s="83">
        <f>17 + (17*0.25)</f>
        <v>21.25</v>
      </c>
      <c r="AR44" s="120">
        <f t="shared" ref="AR44:AR50" si="20">AQ44/AP44</f>
        <v>2.125</v>
      </c>
    </row>
    <row r="45">
      <c r="A45" s="50" t="s">
        <v>180</v>
      </c>
      <c r="B45" s="51" t="s">
        <v>41</v>
      </c>
      <c r="C45" s="31" t="s">
        <v>173</v>
      </c>
      <c r="D45" s="31" t="s">
        <v>43</v>
      </c>
      <c r="E45" s="25" t="s">
        <v>181</v>
      </c>
      <c r="F45" s="31" t="s">
        <v>182</v>
      </c>
      <c r="H45" s="31">
        <v>37.08</v>
      </c>
      <c r="I45" s="31">
        <v>93.87</v>
      </c>
      <c r="J45" s="31" t="s">
        <v>80</v>
      </c>
      <c r="K45" s="31" t="s">
        <v>81</v>
      </c>
      <c r="L45" s="72"/>
      <c r="M45" s="73"/>
      <c r="N45" s="31">
        <v>12.2</v>
      </c>
      <c r="O45" s="52">
        <v>9.1</v>
      </c>
      <c r="P45" s="37"/>
      <c r="Q45" s="31">
        <v>90.0</v>
      </c>
      <c r="R45" s="37"/>
      <c r="S45" s="30">
        <v>9.0</v>
      </c>
      <c r="T45" s="31">
        <v>120.0</v>
      </c>
      <c r="U45" s="31" t="s">
        <v>176</v>
      </c>
      <c r="V45" s="37"/>
      <c r="W45" s="37"/>
      <c r="X45" s="37"/>
      <c r="Y45" s="31"/>
      <c r="Z45" s="32" t="str">
        <f t="shared" si="18"/>
        <v/>
      </c>
      <c r="AA45" s="37"/>
      <c r="AB45" s="37"/>
      <c r="AC45" s="33" t="str">
        <f t="shared" si="19"/>
        <v/>
      </c>
      <c r="AD45" s="31">
        <v>80.0</v>
      </c>
      <c r="AE45" s="31" t="s">
        <v>177</v>
      </c>
      <c r="AF45" s="44">
        <f t="shared" si="12"/>
        <v>36.42250101</v>
      </c>
      <c r="AG45" s="31" t="s">
        <v>183</v>
      </c>
      <c r="AH45" s="77" t="s">
        <v>366</v>
      </c>
      <c r="AI45" s="37"/>
      <c r="AJ45" s="38"/>
      <c r="AK45" s="74" t="b">
        <v>1</v>
      </c>
      <c r="AL45" s="71" t="s">
        <v>139</v>
      </c>
      <c r="AM45" s="71" t="s">
        <v>139</v>
      </c>
      <c r="AN45" s="71" t="s">
        <v>139</v>
      </c>
      <c r="AO45" s="83" t="s">
        <v>364</v>
      </c>
      <c r="AP45" s="83">
        <v>10.0</v>
      </c>
      <c r="AQ45" s="83">
        <v>12.4</v>
      </c>
      <c r="AR45" s="120">
        <f t="shared" si="20"/>
        <v>1.24</v>
      </c>
    </row>
    <row r="46">
      <c r="A46" s="54" t="s">
        <v>185</v>
      </c>
      <c r="B46" s="55" t="s">
        <v>41</v>
      </c>
      <c r="C46" s="17" t="s">
        <v>186</v>
      </c>
      <c r="D46" s="17" t="s">
        <v>62</v>
      </c>
      <c r="E46" s="11" t="s">
        <v>63</v>
      </c>
      <c r="F46" s="17" t="s">
        <v>187</v>
      </c>
      <c r="H46" s="17">
        <v>36.09</v>
      </c>
      <c r="I46" s="17">
        <v>94.19</v>
      </c>
      <c r="J46" s="17" t="s">
        <v>80</v>
      </c>
      <c r="K46" s="17" t="s">
        <v>81</v>
      </c>
      <c r="L46" s="69"/>
      <c r="M46" s="70">
        <f>72/108</f>
        <v>0.6666666667</v>
      </c>
      <c r="N46" s="17">
        <v>15.0</v>
      </c>
      <c r="O46" s="56">
        <v>9.1</v>
      </c>
      <c r="P46" s="41"/>
      <c r="Q46" s="17">
        <v>73.0</v>
      </c>
      <c r="R46" s="41"/>
      <c r="S46" s="16">
        <v>11.0</v>
      </c>
      <c r="T46" s="17">
        <v>91.0</v>
      </c>
      <c r="U46" s="17" t="s">
        <v>176</v>
      </c>
      <c r="V46" s="41"/>
      <c r="W46" s="41"/>
      <c r="X46" s="17">
        <v>81005.0</v>
      </c>
      <c r="Y46" s="41"/>
      <c r="Z46" s="18" t="str">
        <f t="shared" si="18"/>
        <v/>
      </c>
      <c r="AA46" s="41"/>
      <c r="AB46" s="41"/>
      <c r="AC46" s="19" t="str">
        <f t="shared" si="19"/>
        <v/>
      </c>
      <c r="AD46" s="17">
        <v>62.5</v>
      </c>
      <c r="AE46" s="17" t="s">
        <v>177</v>
      </c>
      <c r="AF46" s="46">
        <f t="shared" si="12"/>
        <v>29.54269527</v>
      </c>
      <c r="AG46" s="17" t="s">
        <v>188</v>
      </c>
      <c r="AH46" s="78" t="s">
        <v>367</v>
      </c>
      <c r="AI46" s="17"/>
      <c r="AJ46" s="57" t="s">
        <v>190</v>
      </c>
      <c r="AK46" s="74" t="b">
        <v>1</v>
      </c>
      <c r="AL46" s="74" t="b">
        <v>1</v>
      </c>
      <c r="AM46" s="74" t="b">
        <v>1</v>
      </c>
      <c r="AN46" s="74" t="b">
        <v>1</v>
      </c>
      <c r="AO46" s="83" t="s">
        <v>364</v>
      </c>
      <c r="AP46" s="83">
        <v>11.0</v>
      </c>
      <c r="AQ46" s="83">
        <f>4.8 + (0.25*4.8)</f>
        <v>6</v>
      </c>
      <c r="AR46" s="120">
        <f t="shared" si="20"/>
        <v>0.5454545455</v>
      </c>
    </row>
    <row r="47">
      <c r="A47" s="50" t="s">
        <v>191</v>
      </c>
      <c r="B47" s="51" t="s">
        <v>41</v>
      </c>
      <c r="C47" s="31" t="s">
        <v>192</v>
      </c>
      <c r="D47" s="31" t="s">
        <v>62</v>
      </c>
      <c r="E47" s="25" t="s">
        <v>193</v>
      </c>
      <c r="F47" s="31" t="s">
        <v>194</v>
      </c>
      <c r="H47" s="31">
        <v>35.09</v>
      </c>
      <c r="I47" s="31">
        <v>93.97</v>
      </c>
      <c r="J47" s="31" t="s">
        <v>80</v>
      </c>
      <c r="K47" s="31" t="s">
        <v>81</v>
      </c>
      <c r="L47" s="72"/>
      <c r="M47" s="73"/>
      <c r="N47" s="31">
        <v>12.2</v>
      </c>
      <c r="O47" s="52">
        <v>7.6</v>
      </c>
      <c r="P47" s="37"/>
      <c r="Q47" s="25">
        <v>108.0</v>
      </c>
      <c r="R47" s="37"/>
      <c r="S47" s="30" t="s">
        <v>195</v>
      </c>
      <c r="T47" s="31">
        <v>72.0</v>
      </c>
      <c r="U47" s="31" t="s">
        <v>176</v>
      </c>
      <c r="V47" s="37"/>
      <c r="W47" s="37"/>
      <c r="X47" s="37"/>
      <c r="Y47" s="37"/>
      <c r="Z47" s="32" t="str">
        <f t="shared" si="18"/>
        <v/>
      </c>
      <c r="AA47" s="37"/>
      <c r="AB47" s="37"/>
      <c r="AC47" s="33" t="str">
        <f t="shared" si="19"/>
        <v/>
      </c>
      <c r="AD47" s="31">
        <v>57.5</v>
      </c>
      <c r="AE47" s="31" t="s">
        <v>177</v>
      </c>
      <c r="AF47" s="44">
        <f t="shared" si="12"/>
        <v>43.70700121</v>
      </c>
      <c r="AG47" s="31" t="s">
        <v>196</v>
      </c>
      <c r="AH47" s="77" t="s">
        <v>368</v>
      </c>
      <c r="AI47" s="37"/>
      <c r="AJ47" s="38"/>
      <c r="AK47" s="74" t="b">
        <v>1</v>
      </c>
      <c r="AL47" s="71" t="s">
        <v>139</v>
      </c>
      <c r="AM47" s="71" t="s">
        <v>139</v>
      </c>
      <c r="AN47" s="71" t="s">
        <v>139</v>
      </c>
      <c r="AO47" s="83" t="s">
        <v>364</v>
      </c>
      <c r="AP47" s="83">
        <v>8.9</v>
      </c>
      <c r="AQ47" s="83">
        <v>17.1</v>
      </c>
      <c r="AR47" s="120">
        <f t="shared" si="20"/>
        <v>1.921348315</v>
      </c>
    </row>
    <row r="48" hidden="1">
      <c r="A48" s="58" t="s">
        <v>198</v>
      </c>
      <c r="B48" s="59" t="s">
        <v>95</v>
      </c>
      <c r="C48" s="61" t="s">
        <v>199</v>
      </c>
      <c r="D48" s="61" t="s">
        <v>200</v>
      </c>
      <c r="E48" s="61" t="s">
        <v>201</v>
      </c>
      <c r="F48" s="60"/>
      <c r="G48" s="61" t="s">
        <v>202</v>
      </c>
      <c r="H48" s="60"/>
      <c r="I48" s="60"/>
      <c r="J48" s="61" t="s">
        <v>203</v>
      </c>
      <c r="K48" s="60"/>
      <c r="L48" s="75" t="s">
        <v>109</v>
      </c>
      <c r="M48" s="76" t="s">
        <v>109</v>
      </c>
      <c r="N48" s="61" t="s">
        <v>109</v>
      </c>
      <c r="O48" s="75" t="s">
        <v>109</v>
      </c>
      <c r="P48" s="61" t="s">
        <v>109</v>
      </c>
      <c r="Q48" s="61" t="s">
        <v>109</v>
      </c>
      <c r="R48" s="61" t="s">
        <v>109</v>
      </c>
      <c r="S48" s="65" t="s">
        <v>204</v>
      </c>
      <c r="T48" s="60"/>
      <c r="U48" s="60"/>
      <c r="V48" s="60"/>
      <c r="W48" s="60"/>
      <c r="X48" s="60"/>
      <c r="Y48" s="60"/>
      <c r="Z48" s="60"/>
      <c r="AA48" s="60"/>
      <c r="AB48" s="60"/>
      <c r="AC48" s="63"/>
      <c r="AD48" s="60"/>
      <c r="AE48" s="60"/>
      <c r="AF48" s="66" t="str">
        <f t="shared" si="12"/>
        <v/>
      </c>
      <c r="AG48" s="60"/>
      <c r="AH48" s="60"/>
      <c r="AI48" s="60"/>
      <c r="AJ48" s="67"/>
      <c r="AK48" s="79" t="b">
        <v>1</v>
      </c>
      <c r="AL48" s="68" t="s">
        <v>129</v>
      </c>
      <c r="AM48" s="68" t="s">
        <v>129</v>
      </c>
      <c r="AN48" s="68" t="s">
        <v>129</v>
      </c>
      <c r="AR48" s="120" t="str">
        <f t="shared" si="20"/>
        <v>#DIV/0!</v>
      </c>
    </row>
    <row r="49">
      <c r="A49" s="50" t="s">
        <v>205</v>
      </c>
      <c r="B49" s="51" t="s">
        <v>61</v>
      </c>
      <c r="C49" s="37"/>
      <c r="D49" s="31" t="s">
        <v>206</v>
      </c>
      <c r="E49" s="31" t="s">
        <v>207</v>
      </c>
      <c r="F49" s="31" t="s">
        <v>208</v>
      </c>
      <c r="G49" s="31" t="s">
        <v>209</v>
      </c>
      <c r="H49" s="37"/>
      <c r="I49" s="37"/>
      <c r="J49" s="31" t="s">
        <v>210</v>
      </c>
      <c r="K49" s="31" t="s">
        <v>211</v>
      </c>
      <c r="L49" s="72">
        <f t="shared" ref="L49:L50" si="21">T49/Q49</f>
        <v>0.9830508475</v>
      </c>
      <c r="M49" s="73"/>
      <c r="N49" s="31">
        <v>13.0</v>
      </c>
      <c r="O49" s="52">
        <v>13.0</v>
      </c>
      <c r="P49" s="37"/>
      <c r="Q49" s="31">
        <v>59.0</v>
      </c>
      <c r="R49" s="37"/>
      <c r="S49" s="30">
        <v>27.0</v>
      </c>
      <c r="T49" s="31">
        <v>58.0</v>
      </c>
      <c r="U49" s="31" t="s">
        <v>212</v>
      </c>
      <c r="V49" s="37"/>
      <c r="W49" s="31" t="s">
        <v>213</v>
      </c>
      <c r="X49" s="25">
        <v>80811.0</v>
      </c>
      <c r="Y49" s="31">
        <v>9.08</v>
      </c>
      <c r="Z49" s="32">
        <f t="shared" ref="Z49:Z61" si="22">IF(ISNUMBER(Y49),tan(Y49*PI()/180)*100,"")</f>
        <v>15.98160474</v>
      </c>
      <c r="AA49" s="31">
        <v>208.7</v>
      </c>
      <c r="AB49" s="31">
        <v>528.2</v>
      </c>
      <c r="AC49" s="33">
        <f t="shared" ref="AC49:AC61" si="23">IF(ISNUMBER(AB49), CONVERT(AB49,"m","ft"),"")</f>
        <v>1732.939633</v>
      </c>
      <c r="AD49" s="25">
        <v>50.0</v>
      </c>
      <c r="AE49" s="31" t="s">
        <v>112</v>
      </c>
      <c r="AF49" s="44">
        <f t="shared" si="12"/>
        <v>23.87697289</v>
      </c>
      <c r="AG49" s="37"/>
      <c r="AH49" s="31" t="s">
        <v>214</v>
      </c>
      <c r="AI49" s="31" t="s">
        <v>215</v>
      </c>
      <c r="AJ49" s="53"/>
      <c r="AK49" s="80" t="b">
        <v>1</v>
      </c>
      <c r="AL49" s="80" t="b">
        <v>1</v>
      </c>
      <c r="AM49" s="80" t="b">
        <v>1</v>
      </c>
      <c r="AN49" s="80" t="b">
        <v>1</v>
      </c>
      <c r="AO49" s="83" t="s">
        <v>369</v>
      </c>
      <c r="AP49" s="83">
        <v>27.0</v>
      </c>
      <c r="AQ49" s="83">
        <f>8.17 + (0.25*8.17)</f>
        <v>10.2125</v>
      </c>
      <c r="AR49" s="120">
        <f t="shared" si="20"/>
        <v>0.3782407407</v>
      </c>
    </row>
    <row r="50">
      <c r="A50" s="54" t="s">
        <v>205</v>
      </c>
      <c r="B50" s="55" t="s">
        <v>61</v>
      </c>
      <c r="C50" s="41"/>
      <c r="D50" s="17" t="s">
        <v>206</v>
      </c>
      <c r="E50" s="17" t="s">
        <v>207</v>
      </c>
      <c r="F50" s="17" t="s">
        <v>208</v>
      </c>
      <c r="G50" s="17" t="s">
        <v>209</v>
      </c>
      <c r="H50" s="41"/>
      <c r="I50" s="41"/>
      <c r="J50" s="17" t="s">
        <v>80</v>
      </c>
      <c r="K50" s="17" t="s">
        <v>81</v>
      </c>
      <c r="L50" s="69">
        <f t="shared" si="21"/>
        <v>0.8474576271</v>
      </c>
      <c r="M50" s="70"/>
      <c r="N50" s="17">
        <v>13.0</v>
      </c>
      <c r="O50" s="56">
        <v>13.0</v>
      </c>
      <c r="P50" s="41"/>
      <c r="Q50" s="17">
        <v>59.0</v>
      </c>
      <c r="R50" s="41"/>
      <c r="S50" s="16">
        <v>27.0</v>
      </c>
      <c r="T50" s="17">
        <v>50.0</v>
      </c>
      <c r="U50" s="17" t="s">
        <v>216</v>
      </c>
      <c r="V50" s="17" t="s">
        <v>217</v>
      </c>
      <c r="W50" s="17" t="s">
        <v>213</v>
      </c>
      <c r="X50" s="11">
        <v>80811.0</v>
      </c>
      <c r="Y50" s="17">
        <v>9.08</v>
      </c>
      <c r="Z50" s="18">
        <f t="shared" si="22"/>
        <v>15.98160474</v>
      </c>
      <c r="AA50" s="17">
        <v>208.7</v>
      </c>
      <c r="AB50" s="17">
        <v>528.2</v>
      </c>
      <c r="AC50" s="19">
        <f t="shared" si="23"/>
        <v>1732.939633</v>
      </c>
      <c r="AD50" s="17">
        <v>50.0</v>
      </c>
      <c r="AE50" s="17" t="s">
        <v>112</v>
      </c>
      <c r="AF50" s="46">
        <f t="shared" si="12"/>
        <v>23.87697289</v>
      </c>
      <c r="AG50" s="41"/>
      <c r="AH50" s="17" t="s">
        <v>214</v>
      </c>
      <c r="AI50" s="17" t="s">
        <v>218</v>
      </c>
      <c r="AJ50" s="57"/>
      <c r="AK50" s="80" t="b">
        <v>1</v>
      </c>
      <c r="AL50" s="80" t="b">
        <v>1</v>
      </c>
      <c r="AM50" s="80" t="b">
        <v>1</v>
      </c>
      <c r="AN50" s="80" t="b">
        <v>1</v>
      </c>
      <c r="AO50" s="83" t="s">
        <v>369</v>
      </c>
      <c r="AP50" s="83">
        <v>27.0</v>
      </c>
      <c r="AQ50" s="83">
        <f>13.73 + (0.25*13.73)</f>
        <v>17.1625</v>
      </c>
      <c r="AR50" s="120">
        <f t="shared" si="20"/>
        <v>0.6356481481</v>
      </c>
    </row>
    <row r="51" hidden="1">
      <c r="A51" s="50" t="s">
        <v>219</v>
      </c>
      <c r="B51" s="131"/>
      <c r="C51" s="37"/>
      <c r="D51" s="31"/>
      <c r="E51" s="31"/>
      <c r="F51" s="31"/>
      <c r="G51" s="31" t="s">
        <v>220</v>
      </c>
      <c r="H51" s="37"/>
      <c r="I51" s="37"/>
      <c r="J51" s="31"/>
      <c r="K51" s="31"/>
      <c r="L51" s="72"/>
      <c r="M51" s="73"/>
      <c r="N51" s="31"/>
      <c r="O51" s="52"/>
      <c r="P51" s="31"/>
      <c r="Q51" s="37"/>
      <c r="R51" s="37"/>
      <c r="S51" s="82"/>
      <c r="T51" s="31"/>
      <c r="U51" s="31"/>
      <c r="V51" s="37"/>
      <c r="W51" s="37"/>
      <c r="X51" s="31">
        <v>80814.0</v>
      </c>
      <c r="Y51" s="31">
        <v>5.59</v>
      </c>
      <c r="Z51" s="32">
        <f t="shared" si="22"/>
        <v>9.787464942</v>
      </c>
      <c r="AA51" s="31">
        <v>141.4</v>
      </c>
      <c r="AB51" s="31">
        <v>517.4</v>
      </c>
      <c r="AC51" s="33">
        <f t="shared" si="23"/>
        <v>1697.506562</v>
      </c>
      <c r="AD51" s="31">
        <v>75.0</v>
      </c>
      <c r="AE51" s="31" t="s">
        <v>112</v>
      </c>
      <c r="AF51" s="44" t="str">
        <f t="shared" si="12"/>
        <v/>
      </c>
      <c r="AG51" s="37"/>
      <c r="AH51" s="37"/>
      <c r="AI51" s="31" t="s">
        <v>163</v>
      </c>
      <c r="AJ51" s="53"/>
      <c r="AK51" s="68" t="s">
        <v>129</v>
      </c>
      <c r="AL51" s="68" t="s">
        <v>129</v>
      </c>
      <c r="AM51" s="68" t="s">
        <v>129</v>
      </c>
      <c r="AN51" s="68" t="s">
        <v>129</v>
      </c>
    </row>
    <row r="52">
      <c r="A52" s="54" t="s">
        <v>221</v>
      </c>
      <c r="B52" s="55" t="s">
        <v>61</v>
      </c>
      <c r="C52" s="41"/>
      <c r="D52" s="17" t="s">
        <v>222</v>
      </c>
      <c r="E52" s="17" t="s">
        <v>223</v>
      </c>
      <c r="F52" s="17" t="s">
        <v>224</v>
      </c>
      <c r="G52" s="17" t="s">
        <v>225</v>
      </c>
      <c r="H52" s="41"/>
      <c r="I52" s="41"/>
      <c r="J52" s="17" t="s">
        <v>226</v>
      </c>
      <c r="K52" s="17" t="s">
        <v>227</v>
      </c>
      <c r="L52" s="69"/>
      <c r="M52" s="70"/>
      <c r="N52" s="17"/>
      <c r="O52" s="56"/>
      <c r="P52" s="17">
        <v>642.0</v>
      </c>
      <c r="Q52" s="41"/>
      <c r="R52" s="41"/>
      <c r="S52" s="16">
        <v>33.0</v>
      </c>
      <c r="T52" s="17" t="s">
        <v>228</v>
      </c>
      <c r="U52" s="17" t="s">
        <v>229</v>
      </c>
      <c r="V52" s="41"/>
      <c r="W52" s="41"/>
      <c r="X52" s="17">
        <v>930.0</v>
      </c>
      <c r="Y52" s="17">
        <v>4.88</v>
      </c>
      <c r="Z52" s="18">
        <f t="shared" si="22"/>
        <v>8.537862092</v>
      </c>
      <c r="AA52" s="17">
        <v>89.9</v>
      </c>
      <c r="AB52" s="17">
        <v>349.4</v>
      </c>
      <c r="AC52" s="19">
        <f t="shared" si="23"/>
        <v>1146.325459</v>
      </c>
      <c r="AD52" s="11">
        <v>70.0</v>
      </c>
      <c r="AE52" s="17" t="s">
        <v>230</v>
      </c>
      <c r="AF52" s="46">
        <f t="shared" si="12"/>
        <v>259.8138406</v>
      </c>
      <c r="AG52" s="17" t="s">
        <v>162</v>
      </c>
      <c r="AH52" s="41"/>
      <c r="AI52" s="17" t="s">
        <v>163</v>
      </c>
      <c r="AJ52" s="57"/>
      <c r="AK52" s="80" t="b">
        <v>0</v>
      </c>
      <c r="AL52" s="80" t="b">
        <v>1</v>
      </c>
      <c r="AM52" s="80" t="b">
        <v>1</v>
      </c>
      <c r="AN52" s="80" t="b">
        <v>1</v>
      </c>
      <c r="AO52" s="83" t="s">
        <v>370</v>
      </c>
      <c r="AP52" s="83">
        <v>33.0</v>
      </c>
      <c r="AQ52" s="83">
        <f> 52.81 + (52.81*0.25)</f>
        <v>66.0125</v>
      </c>
      <c r="AR52" s="120">
        <f t="shared" ref="AR52:AR53" si="24">AQ52/AP52</f>
        <v>2.000378788</v>
      </c>
    </row>
    <row r="53">
      <c r="A53" s="50" t="s">
        <v>231</v>
      </c>
      <c r="B53" s="51" t="s">
        <v>61</v>
      </c>
      <c r="C53" s="37"/>
      <c r="D53" s="31" t="s">
        <v>222</v>
      </c>
      <c r="E53" s="31" t="s">
        <v>223</v>
      </c>
      <c r="F53" s="31" t="s">
        <v>224</v>
      </c>
      <c r="G53" s="31" t="s">
        <v>225</v>
      </c>
      <c r="H53" s="37"/>
      <c r="I53" s="37"/>
      <c r="J53" s="31" t="s">
        <v>232</v>
      </c>
      <c r="K53" s="31" t="s">
        <v>233</v>
      </c>
      <c r="L53" s="72"/>
      <c r="M53" s="73"/>
      <c r="N53" s="31"/>
      <c r="O53" s="52"/>
      <c r="P53" s="31">
        <v>280.0</v>
      </c>
      <c r="Q53" s="37"/>
      <c r="R53" s="37"/>
      <c r="S53" s="30">
        <v>33.0</v>
      </c>
      <c r="T53" s="31" t="s">
        <v>234</v>
      </c>
      <c r="U53" s="31" t="s">
        <v>235</v>
      </c>
      <c r="V53" s="31"/>
      <c r="W53" s="37"/>
      <c r="X53" s="31">
        <v>930.0</v>
      </c>
      <c r="Y53" s="31">
        <v>4.88</v>
      </c>
      <c r="Z53" s="32">
        <f t="shared" si="22"/>
        <v>8.537862092</v>
      </c>
      <c r="AA53" s="31">
        <v>89.9</v>
      </c>
      <c r="AB53" s="31">
        <v>349.4</v>
      </c>
      <c r="AC53" s="33">
        <f t="shared" si="23"/>
        <v>1146.325459</v>
      </c>
      <c r="AD53" s="25">
        <v>70.0</v>
      </c>
      <c r="AE53" s="31" t="s">
        <v>230</v>
      </c>
      <c r="AF53" s="44">
        <f t="shared" si="12"/>
        <v>113.3144476</v>
      </c>
      <c r="AG53" s="31" t="s">
        <v>162</v>
      </c>
      <c r="AH53" s="37"/>
      <c r="AI53" s="31" t="s">
        <v>163</v>
      </c>
      <c r="AJ53" s="53"/>
      <c r="AK53" s="80" t="b">
        <v>1</v>
      </c>
      <c r="AL53" s="80" t="b">
        <v>1</v>
      </c>
      <c r="AM53" s="80" t="b">
        <v>1</v>
      </c>
      <c r="AN53" s="80" t="b">
        <v>1</v>
      </c>
      <c r="AO53" s="83" t="s">
        <v>370</v>
      </c>
      <c r="AP53" s="83">
        <v>33.0</v>
      </c>
      <c r="AQ53" s="83">
        <f>29.04 + (29.04*0.25)</f>
        <v>36.3</v>
      </c>
      <c r="AR53" s="120">
        <f t="shared" si="24"/>
        <v>1.1</v>
      </c>
    </row>
    <row r="54" hidden="1">
      <c r="A54" s="54" t="s">
        <v>236</v>
      </c>
      <c r="B54" s="55" t="s">
        <v>61</v>
      </c>
      <c r="C54" s="17" t="s">
        <v>237</v>
      </c>
      <c r="D54" s="17" t="s">
        <v>238</v>
      </c>
      <c r="E54" s="17" t="s">
        <v>239</v>
      </c>
      <c r="F54" s="41"/>
      <c r="G54" s="41"/>
      <c r="H54" s="41"/>
      <c r="I54" s="41"/>
      <c r="J54" s="17" t="s">
        <v>240</v>
      </c>
      <c r="K54" s="41"/>
      <c r="L54" s="69"/>
      <c r="M54" s="70"/>
      <c r="N54" s="17"/>
      <c r="O54" s="56"/>
      <c r="P54" s="17">
        <v>148.0</v>
      </c>
      <c r="Q54" s="41"/>
      <c r="R54" s="41"/>
      <c r="S54" s="48">
        <v>18.0</v>
      </c>
      <c r="T54" s="41"/>
      <c r="U54" s="41"/>
      <c r="V54" s="41"/>
      <c r="W54" s="41"/>
      <c r="X54" s="41"/>
      <c r="Y54" s="41"/>
      <c r="Z54" s="18" t="str">
        <f t="shared" si="22"/>
        <v/>
      </c>
      <c r="AA54" s="41"/>
      <c r="AB54" s="41"/>
      <c r="AC54" s="19" t="str">
        <f t="shared" si="23"/>
        <v/>
      </c>
      <c r="AD54" s="41"/>
      <c r="AE54" s="41"/>
      <c r="AF54" s="46">
        <f t="shared" si="12"/>
        <v>59.89477944</v>
      </c>
      <c r="AG54" s="17" t="s">
        <v>162</v>
      </c>
      <c r="AH54" s="41"/>
      <c r="AI54" s="17" t="s">
        <v>163</v>
      </c>
      <c r="AJ54" s="57"/>
      <c r="AK54" s="80" t="b">
        <v>0</v>
      </c>
      <c r="AL54" s="71" t="s">
        <v>241</v>
      </c>
      <c r="AM54" s="71" t="s">
        <v>241</v>
      </c>
      <c r="AN54" s="71" t="s">
        <v>241</v>
      </c>
      <c r="AO54" s="83"/>
      <c r="AP54" s="83"/>
    </row>
    <row r="55" hidden="1">
      <c r="A55" s="50" t="s">
        <v>242</v>
      </c>
      <c r="B55" s="51" t="s">
        <v>61</v>
      </c>
      <c r="C55" s="37"/>
      <c r="D55" s="31" t="s">
        <v>222</v>
      </c>
      <c r="E55" s="31" t="s">
        <v>243</v>
      </c>
      <c r="F55" s="37"/>
      <c r="G55" s="37"/>
      <c r="H55" s="37"/>
      <c r="I55" s="37"/>
      <c r="J55" s="31" t="s">
        <v>244</v>
      </c>
      <c r="K55" s="31" t="s">
        <v>245</v>
      </c>
      <c r="L55" s="72"/>
      <c r="M55" s="73"/>
      <c r="N55" s="31"/>
      <c r="O55" s="52"/>
      <c r="P55" s="31">
        <v>115.0</v>
      </c>
      <c r="Q55" s="37"/>
      <c r="R55" s="37"/>
      <c r="S55" s="82">
        <v>41.0</v>
      </c>
      <c r="T55" s="37"/>
      <c r="U55" s="37"/>
      <c r="V55" s="37"/>
      <c r="W55" s="37"/>
      <c r="X55" s="37"/>
      <c r="Y55" s="37"/>
      <c r="Z55" s="32" t="str">
        <f t="shared" si="22"/>
        <v/>
      </c>
      <c r="AA55" s="37"/>
      <c r="AB55" s="37"/>
      <c r="AC55" s="33" t="str">
        <f t="shared" si="23"/>
        <v/>
      </c>
      <c r="AD55" s="37"/>
      <c r="AE55" s="37"/>
      <c r="AF55" s="44">
        <f t="shared" si="12"/>
        <v>46.5398624</v>
      </c>
      <c r="AG55" s="31" t="s">
        <v>162</v>
      </c>
      <c r="AH55" s="37"/>
      <c r="AI55" s="31" t="s">
        <v>163</v>
      </c>
      <c r="AJ55" s="53"/>
      <c r="AK55" s="80" t="b">
        <v>0</v>
      </c>
      <c r="AL55" s="71" t="s">
        <v>241</v>
      </c>
      <c r="AM55" s="71" t="s">
        <v>241</v>
      </c>
      <c r="AN55" s="71" t="s">
        <v>241</v>
      </c>
    </row>
    <row r="56" hidden="1">
      <c r="A56" s="54" t="s">
        <v>246</v>
      </c>
      <c r="B56" s="55" t="s">
        <v>61</v>
      </c>
      <c r="C56" s="41"/>
      <c r="D56" s="17" t="s">
        <v>222</v>
      </c>
      <c r="E56" s="17" t="s">
        <v>247</v>
      </c>
      <c r="F56" s="41"/>
      <c r="G56" s="41"/>
      <c r="H56" s="41"/>
      <c r="I56" s="41"/>
      <c r="J56" s="17" t="s">
        <v>248</v>
      </c>
      <c r="K56" s="17" t="s">
        <v>81</v>
      </c>
      <c r="L56" s="69"/>
      <c r="M56" s="70"/>
      <c r="N56" s="17"/>
      <c r="O56" s="56"/>
      <c r="P56" s="17">
        <v>939.0</v>
      </c>
      <c r="Q56" s="41"/>
      <c r="R56" s="41"/>
      <c r="S56" s="48">
        <v>21.0</v>
      </c>
      <c r="T56" s="17" t="s">
        <v>249</v>
      </c>
      <c r="U56" s="17" t="s">
        <v>212</v>
      </c>
      <c r="V56" s="41"/>
      <c r="W56" s="41"/>
      <c r="X56" s="41"/>
      <c r="Y56" s="41"/>
      <c r="Z56" s="18" t="str">
        <f t="shared" si="22"/>
        <v/>
      </c>
      <c r="AA56" s="41"/>
      <c r="AB56" s="41"/>
      <c r="AC56" s="19" t="str">
        <f t="shared" si="23"/>
        <v/>
      </c>
      <c r="AD56" s="41"/>
      <c r="AE56" s="41"/>
      <c r="AF56" s="46">
        <f t="shared" si="12"/>
        <v>380.0080939</v>
      </c>
      <c r="AG56" s="17" t="s">
        <v>162</v>
      </c>
      <c r="AH56" s="41"/>
      <c r="AI56" s="17" t="s">
        <v>163</v>
      </c>
      <c r="AJ56" s="57"/>
      <c r="AK56" s="80" t="b">
        <v>0</v>
      </c>
      <c r="AL56" s="71" t="s">
        <v>241</v>
      </c>
      <c r="AM56" s="71" t="s">
        <v>241</v>
      </c>
      <c r="AN56" s="71" t="s">
        <v>241</v>
      </c>
    </row>
    <row r="57">
      <c r="A57" s="50" t="s">
        <v>250</v>
      </c>
      <c r="B57" s="51" t="s">
        <v>61</v>
      </c>
      <c r="C57" s="37"/>
      <c r="D57" s="31" t="s">
        <v>251</v>
      </c>
      <c r="E57" s="31" t="s">
        <v>252</v>
      </c>
      <c r="F57" s="31" t="s">
        <v>253</v>
      </c>
      <c r="G57" s="31" t="s">
        <v>254</v>
      </c>
      <c r="H57" s="31" t="s">
        <v>255</v>
      </c>
      <c r="I57" s="31" t="s">
        <v>256</v>
      </c>
      <c r="J57" s="31" t="s">
        <v>257</v>
      </c>
      <c r="K57" s="31" t="s">
        <v>258</v>
      </c>
      <c r="L57" s="32">
        <v>12.0</v>
      </c>
      <c r="M57" s="73"/>
      <c r="N57" s="31">
        <v>2.4</v>
      </c>
      <c r="O57" s="52">
        <v>1.2</v>
      </c>
      <c r="P57" s="37"/>
      <c r="Q57" s="37">
        <f>14490/13</f>
        <v>1114.615385</v>
      </c>
      <c r="R57" s="37"/>
      <c r="S57" s="30">
        <v>22.0</v>
      </c>
      <c r="T57" s="31" t="s">
        <v>259</v>
      </c>
      <c r="U57" s="31" t="s">
        <v>260</v>
      </c>
      <c r="V57" s="37"/>
      <c r="W57" s="31" t="s">
        <v>213</v>
      </c>
      <c r="X57" s="31">
        <v>80505.0</v>
      </c>
      <c r="Y57" s="31">
        <v>0.21</v>
      </c>
      <c r="Z57" s="32">
        <f t="shared" si="22"/>
        <v>0.3665207842</v>
      </c>
      <c r="AA57" s="31">
        <v>62.3</v>
      </c>
      <c r="AB57" s="31">
        <v>26.2</v>
      </c>
      <c r="AC57" s="33">
        <f t="shared" si="23"/>
        <v>85.95800525</v>
      </c>
      <c r="AD57" s="31" t="s">
        <v>161</v>
      </c>
      <c r="AE57" s="31" t="s">
        <v>161</v>
      </c>
      <c r="AF57" s="44">
        <f t="shared" si="12"/>
        <v>451.0786664</v>
      </c>
      <c r="AG57" s="31" t="s">
        <v>162</v>
      </c>
      <c r="AH57" s="37"/>
      <c r="AI57" s="31" t="s">
        <v>163</v>
      </c>
      <c r="AJ57" s="53" t="s">
        <v>261</v>
      </c>
      <c r="AK57" s="80" t="b">
        <v>1</v>
      </c>
      <c r="AL57" s="80" t="b">
        <v>1</v>
      </c>
      <c r="AM57" s="80" t="b">
        <v>1</v>
      </c>
      <c r="AN57" s="80" t="b">
        <v>1</v>
      </c>
      <c r="AO57" s="83" t="s">
        <v>370</v>
      </c>
      <c r="AP57" s="83">
        <v>22.0</v>
      </c>
      <c r="AQ57" s="83">
        <f>59 + (0.25*59)</f>
        <v>73.75</v>
      </c>
      <c r="AR57" s="120">
        <f>AQ57/AP57</f>
        <v>3.352272727</v>
      </c>
    </row>
    <row r="58">
      <c r="A58" s="54" t="s">
        <v>262</v>
      </c>
      <c r="B58" s="55" t="s">
        <v>126</v>
      </c>
      <c r="C58" s="17" t="s">
        <v>263</v>
      </c>
      <c r="D58" s="17" t="s">
        <v>170</v>
      </c>
      <c r="E58" s="17" t="s">
        <v>264</v>
      </c>
      <c r="F58" s="17" t="s">
        <v>265</v>
      </c>
      <c r="G58" s="17" t="s">
        <v>266</v>
      </c>
      <c r="H58" s="17" t="s">
        <v>267</v>
      </c>
      <c r="I58" s="17" t="s">
        <v>268</v>
      </c>
      <c r="J58" s="17" t="s">
        <v>127</v>
      </c>
      <c r="K58" s="17" t="s">
        <v>128</v>
      </c>
      <c r="L58" s="56" t="s">
        <v>269</v>
      </c>
      <c r="M58" s="70"/>
      <c r="N58" s="17">
        <v>4.0</v>
      </c>
      <c r="O58" s="56">
        <v>2.0</v>
      </c>
      <c r="P58" s="41"/>
      <c r="Q58" s="17" t="s">
        <v>270</v>
      </c>
      <c r="R58" s="41"/>
      <c r="S58" s="16">
        <v>48.0</v>
      </c>
      <c r="T58" s="17">
        <v>656.0</v>
      </c>
      <c r="U58" s="17" t="s">
        <v>271</v>
      </c>
      <c r="V58" s="41"/>
      <c r="W58" s="17" t="s">
        <v>272</v>
      </c>
      <c r="X58" s="17">
        <v>905.0</v>
      </c>
      <c r="Y58" s="17">
        <v>1.01</v>
      </c>
      <c r="Z58" s="18">
        <f t="shared" si="22"/>
        <v>1.762965156</v>
      </c>
      <c r="AA58" s="17">
        <v>234.1</v>
      </c>
      <c r="AB58" s="17">
        <v>354.6</v>
      </c>
      <c r="AC58" s="19">
        <f t="shared" si="23"/>
        <v>1163.385827</v>
      </c>
      <c r="AD58" s="17" t="s">
        <v>161</v>
      </c>
      <c r="AE58" s="17" t="s">
        <v>161</v>
      </c>
      <c r="AF58" s="46">
        <f>500/2.471</f>
        <v>202.3472278</v>
      </c>
      <c r="AG58" s="17" t="s">
        <v>162</v>
      </c>
      <c r="AH58" s="17" t="s">
        <v>273</v>
      </c>
      <c r="AI58" s="11" t="s">
        <v>163</v>
      </c>
      <c r="AJ58" s="85"/>
      <c r="AK58" s="80" t="b">
        <v>1</v>
      </c>
      <c r="AL58" s="80" t="b">
        <v>1</v>
      </c>
      <c r="AM58" s="80" t="b">
        <v>1</v>
      </c>
      <c r="AN58" s="80" t="b">
        <v>1</v>
      </c>
    </row>
    <row r="59">
      <c r="A59" s="50" t="s">
        <v>262</v>
      </c>
      <c r="B59" s="51" t="s">
        <v>126</v>
      </c>
      <c r="C59" s="31" t="s">
        <v>263</v>
      </c>
      <c r="D59" s="31" t="s">
        <v>170</v>
      </c>
      <c r="E59" s="31" t="s">
        <v>264</v>
      </c>
      <c r="F59" s="31" t="s">
        <v>265</v>
      </c>
      <c r="G59" s="31" t="s">
        <v>266</v>
      </c>
      <c r="H59" s="31" t="s">
        <v>267</v>
      </c>
      <c r="I59" s="31" t="s">
        <v>268</v>
      </c>
      <c r="J59" s="31" t="s">
        <v>274</v>
      </c>
      <c r="K59" s="31" t="s">
        <v>275</v>
      </c>
      <c r="L59" s="52" t="s">
        <v>269</v>
      </c>
      <c r="M59" s="73"/>
      <c r="N59" s="31">
        <v>4.0</v>
      </c>
      <c r="O59" s="52">
        <v>2.0</v>
      </c>
      <c r="P59" s="37"/>
      <c r="Q59" s="31">
        <v>250.0</v>
      </c>
      <c r="R59" s="37"/>
      <c r="S59" s="30">
        <v>48.0</v>
      </c>
      <c r="T59" s="31">
        <v>328.0</v>
      </c>
      <c r="U59" s="31" t="s">
        <v>235</v>
      </c>
      <c r="V59" s="37"/>
      <c r="W59" s="37"/>
      <c r="X59" s="31">
        <v>905.0</v>
      </c>
      <c r="Y59" s="31">
        <v>1.01</v>
      </c>
      <c r="Z59" s="32">
        <f t="shared" si="22"/>
        <v>1.762965156</v>
      </c>
      <c r="AA59" s="31">
        <v>234.1</v>
      </c>
      <c r="AB59" s="31">
        <v>354.6</v>
      </c>
      <c r="AC59" s="33">
        <f t="shared" si="23"/>
        <v>1163.385827</v>
      </c>
      <c r="AD59" s="31" t="s">
        <v>161</v>
      </c>
      <c r="AE59" s="31" t="s">
        <v>161</v>
      </c>
      <c r="AF59" s="44">
        <f t="shared" ref="AF59:AF61" si="25">IF(ISNUMBER(P59),P59/2.471,IF(ISNUMBER(Q59),Q59/2.471,""))</f>
        <v>101.1736139</v>
      </c>
      <c r="AG59" s="31" t="s">
        <v>162</v>
      </c>
      <c r="AH59" s="31" t="s">
        <v>276</v>
      </c>
      <c r="AI59" s="25" t="s">
        <v>163</v>
      </c>
      <c r="AJ59" s="84"/>
      <c r="AK59" s="80" t="b">
        <v>1</v>
      </c>
      <c r="AL59" s="80" t="b">
        <v>1</v>
      </c>
      <c r="AM59" s="80" t="b">
        <v>1</v>
      </c>
      <c r="AN59" s="80" t="b">
        <v>1</v>
      </c>
    </row>
    <row r="60">
      <c r="A60" s="54" t="s">
        <v>262</v>
      </c>
      <c r="B60" s="55" t="s">
        <v>126</v>
      </c>
      <c r="C60" s="17" t="s">
        <v>263</v>
      </c>
      <c r="D60" s="17" t="s">
        <v>170</v>
      </c>
      <c r="E60" s="17" t="s">
        <v>264</v>
      </c>
      <c r="F60" s="17" t="s">
        <v>265</v>
      </c>
      <c r="G60" s="17" t="s">
        <v>266</v>
      </c>
      <c r="H60" s="17" t="s">
        <v>267</v>
      </c>
      <c r="I60" s="17" t="s">
        <v>268</v>
      </c>
      <c r="J60" s="17" t="s">
        <v>277</v>
      </c>
      <c r="K60" s="17" t="s">
        <v>278</v>
      </c>
      <c r="L60" s="56" t="s">
        <v>269</v>
      </c>
      <c r="M60" s="19"/>
      <c r="N60" s="17">
        <v>4.0</v>
      </c>
      <c r="O60" s="56">
        <v>2.0</v>
      </c>
      <c r="P60" s="41"/>
      <c r="Q60" s="17">
        <v>250.0</v>
      </c>
      <c r="R60" s="41"/>
      <c r="S60" s="16">
        <v>48.0</v>
      </c>
      <c r="T60" s="17">
        <v>328.0</v>
      </c>
      <c r="U60" s="11" t="s">
        <v>279</v>
      </c>
      <c r="V60" s="41"/>
      <c r="W60" s="41"/>
      <c r="X60" s="17">
        <v>905.0</v>
      </c>
      <c r="Y60" s="17">
        <v>1.01</v>
      </c>
      <c r="Z60" s="18">
        <f t="shared" si="22"/>
        <v>1.762965156</v>
      </c>
      <c r="AA60" s="17">
        <v>234.1</v>
      </c>
      <c r="AB60" s="17">
        <v>354.6</v>
      </c>
      <c r="AC60" s="19">
        <f t="shared" si="23"/>
        <v>1163.385827</v>
      </c>
      <c r="AD60" s="17" t="s">
        <v>161</v>
      </c>
      <c r="AE60" s="17" t="s">
        <v>161</v>
      </c>
      <c r="AF60" s="46">
        <f t="shared" si="25"/>
        <v>101.1736139</v>
      </c>
      <c r="AG60" s="17" t="s">
        <v>162</v>
      </c>
      <c r="AH60" s="41"/>
      <c r="AI60" s="11" t="s">
        <v>163</v>
      </c>
      <c r="AJ60" s="85"/>
      <c r="AK60" s="80" t="b">
        <v>1</v>
      </c>
      <c r="AL60" s="80" t="b">
        <v>1</v>
      </c>
      <c r="AM60" s="80" t="b">
        <v>1</v>
      </c>
      <c r="AN60" s="80" t="b">
        <v>1</v>
      </c>
    </row>
    <row r="61">
      <c r="A61" s="86"/>
      <c r="B61" s="87"/>
      <c r="C61" s="88"/>
      <c r="D61" s="88"/>
      <c r="E61" s="88"/>
      <c r="F61" s="88"/>
      <c r="G61" s="88"/>
      <c r="H61" s="88"/>
      <c r="I61" s="88"/>
      <c r="J61" s="88"/>
      <c r="K61" s="88"/>
      <c r="L61" s="89"/>
      <c r="M61" s="90"/>
      <c r="N61" s="88"/>
      <c r="O61" s="89"/>
      <c r="P61" s="91"/>
      <c r="Q61" s="88"/>
      <c r="R61" s="91"/>
      <c r="S61" s="132"/>
      <c r="T61" s="88"/>
      <c r="U61" s="88"/>
      <c r="V61" s="91"/>
      <c r="W61" s="91"/>
      <c r="X61" s="88"/>
      <c r="Y61" s="88"/>
      <c r="Z61" s="94" t="str">
        <f t="shared" si="22"/>
        <v/>
      </c>
      <c r="AA61" s="88"/>
      <c r="AB61" s="88"/>
      <c r="AC61" s="90" t="str">
        <f t="shared" si="23"/>
        <v/>
      </c>
      <c r="AD61" s="88"/>
      <c r="AE61" s="88"/>
      <c r="AF61" s="95" t="str">
        <f t="shared" si="25"/>
        <v/>
      </c>
      <c r="AG61" s="88"/>
      <c r="AH61" s="91"/>
      <c r="AI61" s="88"/>
      <c r="AJ61" s="133"/>
      <c r="AN61" s="83" t="s">
        <v>371</v>
      </c>
      <c r="AO61" s="83" t="s">
        <v>372</v>
      </c>
      <c r="AP61" s="83">
        <v>48.0</v>
      </c>
      <c r="AQ61" s="97">
        <f>(23.554*0.5)*12.5</f>
        <v>147.2125</v>
      </c>
      <c r="AR61" s="120">
        <f>AQ61/AP61</f>
        <v>3.066927083</v>
      </c>
    </row>
    <row r="62">
      <c r="B62" s="83" t="s">
        <v>280</v>
      </c>
      <c r="R62" s="99"/>
      <c r="S62" s="80"/>
      <c r="T62" s="99"/>
      <c r="U62" s="99"/>
      <c r="V62" s="99"/>
      <c r="W62" s="99"/>
      <c r="X62" s="99"/>
      <c r="Y62" s="99"/>
      <c r="Z62" s="99"/>
      <c r="AA62" s="99"/>
      <c r="AC62" s="97"/>
      <c r="AF62" s="98"/>
      <c r="AO62" s="83" t="s">
        <v>373</v>
      </c>
    </row>
    <row r="63">
      <c r="AC63" s="97"/>
      <c r="AF63" s="98"/>
      <c r="AO63" s="83" t="s">
        <v>374</v>
      </c>
    </row>
    <row r="64">
      <c r="AC64" s="97"/>
      <c r="AF64" s="98"/>
      <c r="AO64" s="83" t="s">
        <v>375</v>
      </c>
    </row>
    <row r="65">
      <c r="S65" s="80"/>
      <c r="AC65" s="97"/>
      <c r="AF65" s="98"/>
      <c r="AO65" s="74">
        <f>((100/2)*2)*12.5</f>
        <v>1250</v>
      </c>
    </row>
    <row r="66">
      <c r="S66" s="80"/>
      <c r="AC66" s="97"/>
      <c r="AF66" s="98"/>
    </row>
    <row r="67">
      <c r="S67" s="80"/>
      <c r="AC67" s="97"/>
      <c r="AF67" s="98"/>
    </row>
    <row r="68">
      <c r="S68" s="80"/>
      <c r="AC68" s="97"/>
      <c r="AF68" s="98"/>
    </row>
    <row r="69">
      <c r="S69" s="80"/>
      <c r="AC69" s="97"/>
      <c r="AF69"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80"/>
      <c r="AC90" s="97"/>
      <c r="AF90" s="98"/>
    </row>
    <row r="91">
      <c r="S91" s="100"/>
      <c r="AC91" s="97"/>
      <c r="AF91" s="98"/>
    </row>
    <row r="92">
      <c r="S92" s="80"/>
      <c r="AC92" s="97"/>
      <c r="AF92" s="98"/>
    </row>
    <row r="93">
      <c r="S93" s="101"/>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row r="994">
      <c r="AC994" s="97"/>
      <c r="AF994" s="98"/>
    </row>
  </sheetData>
  <dataValidations>
    <dataValidation type="custom" allowBlank="1" showDropDown="1" sqref="S2:S61">
      <formula1>OR(NOT(ISERROR(DATEVALUE(S2))), AND(ISNUMBER(S2), LEFT(CELL("format", S2))="D"))</formula1>
    </dataValidation>
    <dataValidation type="list" allowBlank="1" sqref="B2:B61">
      <formula1>"Alley Cropping,Silvopasture,Riparian Buffer,Windbreaks"</formula1>
    </dataValidation>
    <dataValidation type="custom" allowBlank="1" showDropDown="1" sqref="L2:M61 O2:O61 AC2:AC61 AF2:AF61">
      <formula1>AND(ISNUMBER(L2),(NOT(OR(NOT(ISERROR(DATEVALUE(L2))), AND(ISNUMBER(L2), LEFT(CELL("format", L2))="D")))))</formula1>
    </dataValidation>
  </dataValidations>
  <hyperlinks>
    <hyperlink r:id="rId1" ref="AH44"/>
    <hyperlink r:id="rId2" ref="AH45"/>
    <hyperlink r:id="rId3" ref="AH46"/>
    <hyperlink r:id="rId4" ref="AH47"/>
  </hyperlinks>
  <drawing r:id="rId5"/>
  <tableParts count="10">
    <tablePart r:id="rId16"/>
    <tablePart r:id="rId17"/>
    <tablePart r:id="rId18"/>
    <tablePart r:id="rId19"/>
    <tablePart r:id="rId20"/>
    <tablePart r:id="rId21"/>
    <tablePart r:id="rId22"/>
    <tablePart r:id="rId23"/>
    <tablePart r:id="rId24"/>
    <tablePart r:id="rId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376</v>
      </c>
      <c r="AS1" s="110" t="s">
        <v>39</v>
      </c>
      <c r="AT1" s="110" t="s">
        <v>377</v>
      </c>
      <c r="AU1" s="110" t="s">
        <v>378</v>
      </c>
      <c r="AV1" s="110"/>
      <c r="AW1" s="110"/>
      <c r="AX1" s="110"/>
      <c r="AY1" s="110"/>
      <c r="AZ1" s="110"/>
      <c r="BA1" s="110"/>
      <c r="BB1" s="110"/>
      <c r="BC1" s="110"/>
    </row>
    <row r="2">
      <c r="A2" s="134" t="s">
        <v>379</v>
      </c>
      <c r="B2" s="135" t="s">
        <v>61</v>
      </c>
      <c r="C2" s="136"/>
      <c r="D2" s="137" t="s">
        <v>153</v>
      </c>
      <c r="E2" s="137" t="s">
        <v>154</v>
      </c>
      <c r="F2" s="137" t="s">
        <v>155</v>
      </c>
      <c r="G2" s="137" t="s">
        <v>156</v>
      </c>
      <c r="H2" s="136"/>
      <c r="I2" s="136"/>
      <c r="J2" s="137" t="s">
        <v>157</v>
      </c>
      <c r="K2" s="137" t="s">
        <v>158</v>
      </c>
      <c r="L2" s="138">
        <v>0.6</v>
      </c>
      <c r="M2" s="139"/>
      <c r="N2" s="140">
        <v>7.0</v>
      </c>
      <c r="O2" s="141">
        <v>2.5</v>
      </c>
      <c r="P2" s="140">
        <v>570.0</v>
      </c>
      <c r="Q2" s="140">
        <v>571.4</v>
      </c>
      <c r="R2" s="136"/>
      <c r="S2" s="142">
        <v>11.0</v>
      </c>
      <c r="T2" s="137" t="s">
        <v>159</v>
      </c>
      <c r="U2" s="137" t="s">
        <v>157</v>
      </c>
      <c r="V2" s="136"/>
      <c r="W2" s="137" t="s">
        <v>160</v>
      </c>
      <c r="X2" s="140">
        <v>612.0</v>
      </c>
      <c r="Y2" s="140">
        <v>4.1</v>
      </c>
      <c r="Z2" s="138">
        <f t="shared" ref="Z2:Z8" si="1">IF(ISNUMBER(Y2),tan(Y2*PI()/180)*100,"")</f>
        <v>7.168089129</v>
      </c>
      <c r="AA2" s="140">
        <v>64.7</v>
      </c>
      <c r="AB2" s="140">
        <v>127.9</v>
      </c>
      <c r="AC2" s="143">
        <f t="shared" ref="AC2:AC8" si="2">IF(ISNUMBER(AB2), CONVERT(AB2,"m","ft"),"")</f>
        <v>419.6194226</v>
      </c>
      <c r="AD2" s="137" t="s">
        <v>161</v>
      </c>
      <c r="AE2" s="137" t="s">
        <v>161</v>
      </c>
      <c r="AF2" s="144">
        <f t="shared" ref="AF2:AF8" si="3">IF(ISNUMBER(P2),P2/2.471,IF(ISNUMBER(Q2),Q2/2.471,""))</f>
        <v>230.6758397</v>
      </c>
      <c r="AG2" s="137" t="s">
        <v>162</v>
      </c>
      <c r="AH2" s="136"/>
      <c r="AI2" s="137" t="s">
        <v>163</v>
      </c>
      <c r="AJ2" s="145" t="s">
        <v>163</v>
      </c>
      <c r="AK2" s="146" t="b">
        <v>0</v>
      </c>
      <c r="AL2" s="146" t="b">
        <v>1</v>
      </c>
      <c r="AM2" s="146" t="b">
        <v>1</v>
      </c>
      <c r="AN2" s="147" t="b">
        <v>1</v>
      </c>
      <c r="AO2" s="148" t="s">
        <v>364</v>
      </c>
      <c r="AP2" s="149">
        <v>11.0</v>
      </c>
      <c r="AQ2" s="149">
        <v>74.0</v>
      </c>
      <c r="AR2" s="120">
        <v>9.829024179360166</v>
      </c>
      <c r="AS2" s="120">
        <v>0.2696872232538582</v>
      </c>
      <c r="AT2" s="120">
        <v>4.905409638770266</v>
      </c>
      <c r="AU2" s="148"/>
      <c r="AV2" s="148"/>
      <c r="AW2" s="148"/>
      <c r="AX2" s="148"/>
      <c r="AY2" s="148"/>
      <c r="AZ2" s="148"/>
      <c r="BA2" s="148"/>
      <c r="BB2" s="148"/>
      <c r="BC2" s="148"/>
    </row>
    <row r="3">
      <c r="A3" s="150" t="s">
        <v>185</v>
      </c>
      <c r="B3" s="151" t="s">
        <v>41</v>
      </c>
      <c r="C3" s="152" t="s">
        <v>186</v>
      </c>
      <c r="D3" s="152" t="s">
        <v>62</v>
      </c>
      <c r="E3" s="152" t="s">
        <v>63</v>
      </c>
      <c r="F3" s="152" t="s">
        <v>187</v>
      </c>
      <c r="G3" s="153"/>
      <c r="H3" s="154">
        <v>36.09</v>
      </c>
      <c r="I3" s="154">
        <v>94.19</v>
      </c>
      <c r="J3" s="152" t="s">
        <v>80</v>
      </c>
      <c r="K3" s="152" t="s">
        <v>81</v>
      </c>
      <c r="L3" s="155"/>
      <c r="M3" s="156">
        <f>72/108</f>
        <v>0.6666666667</v>
      </c>
      <c r="N3" s="154">
        <v>15.0</v>
      </c>
      <c r="O3" s="157">
        <v>9.1</v>
      </c>
      <c r="P3" s="153"/>
      <c r="Q3" s="154">
        <v>73.0</v>
      </c>
      <c r="R3" s="153"/>
      <c r="S3" s="158">
        <v>11.0</v>
      </c>
      <c r="T3" s="154">
        <v>91.0</v>
      </c>
      <c r="U3" s="152" t="s">
        <v>176</v>
      </c>
      <c r="V3" s="153"/>
      <c r="W3" s="153"/>
      <c r="X3" s="154">
        <v>81005.0</v>
      </c>
      <c r="Y3" s="153"/>
      <c r="Z3" s="155" t="str">
        <f t="shared" si="1"/>
        <v/>
      </c>
      <c r="AA3" s="153"/>
      <c r="AB3" s="153"/>
      <c r="AC3" s="159" t="str">
        <f t="shared" si="2"/>
        <v/>
      </c>
      <c r="AD3" s="154">
        <v>62.5</v>
      </c>
      <c r="AE3" s="152" t="s">
        <v>177</v>
      </c>
      <c r="AF3" s="160">
        <f t="shared" si="3"/>
        <v>29.54269527</v>
      </c>
      <c r="AG3" s="152" t="s">
        <v>188</v>
      </c>
      <c r="AH3" s="161" t="s">
        <v>380</v>
      </c>
      <c r="AI3" s="153"/>
      <c r="AJ3" s="162" t="s">
        <v>190</v>
      </c>
      <c r="AK3" s="146" t="b">
        <v>1</v>
      </c>
      <c r="AL3" s="146" t="b">
        <v>1</v>
      </c>
      <c r="AM3" s="146" t="b">
        <v>1</v>
      </c>
      <c r="AN3" s="147" t="b">
        <v>1</v>
      </c>
      <c r="AO3" s="148" t="s">
        <v>364</v>
      </c>
      <c r="AP3" s="149">
        <v>11.0</v>
      </c>
      <c r="AQ3" s="149">
        <f>4.8 + (0.25*4.8)</f>
        <v>6</v>
      </c>
      <c r="AR3" s="120">
        <v>15.449558599498799</v>
      </c>
      <c r="AS3" s="120">
        <v>3.0877907556508797</v>
      </c>
      <c r="AT3" s="120">
        <v>12.901794797141074</v>
      </c>
      <c r="AU3" s="148"/>
      <c r="AV3" s="148"/>
      <c r="AW3" s="148"/>
      <c r="AX3" s="148"/>
      <c r="AY3" s="148"/>
      <c r="AZ3" s="148"/>
      <c r="BA3" s="148"/>
      <c r="BB3" s="148"/>
      <c r="BC3" s="148"/>
    </row>
    <row r="4">
      <c r="A4" s="150" t="s">
        <v>221</v>
      </c>
      <c r="B4" s="163" t="s">
        <v>61</v>
      </c>
      <c r="C4" s="153"/>
      <c r="D4" s="152" t="s">
        <v>222</v>
      </c>
      <c r="E4" s="152" t="s">
        <v>223</v>
      </c>
      <c r="F4" s="152" t="s">
        <v>224</v>
      </c>
      <c r="G4" s="152" t="s">
        <v>225</v>
      </c>
      <c r="H4" s="153"/>
      <c r="I4" s="153"/>
      <c r="J4" s="152" t="s">
        <v>226</v>
      </c>
      <c r="K4" s="152" t="s">
        <v>227</v>
      </c>
      <c r="L4" s="155"/>
      <c r="M4" s="159"/>
      <c r="N4" s="153"/>
      <c r="O4" s="164"/>
      <c r="P4" s="154">
        <v>642.0</v>
      </c>
      <c r="Q4" s="153"/>
      <c r="R4" s="153"/>
      <c r="S4" s="158">
        <v>33.0</v>
      </c>
      <c r="T4" s="152" t="s">
        <v>228</v>
      </c>
      <c r="U4" s="152" t="s">
        <v>229</v>
      </c>
      <c r="V4" s="153"/>
      <c r="W4" s="153"/>
      <c r="X4" s="154">
        <v>930.0</v>
      </c>
      <c r="Y4" s="154">
        <v>4.88</v>
      </c>
      <c r="Z4" s="165">
        <f t="shared" si="1"/>
        <v>8.537862092</v>
      </c>
      <c r="AA4" s="154">
        <v>89.9</v>
      </c>
      <c r="AB4" s="154">
        <v>349.4</v>
      </c>
      <c r="AC4" s="156">
        <f t="shared" si="2"/>
        <v>1146.325459</v>
      </c>
      <c r="AD4" s="154">
        <v>70.0</v>
      </c>
      <c r="AE4" s="152" t="s">
        <v>230</v>
      </c>
      <c r="AF4" s="160">
        <f t="shared" si="3"/>
        <v>259.8138406</v>
      </c>
      <c r="AG4" s="152" t="s">
        <v>162</v>
      </c>
      <c r="AH4" s="153"/>
      <c r="AI4" s="152" t="s">
        <v>163</v>
      </c>
      <c r="AJ4" s="166"/>
      <c r="AK4" s="167" t="b">
        <v>0</v>
      </c>
      <c r="AL4" s="167" t="b">
        <v>1</v>
      </c>
      <c r="AM4" s="167" t="b">
        <v>1</v>
      </c>
      <c r="AN4" s="167" t="b">
        <v>1</v>
      </c>
      <c r="AO4" s="148" t="s">
        <v>370</v>
      </c>
      <c r="AP4" s="149">
        <v>33.0</v>
      </c>
      <c r="AQ4" s="149">
        <f> 52.81 + (52.81*0.25)</f>
        <v>66.0125</v>
      </c>
      <c r="AR4" s="120">
        <v>5.13219580430068</v>
      </c>
      <c r="AS4" s="120">
        <v>0.2597672055211105</v>
      </c>
      <c r="AT4" s="120">
        <v>3.0163071710871443</v>
      </c>
      <c r="AU4" s="148"/>
      <c r="AV4" s="148"/>
      <c r="AW4" s="148"/>
      <c r="AX4" s="148"/>
      <c r="AY4" s="148"/>
      <c r="AZ4" s="148"/>
      <c r="BA4" s="148"/>
      <c r="BB4" s="148"/>
      <c r="BC4" s="148"/>
    </row>
    <row r="5">
      <c r="A5" s="168" t="s">
        <v>231</v>
      </c>
      <c r="B5" s="135" t="s">
        <v>61</v>
      </c>
      <c r="C5" s="136"/>
      <c r="D5" s="137" t="s">
        <v>222</v>
      </c>
      <c r="E5" s="137" t="s">
        <v>223</v>
      </c>
      <c r="F5" s="137" t="s">
        <v>224</v>
      </c>
      <c r="G5" s="137" t="s">
        <v>225</v>
      </c>
      <c r="H5" s="136"/>
      <c r="I5" s="136"/>
      <c r="J5" s="137" t="s">
        <v>232</v>
      </c>
      <c r="K5" s="137" t="s">
        <v>233</v>
      </c>
      <c r="L5" s="169"/>
      <c r="M5" s="139"/>
      <c r="N5" s="136"/>
      <c r="O5" s="170"/>
      <c r="P5" s="140">
        <v>280.0</v>
      </c>
      <c r="Q5" s="136"/>
      <c r="R5" s="136"/>
      <c r="S5" s="142">
        <v>33.0</v>
      </c>
      <c r="T5" s="137" t="s">
        <v>234</v>
      </c>
      <c r="U5" s="137" t="s">
        <v>235</v>
      </c>
      <c r="V5" s="136"/>
      <c r="W5" s="136"/>
      <c r="X5" s="140">
        <v>930.0</v>
      </c>
      <c r="Y5" s="140">
        <v>4.88</v>
      </c>
      <c r="Z5" s="138">
        <f t="shared" si="1"/>
        <v>8.537862092</v>
      </c>
      <c r="AA5" s="140">
        <v>89.9</v>
      </c>
      <c r="AB5" s="140">
        <v>349.4</v>
      </c>
      <c r="AC5" s="143">
        <f t="shared" si="2"/>
        <v>1146.325459</v>
      </c>
      <c r="AD5" s="140">
        <v>70.0</v>
      </c>
      <c r="AE5" s="137" t="s">
        <v>230</v>
      </c>
      <c r="AF5" s="144">
        <f t="shared" si="3"/>
        <v>113.3144476</v>
      </c>
      <c r="AG5" s="137" t="s">
        <v>162</v>
      </c>
      <c r="AH5" s="136"/>
      <c r="AI5" s="137" t="s">
        <v>163</v>
      </c>
      <c r="AJ5" s="171"/>
      <c r="AK5" s="167" t="b">
        <v>1</v>
      </c>
      <c r="AL5" s="167" t="b">
        <v>1</v>
      </c>
      <c r="AM5" s="167" t="b">
        <v>1</v>
      </c>
      <c r="AN5" s="167" t="b">
        <v>1</v>
      </c>
      <c r="AO5" s="148" t="s">
        <v>370</v>
      </c>
      <c r="AP5" s="149">
        <v>33.0</v>
      </c>
      <c r="AQ5" s="149">
        <f>29.04 + (29.04*0.25)</f>
        <v>36.3</v>
      </c>
      <c r="AR5" s="120">
        <v>2.8566254381004117</v>
      </c>
      <c r="AS5" s="120">
        <v>0.7700723757999016</v>
      </c>
      <c r="AT5" s="120">
        <v>2.6679891780241083</v>
      </c>
      <c r="AU5" s="148"/>
      <c r="AV5" s="148"/>
      <c r="AW5" s="148"/>
      <c r="AX5" s="148"/>
      <c r="AY5" s="148"/>
      <c r="AZ5" s="148"/>
      <c r="BA5" s="148"/>
      <c r="BB5" s="148"/>
      <c r="BC5" s="148"/>
    </row>
    <row r="6">
      <c r="A6" s="168" t="s">
        <v>250</v>
      </c>
      <c r="B6" s="135" t="s">
        <v>61</v>
      </c>
      <c r="C6" s="136"/>
      <c r="D6" s="137" t="s">
        <v>251</v>
      </c>
      <c r="E6" s="137" t="s">
        <v>252</v>
      </c>
      <c r="F6" s="137" t="s">
        <v>253</v>
      </c>
      <c r="G6" s="137" t="s">
        <v>254</v>
      </c>
      <c r="H6" s="137" t="s">
        <v>255</v>
      </c>
      <c r="I6" s="137" t="s">
        <v>256</v>
      </c>
      <c r="J6" s="137" t="s">
        <v>257</v>
      </c>
      <c r="K6" s="137" t="s">
        <v>258</v>
      </c>
      <c r="L6" s="138">
        <v>12.0</v>
      </c>
      <c r="M6" s="139"/>
      <c r="N6" s="140">
        <v>2.4</v>
      </c>
      <c r="O6" s="141">
        <v>1.2</v>
      </c>
      <c r="P6" s="136"/>
      <c r="Q6" s="140">
        <f>14490/13</f>
        <v>1114.615385</v>
      </c>
      <c r="R6" s="136"/>
      <c r="S6" s="142">
        <v>22.0</v>
      </c>
      <c r="T6" s="137" t="s">
        <v>259</v>
      </c>
      <c r="U6" s="137" t="s">
        <v>260</v>
      </c>
      <c r="V6" s="136"/>
      <c r="W6" s="137" t="s">
        <v>213</v>
      </c>
      <c r="X6" s="140">
        <v>80505.0</v>
      </c>
      <c r="Y6" s="140">
        <v>0.21</v>
      </c>
      <c r="Z6" s="138">
        <f t="shared" si="1"/>
        <v>0.3665207842</v>
      </c>
      <c r="AA6" s="140">
        <v>62.3</v>
      </c>
      <c r="AB6" s="140">
        <v>26.2</v>
      </c>
      <c r="AC6" s="143">
        <f t="shared" si="2"/>
        <v>85.95800525</v>
      </c>
      <c r="AD6" s="137" t="s">
        <v>161</v>
      </c>
      <c r="AE6" s="137" t="s">
        <v>161</v>
      </c>
      <c r="AF6" s="144">
        <f t="shared" si="3"/>
        <v>451.0786664</v>
      </c>
      <c r="AG6" s="137" t="s">
        <v>162</v>
      </c>
      <c r="AH6" s="136"/>
      <c r="AI6" s="137" t="s">
        <v>163</v>
      </c>
      <c r="AJ6" s="145" t="s">
        <v>261</v>
      </c>
      <c r="AK6" s="167" t="b">
        <v>1</v>
      </c>
      <c r="AL6" s="167" t="b">
        <v>1</v>
      </c>
      <c r="AM6" s="167" t="b">
        <v>1</v>
      </c>
      <c r="AN6" s="167" t="b">
        <v>1</v>
      </c>
      <c r="AO6" s="148" t="s">
        <v>370</v>
      </c>
      <c r="AP6" s="149">
        <v>22.0</v>
      </c>
      <c r="AQ6" s="149">
        <f>59 + (0.25*59)</f>
        <v>73.75</v>
      </c>
      <c r="AR6" s="120">
        <v>2.8566254381004117</v>
      </c>
      <c r="AS6" s="120">
        <v>1.5368784313067287</v>
      </c>
      <c r="AT6" s="120">
        <v>2.8371596281724036</v>
      </c>
      <c r="AU6" s="148"/>
      <c r="AV6" s="148"/>
      <c r="AW6" s="148"/>
      <c r="AX6" s="148"/>
      <c r="AY6" s="148"/>
      <c r="AZ6" s="148"/>
      <c r="BA6" s="148"/>
      <c r="BB6" s="148"/>
      <c r="BC6" s="148"/>
    </row>
    <row r="7">
      <c r="A7" s="99" t="s">
        <v>381</v>
      </c>
      <c r="B7" s="99" t="s">
        <v>61</v>
      </c>
      <c r="C7" s="172"/>
      <c r="D7" s="99" t="s">
        <v>206</v>
      </c>
      <c r="E7" s="99" t="s">
        <v>207</v>
      </c>
      <c r="F7" s="99" t="s">
        <v>208</v>
      </c>
      <c r="G7" s="99" t="s">
        <v>209</v>
      </c>
      <c r="H7" s="172"/>
      <c r="I7" s="172"/>
      <c r="J7" s="99" t="s">
        <v>210</v>
      </c>
      <c r="K7" s="99" t="s">
        <v>211</v>
      </c>
      <c r="L7" s="173">
        <f t="shared" ref="L7:L8" si="4">T7/Q7</f>
        <v>0.9830508475</v>
      </c>
      <c r="M7" s="174"/>
      <c r="N7" s="99">
        <v>13.0</v>
      </c>
      <c r="O7" s="175">
        <v>13.0</v>
      </c>
      <c r="P7" s="172"/>
      <c r="Q7" s="99">
        <v>59.0</v>
      </c>
      <c r="R7" s="172"/>
      <c r="S7" s="80">
        <v>27.0</v>
      </c>
      <c r="T7" s="99">
        <v>58.0</v>
      </c>
      <c r="U7" s="99" t="s">
        <v>212</v>
      </c>
      <c r="V7" s="172"/>
      <c r="W7" s="99" t="s">
        <v>213</v>
      </c>
      <c r="X7" s="83">
        <v>80811.0</v>
      </c>
      <c r="Y7" s="99">
        <v>9.08</v>
      </c>
      <c r="Z7" s="176">
        <f t="shared" si="1"/>
        <v>15.98160474</v>
      </c>
      <c r="AA7" s="99">
        <v>208.7</v>
      </c>
      <c r="AB7" s="99">
        <v>528.2</v>
      </c>
      <c r="AC7" s="177">
        <f t="shared" si="2"/>
        <v>1732.939633</v>
      </c>
      <c r="AD7" s="83">
        <v>50.0</v>
      </c>
      <c r="AE7" s="99" t="s">
        <v>112</v>
      </c>
      <c r="AF7" s="178">
        <f t="shared" si="3"/>
        <v>23.87697289</v>
      </c>
      <c r="AG7" s="172"/>
      <c r="AH7" s="99" t="s">
        <v>214</v>
      </c>
      <c r="AI7" s="99" t="s">
        <v>215</v>
      </c>
      <c r="AJ7" s="99"/>
      <c r="AK7" s="80" t="b">
        <v>1</v>
      </c>
      <c r="AL7" s="80" t="b">
        <v>1</v>
      </c>
      <c r="AM7" s="80" t="b">
        <v>1</v>
      </c>
      <c r="AN7" s="80" t="b">
        <v>1</v>
      </c>
      <c r="AO7" s="83" t="s">
        <v>369</v>
      </c>
      <c r="AP7" s="83">
        <v>27.0</v>
      </c>
      <c r="AQ7" s="83">
        <f>8.17 + (0.25*8.17)</f>
        <v>10.2125</v>
      </c>
      <c r="AR7" s="120">
        <v>2.8566254381004117</v>
      </c>
      <c r="AS7" s="120">
        <v>1.4433116428854766</v>
      </c>
      <c r="AT7" s="120">
        <v>1.5384219833891133</v>
      </c>
    </row>
    <row r="8">
      <c r="A8" s="99" t="s">
        <v>382</v>
      </c>
      <c r="B8" s="99" t="s">
        <v>61</v>
      </c>
      <c r="C8" s="172"/>
      <c r="D8" s="99" t="s">
        <v>206</v>
      </c>
      <c r="E8" s="99" t="s">
        <v>207</v>
      </c>
      <c r="F8" s="99" t="s">
        <v>208</v>
      </c>
      <c r="G8" s="99" t="s">
        <v>209</v>
      </c>
      <c r="H8" s="172"/>
      <c r="I8" s="172"/>
      <c r="J8" s="99" t="s">
        <v>80</v>
      </c>
      <c r="K8" s="99" t="s">
        <v>81</v>
      </c>
      <c r="L8" s="173">
        <f t="shared" si="4"/>
        <v>0.8474576271</v>
      </c>
      <c r="M8" s="174"/>
      <c r="N8" s="99">
        <v>13.0</v>
      </c>
      <c r="O8" s="175">
        <v>13.0</v>
      </c>
      <c r="P8" s="172"/>
      <c r="Q8" s="99">
        <v>59.0</v>
      </c>
      <c r="R8" s="172"/>
      <c r="S8" s="80">
        <v>27.0</v>
      </c>
      <c r="T8" s="99">
        <v>50.0</v>
      </c>
      <c r="U8" s="99" t="s">
        <v>216</v>
      </c>
      <c r="V8" s="99" t="s">
        <v>217</v>
      </c>
      <c r="W8" s="99" t="s">
        <v>213</v>
      </c>
      <c r="X8" s="83">
        <v>80811.0</v>
      </c>
      <c r="Y8" s="99">
        <v>9.08</v>
      </c>
      <c r="Z8" s="176">
        <f t="shared" si="1"/>
        <v>15.98160474</v>
      </c>
      <c r="AA8" s="99">
        <v>208.7</v>
      </c>
      <c r="AB8" s="99">
        <v>528.2</v>
      </c>
      <c r="AC8" s="177">
        <f t="shared" si="2"/>
        <v>1732.939633</v>
      </c>
      <c r="AD8" s="99">
        <v>50.0</v>
      </c>
      <c r="AE8" s="99" t="s">
        <v>112</v>
      </c>
      <c r="AF8" s="178">
        <f t="shared" si="3"/>
        <v>23.87697289</v>
      </c>
      <c r="AG8" s="172"/>
      <c r="AH8" s="99" t="s">
        <v>214</v>
      </c>
      <c r="AI8" s="99" t="s">
        <v>218</v>
      </c>
      <c r="AJ8" s="99"/>
      <c r="AK8" s="80" t="b">
        <v>1</v>
      </c>
      <c r="AL8" s="80" t="b">
        <v>1</v>
      </c>
      <c r="AM8" s="80" t="b">
        <v>1</v>
      </c>
      <c r="AN8" s="80" t="b">
        <v>1</v>
      </c>
      <c r="AO8" s="83" t="s">
        <v>369</v>
      </c>
      <c r="AP8" s="83">
        <v>27.0</v>
      </c>
      <c r="AQ8" s="83">
        <f>13.73 + (0.25*13.73)</f>
        <v>17.1625</v>
      </c>
      <c r="AR8" s="120">
        <v>2.4890850951091488</v>
      </c>
      <c r="AS8" s="120">
        <v>0.3518885370482132</v>
      </c>
      <c r="AT8" s="120">
        <v>1.6025108299695583</v>
      </c>
    </row>
    <row r="9">
      <c r="A9" s="83" t="s">
        <v>383</v>
      </c>
      <c r="B9" s="179"/>
      <c r="C9" s="83"/>
      <c r="D9" s="83"/>
      <c r="E9" s="83"/>
      <c r="F9" s="83"/>
      <c r="G9" s="83"/>
      <c r="H9" s="83"/>
      <c r="I9" s="83"/>
      <c r="J9" s="83"/>
      <c r="K9" s="104"/>
      <c r="L9" s="180"/>
      <c r="M9" s="181">
        <f t="shared" ref="M9:M16" si="5">CONVERT(L9,"ha","us_acre")</f>
        <v>0</v>
      </c>
      <c r="N9" s="83"/>
      <c r="O9" s="182"/>
      <c r="Q9" s="183">
        <f t="shared" ref="Q9:Q10" si="6">10000/(15*2.4)</f>
        <v>277.7777778</v>
      </c>
      <c r="S9" s="100"/>
      <c r="T9" s="83"/>
      <c r="W9" s="99"/>
      <c r="X9" s="99"/>
      <c r="Y9" s="99"/>
      <c r="Z9" s="176"/>
      <c r="AA9" s="99"/>
      <c r="AB9" s="99"/>
      <c r="AC9" s="177"/>
      <c r="AD9" s="99"/>
      <c r="AE9" s="99"/>
      <c r="AF9" s="172">
        <f t="shared" ref="AF9:AF10" si="7">233/2.8</f>
        <v>83.21428571</v>
      </c>
      <c r="AG9" s="172"/>
      <c r="AH9" s="172"/>
      <c r="AI9" s="172"/>
      <c r="AJ9" s="172"/>
      <c r="AK9" s="74" t="b">
        <v>0</v>
      </c>
      <c r="AL9" s="118" t="b">
        <v>0</v>
      </c>
      <c r="AM9" s="74" t="b">
        <v>0</v>
      </c>
      <c r="AN9" s="118" t="b">
        <v>0</v>
      </c>
      <c r="AO9" s="39" t="s">
        <v>361</v>
      </c>
      <c r="AP9" s="112">
        <v>22.0</v>
      </c>
      <c r="AQ9" s="119">
        <v>16.340000000000003</v>
      </c>
      <c r="AR9" s="120">
        <v>4.499639941670267</v>
      </c>
      <c r="AS9" s="120">
        <v>0.6735213437456824</v>
      </c>
      <c r="AT9" s="120">
        <v>0.7159074527235921</v>
      </c>
      <c r="AU9" s="120"/>
      <c r="AV9" s="120"/>
      <c r="AW9" s="120"/>
      <c r="AX9" s="22"/>
      <c r="AY9" s="119">
        <f>SUM(AY6:AY8)</f>
        <v>0</v>
      </c>
      <c r="AZ9" s="22"/>
      <c r="BA9" s="119"/>
      <c r="BB9" s="116"/>
      <c r="BC9" s="116"/>
    </row>
    <row r="10">
      <c r="A10" s="83" t="s">
        <v>384</v>
      </c>
      <c r="B10" s="83" t="s">
        <v>61</v>
      </c>
      <c r="C10" s="83"/>
      <c r="D10" s="83" t="s">
        <v>62</v>
      </c>
      <c r="E10" s="83" t="s">
        <v>63</v>
      </c>
      <c r="F10" s="83" t="s">
        <v>64</v>
      </c>
      <c r="G10" s="83" t="s">
        <v>65</v>
      </c>
      <c r="H10" s="83">
        <v>36.091</v>
      </c>
      <c r="I10" s="83">
        <v>-94.19</v>
      </c>
      <c r="J10" s="83" t="s">
        <v>66</v>
      </c>
      <c r="K10" s="104" t="s">
        <v>67</v>
      </c>
      <c r="L10" s="180">
        <v>1.12</v>
      </c>
      <c r="M10" s="181">
        <f t="shared" si="5"/>
        <v>2.767569202</v>
      </c>
      <c r="N10" s="83">
        <v>15.0</v>
      </c>
      <c r="O10" s="182">
        <v>2.4</v>
      </c>
      <c r="Q10" s="183">
        <f t="shared" si="6"/>
        <v>277.7777778</v>
      </c>
      <c r="S10" s="80">
        <v>17.0</v>
      </c>
      <c r="T10" s="83" t="s">
        <v>68</v>
      </c>
      <c r="W10" s="99" t="s">
        <v>69</v>
      </c>
      <c r="X10" s="99">
        <v>81005.0</v>
      </c>
      <c r="Y10" s="99">
        <v>2.09</v>
      </c>
      <c r="Z10" s="176">
        <v>3.6493568909051493</v>
      </c>
      <c r="AA10" s="99">
        <v>172.77</v>
      </c>
      <c r="AB10" s="99">
        <v>392.91</v>
      </c>
      <c r="AC10" s="177">
        <v>1289.07480314961</v>
      </c>
      <c r="AD10" s="99">
        <v>50.0</v>
      </c>
      <c r="AE10" s="99" t="s">
        <v>70</v>
      </c>
      <c r="AF10" s="172">
        <f t="shared" si="7"/>
        <v>83.21428571</v>
      </c>
      <c r="AG10" s="172"/>
      <c r="AH10" s="172"/>
      <c r="AI10" s="172" t="s">
        <v>71</v>
      </c>
      <c r="AJ10" s="172"/>
      <c r="AK10" s="22" t="b">
        <v>1</v>
      </c>
      <c r="AL10" s="22" t="b">
        <v>1</v>
      </c>
      <c r="AM10" s="22" t="b">
        <v>1</v>
      </c>
      <c r="AN10" s="39" t="b">
        <v>0</v>
      </c>
      <c r="AO10" s="39" t="s">
        <v>362</v>
      </c>
      <c r="AP10" s="39">
        <v>17.0</v>
      </c>
      <c r="AQ10" s="122">
        <f>3.4+(3.4*0.25)</f>
        <v>4.25</v>
      </c>
      <c r="AR10" s="120">
        <v>119.0230286</v>
      </c>
      <c r="AS10" s="120">
        <v>33.4053166047834</v>
      </c>
      <c r="AT10" s="120">
        <v>18.7000161568</v>
      </c>
      <c r="AU10" s="120"/>
      <c r="AV10" s="120"/>
      <c r="AW10" s="120"/>
      <c r="AX10" s="116"/>
      <c r="AY10" s="116">
        <f>AX10/AQ10</f>
        <v>0</v>
      </c>
      <c r="AZ10" s="116"/>
      <c r="BA10" s="116"/>
      <c r="BB10" s="116"/>
      <c r="BC10" s="116"/>
    </row>
    <row r="11">
      <c r="A11" s="83" t="s">
        <v>385</v>
      </c>
      <c r="B11" s="83" t="s">
        <v>61</v>
      </c>
      <c r="C11" s="83"/>
      <c r="D11" s="83" t="s">
        <v>62</v>
      </c>
      <c r="E11" s="83" t="s">
        <v>63</v>
      </c>
      <c r="F11" s="83" t="s">
        <v>64</v>
      </c>
      <c r="G11" s="83" t="s">
        <v>65</v>
      </c>
      <c r="H11" s="83">
        <v>36.091</v>
      </c>
      <c r="I11" s="83">
        <v>-94.19</v>
      </c>
      <c r="J11" s="83" t="s">
        <v>72</v>
      </c>
      <c r="K11" s="104" t="s">
        <v>73</v>
      </c>
      <c r="L11" s="180">
        <v>1.84</v>
      </c>
      <c r="M11" s="181">
        <f t="shared" si="5"/>
        <v>4.546720832</v>
      </c>
      <c r="N11" s="83">
        <v>15.0</v>
      </c>
      <c r="O11" s="182">
        <v>9.1</v>
      </c>
      <c r="Q11" s="183">
        <f>10000/(15*9.1)</f>
        <v>73.26007326</v>
      </c>
      <c r="S11" s="80">
        <v>17.0</v>
      </c>
      <c r="T11" s="83" t="s">
        <v>74</v>
      </c>
      <c r="W11" s="99" t="s">
        <v>69</v>
      </c>
      <c r="X11" s="99">
        <v>81005.0</v>
      </c>
      <c r="Y11" s="99">
        <v>1.43</v>
      </c>
      <c r="Z11" s="176">
        <v>2.496339185224331</v>
      </c>
      <c r="AA11" s="99">
        <v>186.84</v>
      </c>
      <c r="AB11" s="99">
        <v>380.66</v>
      </c>
      <c r="AC11" s="177">
        <v>1248.88451443569</v>
      </c>
      <c r="AD11" s="99">
        <v>50.0</v>
      </c>
      <c r="AE11" s="99" t="s">
        <v>70</v>
      </c>
      <c r="AF11" s="172">
        <f>119/4.5</f>
        <v>26.44444444</v>
      </c>
      <c r="AG11" s="172"/>
      <c r="AH11" s="172"/>
      <c r="AI11" s="172" t="s">
        <v>71</v>
      </c>
      <c r="AJ11" s="172"/>
      <c r="AK11" s="22" t="b">
        <v>1</v>
      </c>
      <c r="AL11" s="22" t="b">
        <v>1</v>
      </c>
      <c r="AM11" s="22" t="b">
        <v>1</v>
      </c>
      <c r="AN11" s="39" t="b">
        <v>0</v>
      </c>
      <c r="AO11" s="22"/>
      <c r="AP11" s="39">
        <v>17.0</v>
      </c>
      <c r="AQ11" s="122">
        <f>12.7+(12.7*0.25)</f>
        <v>15.875</v>
      </c>
      <c r="AR11" s="120">
        <v>35.48279459950183</v>
      </c>
      <c r="AS11" s="120">
        <v>7.34282624721527</v>
      </c>
      <c r="AT11" s="120">
        <v>24.793999999999997</v>
      </c>
      <c r="AU11" s="120"/>
      <c r="AV11" s="120"/>
      <c r="AW11" s="120"/>
      <c r="AX11" s="116"/>
      <c r="AY11" s="116"/>
      <c r="AZ11" s="116"/>
      <c r="BA11" s="116"/>
      <c r="BB11" s="116"/>
      <c r="BC11" s="116"/>
    </row>
    <row r="12">
      <c r="A12" s="83" t="s">
        <v>386</v>
      </c>
      <c r="B12" s="83" t="s">
        <v>41</v>
      </c>
      <c r="C12" s="83"/>
      <c r="D12" s="83" t="s">
        <v>76</v>
      </c>
      <c r="E12" s="83" t="s">
        <v>77</v>
      </c>
      <c r="F12" s="83" t="s">
        <v>78</v>
      </c>
      <c r="G12" s="83" t="s">
        <v>79</v>
      </c>
      <c r="H12" s="184"/>
      <c r="I12" s="184"/>
      <c r="J12" s="83" t="s">
        <v>80</v>
      </c>
      <c r="K12" s="104" t="s">
        <v>81</v>
      </c>
      <c r="L12" s="180">
        <v>30.0</v>
      </c>
      <c r="M12" s="181">
        <f t="shared" si="5"/>
        <v>74.13131791</v>
      </c>
      <c r="N12" s="184">
        <v>45823.0</v>
      </c>
      <c r="O12" s="182">
        <v>6.0</v>
      </c>
      <c r="P12" s="83">
        <v>111.0</v>
      </c>
      <c r="Q12" s="183" t="str">
        <f t="shared" ref="Q12:Q16" si="8">TEXT(10000/(6*15),"0")&amp;" to "&amp;TEXT(10000/(6*6),"0")</f>
        <v>111 to 278</v>
      </c>
      <c r="S12" s="80">
        <v>33.0</v>
      </c>
      <c r="T12" s="83">
        <v>666.0</v>
      </c>
      <c r="U12" s="83" t="s">
        <v>82</v>
      </c>
      <c r="V12" s="83" t="s">
        <v>83</v>
      </c>
      <c r="W12" s="99" t="s">
        <v>84</v>
      </c>
      <c r="X12" s="99">
        <v>92003.0</v>
      </c>
      <c r="Y12" s="99">
        <v>1.94</v>
      </c>
      <c r="Z12" s="176">
        <v>3.387233288185025</v>
      </c>
      <c r="AA12" s="99">
        <v>232.85</v>
      </c>
      <c r="AB12" s="99">
        <v>338.98</v>
      </c>
      <c r="AC12" s="177">
        <v>1112.13910761155</v>
      </c>
      <c r="AD12" s="99" t="s">
        <v>54</v>
      </c>
      <c r="AE12" s="185"/>
      <c r="AF12" s="185" t="str">
        <f t="shared" ref="AF12:AF16" si="9">TEXT(111/2.47105,"0")&amp;" total, "&amp;TEXT(111/(2.47105*5),"0")&amp;" each sp"</f>
        <v>45 total, 9 each sp</v>
      </c>
      <c r="AG12" s="185"/>
      <c r="AH12" s="185"/>
      <c r="AI12" s="185"/>
      <c r="AJ12" s="185"/>
      <c r="AK12" s="22" t="b">
        <v>1</v>
      </c>
      <c r="AL12" s="22" t="b">
        <v>1</v>
      </c>
      <c r="AM12" s="22" t="b">
        <v>1</v>
      </c>
      <c r="AN12" s="22" t="b">
        <v>1</v>
      </c>
      <c r="AO12" s="39" t="s">
        <v>363</v>
      </c>
      <c r="AP12" s="112">
        <v>33.0</v>
      </c>
      <c r="AQ12" s="123">
        <f>12.3+(12.3*0.25)</f>
        <v>15.375</v>
      </c>
      <c r="AR12" s="120">
        <v>65.43580302765271</v>
      </c>
      <c r="AS12" s="120">
        <v>13.11770176887507</v>
      </c>
      <c r="AT12" s="120">
        <v>45.72399999999999</v>
      </c>
      <c r="AU12" s="120"/>
      <c r="AV12" s="120"/>
      <c r="AW12" s="120"/>
      <c r="AX12" s="112"/>
      <c r="AY12" s="112"/>
      <c r="BB12" s="116"/>
      <c r="BC12" s="116"/>
    </row>
    <row r="13">
      <c r="A13" s="83" t="s">
        <v>387</v>
      </c>
      <c r="B13" s="83" t="s">
        <v>41</v>
      </c>
      <c r="C13" s="83"/>
      <c r="D13" s="83" t="s">
        <v>76</v>
      </c>
      <c r="E13" s="83" t="s">
        <v>77</v>
      </c>
      <c r="F13" s="83" t="s">
        <v>78</v>
      </c>
      <c r="G13" s="83" t="s">
        <v>79</v>
      </c>
      <c r="H13" s="184"/>
      <c r="I13" s="184"/>
      <c r="J13" s="83" t="s">
        <v>85</v>
      </c>
      <c r="K13" s="104" t="s">
        <v>86</v>
      </c>
      <c r="L13" s="180">
        <v>30.0</v>
      </c>
      <c r="M13" s="181">
        <f t="shared" si="5"/>
        <v>74.13131791</v>
      </c>
      <c r="N13" s="184">
        <v>45823.0</v>
      </c>
      <c r="O13" s="182">
        <v>6.0</v>
      </c>
      <c r="P13" s="83">
        <v>111.0</v>
      </c>
      <c r="Q13" s="183" t="str">
        <f t="shared" si="8"/>
        <v>111 to 278</v>
      </c>
      <c r="S13" s="80">
        <v>33.0</v>
      </c>
      <c r="T13" s="83">
        <v>666.0</v>
      </c>
      <c r="U13" s="83" t="s">
        <v>82</v>
      </c>
      <c r="V13" s="83" t="s">
        <v>83</v>
      </c>
      <c r="W13" s="99" t="s">
        <v>84</v>
      </c>
      <c r="X13" s="99">
        <v>92003.0</v>
      </c>
      <c r="Y13" s="99">
        <v>1.94</v>
      </c>
      <c r="Z13" s="176">
        <f t="shared" ref="Z13:Z16" si="10">tan(Y13*PI()/180)*100</f>
        <v>3.387233288</v>
      </c>
      <c r="AA13" s="99">
        <v>232.85</v>
      </c>
      <c r="AB13" s="99">
        <v>338.98</v>
      </c>
      <c r="AC13" s="177">
        <f t="shared" ref="AC13:AC16" si="11">CONVERT(AB13,"m","ft")</f>
        <v>1112.139108</v>
      </c>
      <c r="AD13" s="99" t="s">
        <v>54</v>
      </c>
      <c r="AE13" s="185"/>
      <c r="AF13" s="185" t="str">
        <f t="shared" si="9"/>
        <v>45 total, 9 each sp</v>
      </c>
      <c r="AG13" s="185"/>
      <c r="AH13" s="185"/>
      <c r="AI13" s="185"/>
      <c r="AJ13" s="185"/>
      <c r="AK13" s="22" t="b">
        <v>1</v>
      </c>
      <c r="AL13" s="22" t="b">
        <v>1</v>
      </c>
      <c r="AM13" s="22" t="b">
        <v>1</v>
      </c>
      <c r="AN13" s="22" t="b">
        <v>1</v>
      </c>
      <c r="AO13" s="22"/>
      <c r="AP13" s="112">
        <v>33.0</v>
      </c>
      <c r="AQ13" s="123">
        <f>7.9+(7.9*0.25)</f>
        <v>9.875</v>
      </c>
      <c r="AR13" s="120">
        <v>107.37001482706398</v>
      </c>
      <c r="AS13" s="120">
        <v>20.64381313323974</v>
      </c>
      <c r="AT13" s="120">
        <v>75.026</v>
      </c>
      <c r="AU13" s="120"/>
      <c r="AV13" s="120"/>
      <c r="AW13" s="120"/>
      <c r="BB13" s="116"/>
      <c r="BC13" s="116"/>
    </row>
    <row r="14">
      <c r="A14" s="83" t="s">
        <v>388</v>
      </c>
      <c r="B14" s="83" t="s">
        <v>41</v>
      </c>
      <c r="C14" s="83"/>
      <c r="D14" s="83" t="s">
        <v>76</v>
      </c>
      <c r="E14" s="83" t="s">
        <v>77</v>
      </c>
      <c r="F14" s="83" t="s">
        <v>78</v>
      </c>
      <c r="G14" s="83" t="s">
        <v>79</v>
      </c>
      <c r="H14" s="184"/>
      <c r="I14" s="184"/>
      <c r="J14" s="83" t="s">
        <v>87</v>
      </c>
      <c r="K14" s="104" t="s">
        <v>88</v>
      </c>
      <c r="L14" s="180">
        <v>30.0</v>
      </c>
      <c r="M14" s="181">
        <f t="shared" si="5"/>
        <v>74.13131791</v>
      </c>
      <c r="N14" s="184">
        <v>45823.0</v>
      </c>
      <c r="O14" s="182">
        <v>6.0</v>
      </c>
      <c r="P14" s="83">
        <v>111.0</v>
      </c>
      <c r="Q14" s="183" t="str">
        <f t="shared" si="8"/>
        <v>111 to 278</v>
      </c>
      <c r="S14" s="80">
        <v>33.0</v>
      </c>
      <c r="T14" s="83">
        <v>666.0</v>
      </c>
      <c r="U14" s="83" t="s">
        <v>82</v>
      </c>
      <c r="V14" s="83" t="s">
        <v>83</v>
      </c>
      <c r="W14" s="99" t="s">
        <v>84</v>
      </c>
      <c r="X14" s="99">
        <v>92003.0</v>
      </c>
      <c r="Y14" s="99">
        <v>1.94</v>
      </c>
      <c r="Z14" s="176">
        <f t="shared" si="10"/>
        <v>3.387233288</v>
      </c>
      <c r="AA14" s="99">
        <v>232.85</v>
      </c>
      <c r="AB14" s="99">
        <v>338.98</v>
      </c>
      <c r="AC14" s="177">
        <f t="shared" si="11"/>
        <v>1112.139108</v>
      </c>
      <c r="AD14" s="99" t="s">
        <v>54</v>
      </c>
      <c r="AE14" s="185"/>
      <c r="AF14" s="185" t="str">
        <f t="shared" si="9"/>
        <v>45 total, 9 each sp</v>
      </c>
      <c r="AG14" s="185"/>
      <c r="AH14" s="185"/>
      <c r="AI14" s="185"/>
      <c r="AJ14" s="185"/>
      <c r="AK14" s="22" t="b">
        <v>1</v>
      </c>
      <c r="AL14" s="22" t="b">
        <v>1</v>
      </c>
      <c r="AM14" s="22" t="b">
        <v>1</v>
      </c>
      <c r="AN14" s="22" t="b">
        <v>1</v>
      </c>
      <c r="AO14" s="22"/>
      <c r="AP14" s="112">
        <v>33.0</v>
      </c>
      <c r="AQ14" s="123">
        <f>16.2+(0.25*16.2)</f>
        <v>20.25</v>
      </c>
      <c r="AR14" s="120"/>
      <c r="AS14" s="120"/>
      <c r="AT14" s="120"/>
      <c r="AU14" s="120"/>
      <c r="AV14" s="120"/>
      <c r="AW14" s="120"/>
      <c r="BB14" s="116"/>
      <c r="BC14" s="116"/>
    </row>
    <row r="15">
      <c r="A15" s="83" t="s">
        <v>389</v>
      </c>
      <c r="B15" s="83" t="s">
        <v>41</v>
      </c>
      <c r="C15" s="83"/>
      <c r="D15" s="83" t="s">
        <v>76</v>
      </c>
      <c r="E15" s="83" t="s">
        <v>77</v>
      </c>
      <c r="F15" s="83" t="s">
        <v>78</v>
      </c>
      <c r="G15" s="83" t="s">
        <v>79</v>
      </c>
      <c r="H15" s="184"/>
      <c r="I15" s="184"/>
      <c r="J15" s="83" t="s">
        <v>89</v>
      </c>
      <c r="K15" s="104" t="s">
        <v>90</v>
      </c>
      <c r="L15" s="180">
        <v>30.0</v>
      </c>
      <c r="M15" s="181">
        <f t="shared" si="5"/>
        <v>74.13131791</v>
      </c>
      <c r="N15" s="184">
        <v>45823.0</v>
      </c>
      <c r="O15" s="182">
        <v>6.0</v>
      </c>
      <c r="P15" s="83">
        <v>111.0</v>
      </c>
      <c r="Q15" s="183" t="str">
        <f t="shared" si="8"/>
        <v>111 to 278</v>
      </c>
      <c r="S15" s="80">
        <v>33.0</v>
      </c>
      <c r="T15" s="83">
        <v>666.0</v>
      </c>
      <c r="U15" s="83" t="s">
        <v>91</v>
      </c>
      <c r="V15" s="83" t="s">
        <v>83</v>
      </c>
      <c r="W15" s="99" t="s">
        <v>84</v>
      </c>
      <c r="X15" s="99">
        <v>92003.0</v>
      </c>
      <c r="Y15" s="99">
        <v>1.94</v>
      </c>
      <c r="Z15" s="176">
        <f t="shared" si="10"/>
        <v>3.387233288</v>
      </c>
      <c r="AA15" s="99">
        <v>232.85</v>
      </c>
      <c r="AB15" s="99">
        <v>338.98</v>
      </c>
      <c r="AC15" s="177">
        <f t="shared" si="11"/>
        <v>1112.139108</v>
      </c>
      <c r="AD15" s="99" t="s">
        <v>54</v>
      </c>
      <c r="AE15" s="185"/>
      <c r="AF15" s="185" t="str">
        <f t="shared" si="9"/>
        <v>45 total, 9 each sp</v>
      </c>
      <c r="AG15" s="185"/>
      <c r="AH15" s="185"/>
      <c r="AI15" s="185"/>
      <c r="AJ15" s="185"/>
      <c r="AK15" s="22" t="b">
        <v>1</v>
      </c>
      <c r="AL15" s="22" t="b">
        <v>1</v>
      </c>
      <c r="AM15" s="22" t="b">
        <v>1</v>
      </c>
      <c r="AN15" s="22" t="b">
        <v>1</v>
      </c>
      <c r="AO15" s="22"/>
      <c r="AP15" s="112">
        <v>33.0</v>
      </c>
      <c r="AQ15" s="123">
        <f>9.9+(0.25*9.9)</f>
        <v>12.375</v>
      </c>
      <c r="AR15" s="120"/>
      <c r="AS15" s="120"/>
      <c r="AT15" s="120"/>
      <c r="AU15" s="120"/>
      <c r="AV15" s="120"/>
      <c r="AW15" s="120"/>
    </row>
    <row r="16">
      <c r="A16" s="83" t="s">
        <v>390</v>
      </c>
      <c r="B16" s="83" t="s">
        <v>41</v>
      </c>
      <c r="C16" s="83"/>
      <c r="D16" s="83" t="s">
        <v>76</v>
      </c>
      <c r="E16" s="83" t="s">
        <v>77</v>
      </c>
      <c r="F16" s="83" t="s">
        <v>78</v>
      </c>
      <c r="G16" s="83" t="s">
        <v>79</v>
      </c>
      <c r="H16" s="184"/>
      <c r="I16" s="184"/>
      <c r="J16" s="83" t="s">
        <v>92</v>
      </c>
      <c r="K16" s="104" t="s">
        <v>67</v>
      </c>
      <c r="L16" s="180">
        <v>30.0</v>
      </c>
      <c r="M16" s="181">
        <f t="shared" si="5"/>
        <v>74.13131791</v>
      </c>
      <c r="N16" s="184">
        <v>45823.0</v>
      </c>
      <c r="O16" s="182">
        <v>6.0</v>
      </c>
      <c r="P16" s="83">
        <v>111.0</v>
      </c>
      <c r="Q16" s="183" t="str">
        <f t="shared" si="8"/>
        <v>111 to 278</v>
      </c>
      <c r="S16" s="80">
        <v>33.0</v>
      </c>
      <c r="T16" s="83">
        <v>666.0</v>
      </c>
      <c r="U16" s="83" t="s">
        <v>93</v>
      </c>
      <c r="V16" s="83" t="s">
        <v>83</v>
      </c>
      <c r="W16" s="99" t="s">
        <v>84</v>
      </c>
      <c r="X16" s="99">
        <v>92003.0</v>
      </c>
      <c r="Y16" s="99">
        <v>1.94</v>
      </c>
      <c r="Z16" s="176">
        <f t="shared" si="10"/>
        <v>3.387233288</v>
      </c>
      <c r="AA16" s="99">
        <v>232.85</v>
      </c>
      <c r="AB16" s="99">
        <v>338.98</v>
      </c>
      <c r="AC16" s="177">
        <f t="shared" si="11"/>
        <v>1112.139108</v>
      </c>
      <c r="AD16" s="99" t="s">
        <v>54</v>
      </c>
      <c r="AE16" s="185"/>
      <c r="AF16" s="185" t="str">
        <f t="shared" si="9"/>
        <v>45 total, 9 each sp</v>
      </c>
      <c r="AG16" s="185"/>
      <c r="AH16" s="185"/>
      <c r="AI16" s="185"/>
      <c r="AJ16" s="185"/>
      <c r="AK16" s="22" t="b">
        <v>1</v>
      </c>
      <c r="AL16" s="22" t="b">
        <v>1</v>
      </c>
      <c r="AM16" s="22" t="b">
        <v>1</v>
      </c>
      <c r="AN16" s="22" t="b">
        <v>1</v>
      </c>
      <c r="AO16" s="22"/>
      <c r="AP16" s="112">
        <v>33.0</v>
      </c>
      <c r="AQ16" s="123">
        <f>19.6+(19.6*0.25)</f>
        <v>24.5</v>
      </c>
      <c r="AR16" s="120"/>
      <c r="AS16" s="120"/>
      <c r="AT16" s="120"/>
      <c r="AU16" s="120"/>
      <c r="AV16" s="120"/>
      <c r="AW16" s="120"/>
    </row>
    <row r="17">
      <c r="A17" s="83" t="s">
        <v>94</v>
      </c>
      <c r="B17" s="83" t="s">
        <v>95</v>
      </c>
      <c r="C17" s="83"/>
      <c r="D17" s="83" t="s">
        <v>96</v>
      </c>
      <c r="E17" s="83" t="s">
        <v>97</v>
      </c>
      <c r="F17" s="83"/>
      <c r="G17" s="83" t="s">
        <v>98</v>
      </c>
      <c r="H17" s="83"/>
      <c r="I17" s="83"/>
      <c r="J17" s="83" t="s">
        <v>99</v>
      </c>
      <c r="K17" s="83" t="s">
        <v>100</v>
      </c>
      <c r="L17" s="98"/>
      <c r="M17" s="181"/>
      <c r="N17" s="83">
        <v>1.8</v>
      </c>
      <c r="O17" s="182">
        <v>1.2</v>
      </c>
      <c r="Q17" s="183">
        <f>10000/(N17*O17)</f>
        <v>4629.62963</v>
      </c>
      <c r="S17" s="100">
        <v>45815.0</v>
      </c>
      <c r="T17" s="74">
        <f>10000/(1.8*1.2)</f>
        <v>4629.62963</v>
      </c>
      <c r="V17" s="83" t="s">
        <v>101</v>
      </c>
      <c r="W17" s="99" t="s">
        <v>53</v>
      </c>
      <c r="X17" s="99">
        <v>90503.0</v>
      </c>
      <c r="Y17" s="99">
        <v>1.76</v>
      </c>
      <c r="Z17" s="176">
        <v>3.0727460078610753</v>
      </c>
      <c r="AA17" s="99">
        <v>233.23</v>
      </c>
      <c r="AB17" s="99">
        <v>316.24</v>
      </c>
      <c r="AC17" s="177">
        <v>1037.53280839895</v>
      </c>
      <c r="AD17" s="99" t="s">
        <v>54</v>
      </c>
      <c r="AE17" s="185"/>
      <c r="AF17" s="178">
        <f t="shared" ref="AF17:AF20" si="12">IF(ISNUMBER(P17),P17/2.471,IF(ISNUMBER(Q17),Q17/2.471,""))</f>
        <v>1873.585443</v>
      </c>
      <c r="AG17" s="185"/>
      <c r="AH17" s="185"/>
      <c r="AI17" s="185"/>
      <c r="AJ17" s="185"/>
      <c r="AK17" s="22" t="b">
        <v>1</v>
      </c>
      <c r="AL17" s="22" t="b">
        <v>1</v>
      </c>
      <c r="AM17" s="22" t="b">
        <v>1</v>
      </c>
      <c r="AN17" s="39" t="b">
        <v>1</v>
      </c>
      <c r="AO17" s="126"/>
      <c r="AP17" s="83">
        <v>7.0</v>
      </c>
      <c r="AQ17" s="127">
        <f>17.8+(17.8*0.25)</f>
        <v>22.25</v>
      </c>
      <c r="AR17" s="120"/>
      <c r="AS17" s="120"/>
      <c r="AT17" s="120"/>
      <c r="AU17" s="120"/>
      <c r="AV17" s="120"/>
      <c r="AW17" s="120"/>
      <c r="AZ17" s="116"/>
      <c r="BA17" s="116"/>
    </row>
    <row r="18">
      <c r="A18" s="99" t="s">
        <v>102</v>
      </c>
      <c r="B18" s="99" t="s">
        <v>61</v>
      </c>
      <c r="C18" s="99"/>
      <c r="D18" s="99" t="s">
        <v>62</v>
      </c>
      <c r="E18" s="99" t="s">
        <v>103</v>
      </c>
      <c r="F18" s="99" t="s">
        <v>104</v>
      </c>
      <c r="G18" s="99" t="s">
        <v>105</v>
      </c>
      <c r="H18" s="99"/>
      <c r="I18" s="99"/>
      <c r="J18" s="99" t="s">
        <v>106</v>
      </c>
      <c r="K18" s="99" t="s">
        <v>107</v>
      </c>
      <c r="L18" s="99" t="s">
        <v>108</v>
      </c>
      <c r="M18" s="177"/>
      <c r="N18" s="99" t="s">
        <v>109</v>
      </c>
      <c r="O18" s="175">
        <v>2.1</v>
      </c>
      <c r="P18" s="99">
        <v>308.0</v>
      </c>
      <c r="Q18" s="186"/>
      <c r="R18" s="172"/>
      <c r="S18" s="80">
        <v>18.0</v>
      </c>
      <c r="T18" s="99" t="s">
        <v>110</v>
      </c>
      <c r="U18" s="99" t="s">
        <v>111</v>
      </c>
      <c r="V18" s="99"/>
      <c r="W18" s="99" t="s">
        <v>69</v>
      </c>
      <c r="X18" s="99">
        <v>80911.0</v>
      </c>
      <c r="Y18" s="99">
        <v>2.67</v>
      </c>
      <c r="Z18" s="176">
        <f t="shared" ref="Z18:Z20" si="13">IF(ISNUMBER(Y18),tan(Y18*PI()/180)*100,"")</f>
        <v>4.663405255</v>
      </c>
      <c r="AA18" s="99">
        <v>126.9</v>
      </c>
      <c r="AB18" s="99">
        <v>308.0</v>
      </c>
      <c r="AC18" s="177">
        <f t="shared" ref="AC18:AC20" si="14">IF(ISNUMBER(AB18), CONVERT(AB18,"m","ft"),"")</f>
        <v>1010.498688</v>
      </c>
      <c r="AD18" s="99">
        <v>50.0</v>
      </c>
      <c r="AE18" s="99" t="s">
        <v>112</v>
      </c>
      <c r="AF18" s="178">
        <f t="shared" si="12"/>
        <v>124.6458924</v>
      </c>
      <c r="AG18" s="99" t="s">
        <v>113</v>
      </c>
      <c r="AH18" s="99" t="s">
        <v>114</v>
      </c>
      <c r="AI18" s="185"/>
      <c r="AJ18" s="99" t="s">
        <v>115</v>
      </c>
      <c r="AK18" s="22" t="b">
        <v>1</v>
      </c>
      <c r="AL18" s="22" t="b">
        <v>1</v>
      </c>
      <c r="AM18" s="22" t="b">
        <v>1</v>
      </c>
      <c r="AN18" s="22" t="b">
        <v>1</v>
      </c>
      <c r="AP18" s="83">
        <v>18.0</v>
      </c>
      <c r="AQ18" s="128">
        <f t="shared" ref="AQ18:AQ20" si="15">BC18*0.465*0.5</f>
        <v>23.20164</v>
      </c>
      <c r="AR18" s="120"/>
      <c r="AS18" s="120"/>
      <c r="AT18" s="120"/>
      <c r="AU18" s="120"/>
      <c r="AV18" s="120"/>
      <c r="AW18" s="120"/>
      <c r="AX18" s="129"/>
      <c r="AY18" s="116"/>
      <c r="AZ18" s="116"/>
      <c r="BA18" s="116"/>
      <c r="BB18" s="126">
        <f>373-49</f>
        <v>324</v>
      </c>
      <c r="BC18" s="127">
        <f>(BB18*308)/1000</f>
        <v>99.792</v>
      </c>
    </row>
    <row r="19">
      <c r="A19" s="99" t="s">
        <v>116</v>
      </c>
      <c r="B19" s="99" t="s">
        <v>61</v>
      </c>
      <c r="C19" s="99"/>
      <c r="D19" s="99" t="s">
        <v>62</v>
      </c>
      <c r="E19" s="99" t="s">
        <v>103</v>
      </c>
      <c r="F19" s="99" t="s">
        <v>104</v>
      </c>
      <c r="G19" s="99" t="s">
        <v>105</v>
      </c>
      <c r="H19" s="99"/>
      <c r="I19" s="99"/>
      <c r="J19" s="99" t="s">
        <v>106</v>
      </c>
      <c r="K19" s="99" t="s">
        <v>107</v>
      </c>
      <c r="L19" s="99" t="s">
        <v>108</v>
      </c>
      <c r="M19" s="177"/>
      <c r="N19" s="99">
        <v>2.4</v>
      </c>
      <c r="O19" s="175">
        <v>2.1</v>
      </c>
      <c r="P19" s="99">
        <v>568.0</v>
      </c>
      <c r="Q19" s="186"/>
      <c r="R19" s="172"/>
      <c r="S19" s="80">
        <v>18.0</v>
      </c>
      <c r="T19" s="99" t="s">
        <v>117</v>
      </c>
      <c r="U19" s="99" t="s">
        <v>111</v>
      </c>
      <c r="V19" s="99"/>
      <c r="W19" s="99" t="s">
        <v>69</v>
      </c>
      <c r="X19" s="99">
        <v>80911.0</v>
      </c>
      <c r="Y19" s="99">
        <v>2.67</v>
      </c>
      <c r="Z19" s="176">
        <f t="shared" si="13"/>
        <v>4.663405255</v>
      </c>
      <c r="AA19" s="99">
        <v>126.9</v>
      </c>
      <c r="AB19" s="99">
        <v>308.0</v>
      </c>
      <c r="AC19" s="177">
        <f t="shared" si="14"/>
        <v>1010.498688</v>
      </c>
      <c r="AD19" s="99">
        <v>50.0</v>
      </c>
      <c r="AE19" s="99" t="s">
        <v>112</v>
      </c>
      <c r="AF19" s="178">
        <f t="shared" si="12"/>
        <v>229.8664508</v>
      </c>
      <c r="AG19" s="99" t="s">
        <v>113</v>
      </c>
      <c r="AH19" s="99" t="s">
        <v>114</v>
      </c>
      <c r="AI19" s="185"/>
      <c r="AJ19" s="99" t="s">
        <v>115</v>
      </c>
      <c r="AK19" s="22" t="b">
        <v>1</v>
      </c>
      <c r="AL19" s="22" t="b">
        <v>1</v>
      </c>
      <c r="AM19" s="22" t="b">
        <v>1</v>
      </c>
      <c r="AN19" s="22" t="b">
        <v>1</v>
      </c>
      <c r="AP19" s="83">
        <v>18.0</v>
      </c>
      <c r="AQ19" s="128">
        <f t="shared" si="15"/>
        <v>38.16534</v>
      </c>
      <c r="AR19" s="120"/>
      <c r="AS19" s="120"/>
      <c r="AT19" s="120"/>
      <c r="AU19" s="120"/>
      <c r="AV19" s="120"/>
      <c r="AW19" s="120"/>
      <c r="BB19" s="126">
        <f>((343-37)+(310-38))/2</f>
        <v>289</v>
      </c>
      <c r="BC19" s="127">
        <f>(BB19*568)/1000</f>
        <v>164.152</v>
      </c>
    </row>
    <row r="20">
      <c r="A20" s="99" t="s">
        <v>118</v>
      </c>
      <c r="B20" s="99" t="s">
        <v>61</v>
      </c>
      <c r="C20" s="99"/>
      <c r="D20" s="99" t="s">
        <v>62</v>
      </c>
      <c r="E20" s="99" t="s">
        <v>103</v>
      </c>
      <c r="F20" s="99" t="s">
        <v>104</v>
      </c>
      <c r="G20" s="99" t="s">
        <v>105</v>
      </c>
      <c r="H20" s="99"/>
      <c r="I20" s="99"/>
      <c r="J20" s="99" t="s">
        <v>106</v>
      </c>
      <c r="K20" s="99" t="s">
        <v>107</v>
      </c>
      <c r="L20" s="99" t="s">
        <v>108</v>
      </c>
      <c r="M20" s="177"/>
      <c r="N20" s="99">
        <v>2.4</v>
      </c>
      <c r="O20" s="175">
        <v>2.1</v>
      </c>
      <c r="P20" s="99">
        <v>932.0</v>
      </c>
      <c r="Q20" s="186"/>
      <c r="R20" s="172"/>
      <c r="S20" s="80">
        <v>18.0</v>
      </c>
      <c r="T20" s="99" t="s">
        <v>119</v>
      </c>
      <c r="U20" s="99" t="s">
        <v>111</v>
      </c>
      <c r="V20" s="99"/>
      <c r="W20" s="99" t="s">
        <v>69</v>
      </c>
      <c r="X20" s="99">
        <v>80911.0</v>
      </c>
      <c r="Y20" s="99">
        <v>2.67</v>
      </c>
      <c r="Z20" s="176">
        <f t="shared" si="13"/>
        <v>4.663405255</v>
      </c>
      <c r="AA20" s="99">
        <v>126.9</v>
      </c>
      <c r="AB20" s="99">
        <v>308.0</v>
      </c>
      <c r="AC20" s="177">
        <f t="shared" si="14"/>
        <v>1010.498688</v>
      </c>
      <c r="AD20" s="99">
        <v>50.0</v>
      </c>
      <c r="AE20" s="99" t="s">
        <v>112</v>
      </c>
      <c r="AF20" s="178">
        <f t="shared" si="12"/>
        <v>377.1752327</v>
      </c>
      <c r="AG20" s="99" t="s">
        <v>113</v>
      </c>
      <c r="AH20" s="99" t="s">
        <v>114</v>
      </c>
      <c r="AI20" s="185"/>
      <c r="AJ20" s="99" t="s">
        <v>115</v>
      </c>
      <c r="AK20" s="22" t="b">
        <v>1</v>
      </c>
      <c r="AL20" s="22" t="b">
        <v>1</v>
      </c>
      <c r="AM20" s="22" t="b">
        <v>1</v>
      </c>
      <c r="AN20" s="22" t="b">
        <v>1</v>
      </c>
      <c r="AP20" s="83">
        <v>18.0</v>
      </c>
      <c r="AQ20" s="128">
        <f t="shared" si="15"/>
        <v>52.764015</v>
      </c>
      <c r="AR20" s="120"/>
      <c r="AS20" s="120"/>
      <c r="AT20" s="120"/>
      <c r="AU20" s="120"/>
      <c r="AV20" s="120"/>
      <c r="AW20" s="120"/>
      <c r="BB20" s="126">
        <f>((292-28)+(243-20))/2</f>
        <v>243.5</v>
      </c>
      <c r="BC20" s="127">
        <f>(BB20*932)/1000</f>
        <v>226.942</v>
      </c>
    </row>
  </sheetData>
  <conditionalFormatting sqref="AR14:AR20">
    <cfRule type="colorScale" priority="1">
      <colorScale>
        <cfvo type="min"/>
        <cfvo type="max"/>
        <color rgb="FFFFFFFF"/>
        <color rgb="FF57BB8A"/>
      </colorScale>
    </cfRule>
  </conditionalFormatting>
  <dataValidations>
    <dataValidation type="list" allowBlank="1" sqref="B7:B20">
      <formula1>"Alley Cropping,Silvopasture,Riparian Buffer,Windbreaks"</formula1>
    </dataValidation>
  </dataValidations>
  <hyperlinks>
    <hyperlink r:id="rId1" ref="AH3"/>
  </hyperlinks>
  <drawing r:id="rId2"/>
  <tableParts count="7">
    <tablePart r:id="rId10"/>
    <tablePart r:id="rId11"/>
    <tablePart r:id="rId12"/>
    <tablePart r:id="rId13"/>
    <tablePart r:id="rId14"/>
    <tablePart r:id="rId15"/>
    <tablePart r:id="rId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18.5"/>
    <col customWidth="1" min="4" max="4" width="15.25"/>
    <col customWidth="1" hidden="1" min="5" max="5" width="13.63"/>
    <col customWidth="1" hidden="1" min="6" max="7" width="23.25"/>
    <col customWidth="1" hidden="1" min="8" max="8" width="8.5"/>
    <col customWidth="1" hidden="1" min="9" max="9" width="12.25"/>
    <col customWidth="1" min="10" max="10" width="15.13"/>
    <col customWidth="1" min="11" max="11" width="20.13"/>
    <col customWidth="1" hidden="1" min="12" max="12" width="15.25"/>
    <col customWidth="1" hidden="1" min="13" max="13" width="15.13"/>
    <col customWidth="1" hidden="1" min="14" max="14" width="25.38"/>
    <col customWidth="1" hidden="1" min="15" max="15" width="16.13"/>
    <col customWidth="1" hidden="1" min="16" max="16" width="19.38"/>
    <col customWidth="1" hidden="1" min="17" max="17" width="24.0"/>
    <col customWidth="1" hidden="1" min="18" max="18" width="8.25"/>
    <col customWidth="1" hidden="1" min="19" max="19" width="14.63"/>
    <col customWidth="1" hidden="1" min="20" max="20" width="26.75"/>
    <col customWidth="1" hidden="1" min="21" max="21" width="11.63"/>
    <col customWidth="1" hidden="1" min="22" max="22" width="35.88"/>
    <col customWidth="1" hidden="1" min="23" max="23" width="5.5"/>
    <col hidden="1" min="24" max="32" width="12.63"/>
    <col customWidth="1" hidden="1" min="33" max="33" width="12.38"/>
    <col hidden="1" min="34" max="34" width="12.63"/>
    <col customWidth="1" hidden="1" min="35" max="35" width="43.0"/>
    <col customWidth="1" hidden="1" min="36" max="36" width="69.13"/>
    <col customWidth="1" hidden="1" min="41" max="41" width="25.5"/>
    <col customWidth="1" min="42" max="42" width="8.63"/>
    <col customWidth="1" min="44" max="45" width="9.38"/>
    <col customWidth="1" min="46" max="46" width="10.63"/>
    <col customWidth="1" min="47" max="47" width="15.13"/>
    <col customWidth="1" min="48" max="49" width="9.38"/>
    <col customWidth="1" hidden="1" min="50" max="50" width="6.25"/>
    <col customWidth="1" hidden="1" min="51" max="51" width="9.38"/>
    <col customWidth="1" hidden="1" min="52" max="52" width="6.25"/>
    <col customWidth="1" hidden="1" min="53" max="53" width="9.38"/>
    <col hidden="1" min="54" max="55" width="12.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355</v>
      </c>
      <c r="AS1" s="187" t="s">
        <v>376</v>
      </c>
      <c r="AT1" s="187" t="s">
        <v>39</v>
      </c>
      <c r="AU1" s="187" t="s">
        <v>391</v>
      </c>
      <c r="AV1" s="187" t="s">
        <v>38</v>
      </c>
      <c r="AW1" s="187"/>
      <c r="AX1" s="110" t="s">
        <v>356</v>
      </c>
      <c r="AY1" s="110" t="s">
        <v>354</v>
      </c>
      <c r="AZ1" s="110" t="s">
        <v>357</v>
      </c>
      <c r="BA1" s="110" t="s">
        <v>354</v>
      </c>
      <c r="BB1" s="110" t="s">
        <v>358</v>
      </c>
      <c r="BC1" s="110"/>
    </row>
    <row r="2">
      <c r="A2" s="9" t="s">
        <v>40</v>
      </c>
      <c r="B2" s="10" t="s">
        <v>41</v>
      </c>
      <c r="C2" s="11" t="s">
        <v>42</v>
      </c>
      <c r="D2" s="11" t="s">
        <v>43</v>
      </c>
      <c r="E2" s="11" t="s">
        <v>44</v>
      </c>
      <c r="F2" s="11" t="s">
        <v>45</v>
      </c>
      <c r="G2" s="11" t="s">
        <v>46</v>
      </c>
      <c r="H2" s="11">
        <v>40.03</v>
      </c>
      <c r="I2" s="11">
        <v>-92.188</v>
      </c>
      <c r="J2" s="11" t="s">
        <v>47</v>
      </c>
      <c r="K2" s="12" t="s">
        <v>48</v>
      </c>
      <c r="L2" s="13">
        <v>4.44</v>
      </c>
      <c r="M2" s="14">
        <f t="shared" ref="M2:M12" si="1">CONVERT(L2,"ha","us_acre")</f>
        <v>10.97143505</v>
      </c>
      <c r="N2" s="11" t="s">
        <v>49</v>
      </c>
      <c r="O2" s="1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39" t="s">
        <v>359</v>
      </c>
      <c r="AP2" s="112">
        <v>22.0</v>
      </c>
      <c r="AQ2" s="113">
        <v>8.65</v>
      </c>
      <c r="AR2" s="39"/>
      <c r="AS2" s="39"/>
      <c r="AT2" s="39"/>
      <c r="AU2" s="39"/>
      <c r="AV2" s="39"/>
      <c r="AW2" s="39"/>
      <c r="AX2" s="39">
        <v>5.0</v>
      </c>
      <c r="AY2" s="114">
        <f> ((1.938*25)/1000)*0.5</f>
        <v>0.024225</v>
      </c>
      <c r="AZ2" s="39"/>
      <c r="BA2" s="114"/>
      <c r="BB2" s="112" t="s">
        <v>360</v>
      </c>
      <c r="BC2" s="11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11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39"/>
      <c r="AP3" s="112">
        <v>22.0</v>
      </c>
      <c r="AQ3" s="113">
        <v>2.79</v>
      </c>
      <c r="AR3" s="39"/>
      <c r="AS3" s="39"/>
      <c r="AT3" s="39"/>
      <c r="AU3" s="39"/>
      <c r="AV3" s="39"/>
      <c r="AW3" s="39"/>
      <c r="AX3" s="39">
        <v>5.0</v>
      </c>
      <c r="AY3" s="114">
        <f> ((1.179*25)/1000)*0.5</f>
        <v>0.0147375</v>
      </c>
      <c r="AZ3" s="39"/>
      <c r="BA3" s="114"/>
      <c r="BB3" s="116"/>
      <c r="BC3" s="116"/>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c r="AP4" s="112">
        <v>22.0</v>
      </c>
      <c r="AQ4" s="113">
        <v>4.9</v>
      </c>
      <c r="AR4" s="39"/>
      <c r="AS4" s="39"/>
      <c r="AT4" s="39"/>
      <c r="AU4" s="39"/>
      <c r="AV4" s="39"/>
      <c r="AW4" s="39"/>
      <c r="AX4" s="39">
        <v>5.0</v>
      </c>
      <c r="AY4" s="114">
        <f> ((0.884*25)/1000)*0.5</f>
        <v>0.01105</v>
      </c>
      <c r="AZ4" s="39"/>
      <c r="BA4" s="114"/>
      <c r="BB4" s="116"/>
      <c r="BC4" s="116"/>
    </row>
    <row r="5">
      <c r="A5" s="23"/>
      <c r="B5" s="117"/>
      <c r="C5" s="25"/>
      <c r="D5" s="25"/>
      <c r="E5" s="25"/>
      <c r="F5" s="25"/>
      <c r="G5" s="25"/>
      <c r="H5" s="25"/>
      <c r="I5" s="25"/>
      <c r="J5" s="25"/>
      <c r="K5" s="26"/>
      <c r="L5" s="27"/>
      <c r="M5" s="28">
        <f t="shared" si="1"/>
        <v>0</v>
      </c>
      <c r="N5" s="25"/>
      <c r="O5" s="115"/>
      <c r="Q5" s="29">
        <f t="shared" ref="Q5:Q6" si="5">10000/(15*2.4)</f>
        <v>277.7777778</v>
      </c>
      <c r="S5" s="82"/>
      <c r="T5" s="25"/>
      <c r="W5" s="31"/>
      <c r="X5" s="31"/>
      <c r="Y5" s="31"/>
      <c r="Z5" s="32"/>
      <c r="AA5" s="31"/>
      <c r="AB5" s="31"/>
      <c r="AC5" s="33"/>
      <c r="AD5" s="31"/>
      <c r="AE5" s="31"/>
      <c r="AF5" s="36">
        <f t="shared" ref="AF5:AF6" si="6">233/2.8</f>
        <v>83.21428571</v>
      </c>
      <c r="AG5" s="37"/>
      <c r="AH5" s="37"/>
      <c r="AI5" s="37"/>
      <c r="AJ5" s="38"/>
      <c r="AK5" s="74" t="b">
        <v>0</v>
      </c>
      <c r="AL5" s="118" t="b">
        <v>0</v>
      </c>
      <c r="AM5" s="74" t="b">
        <v>0</v>
      </c>
      <c r="AN5" s="118" t="b">
        <v>0</v>
      </c>
      <c r="AO5" s="39" t="s">
        <v>361</v>
      </c>
      <c r="AP5" s="112">
        <v>22.0</v>
      </c>
      <c r="AQ5" s="119">
        <f>SUM(AQ2:AQ4)</f>
        <v>16.34</v>
      </c>
      <c r="AR5" s="120">
        <f t="shared" ref="AR5:AR19" si="7">AQ5/AP5</f>
        <v>0.7427272727</v>
      </c>
      <c r="AS5" s="120">
        <v>9.829024179360166</v>
      </c>
      <c r="AT5" s="120">
        <v>0.2696872232538582</v>
      </c>
      <c r="AU5" s="120">
        <v>4.905409638770266</v>
      </c>
      <c r="AV5" s="120">
        <v>0.2673937159488225</v>
      </c>
      <c r="AW5" s="120"/>
      <c r="AX5" s="22"/>
      <c r="AY5" s="121">
        <f>SUM(AY2:AY4)</f>
        <v>0.0500125</v>
      </c>
      <c r="AZ5" s="22"/>
      <c r="BA5" s="119"/>
      <c r="BB5" s="116"/>
      <c r="BC5" s="116"/>
    </row>
    <row r="6">
      <c r="A6" s="9" t="s">
        <v>60</v>
      </c>
      <c r="B6" s="10" t="s">
        <v>61</v>
      </c>
      <c r="C6" s="11"/>
      <c r="D6" s="11" t="s">
        <v>62</v>
      </c>
      <c r="E6" s="11" t="s">
        <v>63</v>
      </c>
      <c r="F6" s="11" t="s">
        <v>64</v>
      </c>
      <c r="G6" s="11" t="s">
        <v>65</v>
      </c>
      <c r="H6" s="11">
        <v>36.091</v>
      </c>
      <c r="I6" s="11">
        <v>-94.19</v>
      </c>
      <c r="J6" s="11" t="s">
        <v>66</v>
      </c>
      <c r="K6" s="12" t="s">
        <v>67</v>
      </c>
      <c r="L6" s="13">
        <v>1.12</v>
      </c>
      <c r="M6" s="14">
        <f t="shared" si="1"/>
        <v>2.767569202</v>
      </c>
      <c r="N6" s="11">
        <v>15.0</v>
      </c>
      <c r="O6" s="111">
        <v>2.4</v>
      </c>
      <c r="Q6" s="15">
        <f t="shared" si="5"/>
        <v>277.7777778</v>
      </c>
      <c r="S6" s="16">
        <v>17.0</v>
      </c>
      <c r="T6" s="11" t="s">
        <v>68</v>
      </c>
      <c r="W6" s="17" t="s">
        <v>69</v>
      </c>
      <c r="X6" s="17">
        <v>81005.0</v>
      </c>
      <c r="Y6" s="17">
        <v>2.09</v>
      </c>
      <c r="Z6" s="18">
        <v>3.6493568909051493</v>
      </c>
      <c r="AA6" s="17">
        <v>172.77</v>
      </c>
      <c r="AB6" s="17">
        <v>392.91</v>
      </c>
      <c r="AC6" s="19">
        <v>1289.07480314961</v>
      </c>
      <c r="AD6" s="17">
        <v>50.0</v>
      </c>
      <c r="AE6" s="17" t="s">
        <v>70</v>
      </c>
      <c r="AF6" s="40">
        <f t="shared" si="6"/>
        <v>83.21428571</v>
      </c>
      <c r="AG6" s="41"/>
      <c r="AH6" s="41"/>
      <c r="AI6" s="41" t="s">
        <v>71</v>
      </c>
      <c r="AJ6" s="42"/>
      <c r="AK6" s="22" t="b">
        <v>1</v>
      </c>
      <c r="AL6" s="22" t="b">
        <v>1</v>
      </c>
      <c r="AM6" s="22" t="b">
        <v>1</v>
      </c>
      <c r="AN6" s="39" t="b">
        <v>0</v>
      </c>
      <c r="AO6" s="39" t="s">
        <v>362</v>
      </c>
      <c r="AP6" s="39">
        <v>17.0</v>
      </c>
      <c r="AQ6" s="122">
        <f>3.4+(3.4*0.25)</f>
        <v>4.25</v>
      </c>
      <c r="AR6" s="120">
        <f t="shared" si="7"/>
        <v>0.25</v>
      </c>
      <c r="AS6" s="120">
        <v>15.449558599498799</v>
      </c>
      <c r="AT6" s="120">
        <v>3.0877907556508797</v>
      </c>
      <c r="AU6" s="120">
        <v>12.901794797141074</v>
      </c>
      <c r="AV6" s="120">
        <v>0.41669945118522</v>
      </c>
      <c r="AW6" s="120"/>
      <c r="AX6" s="116"/>
      <c r="AY6" s="116">
        <f>AX6/AQ6</f>
        <v>0</v>
      </c>
      <c r="AZ6" s="116"/>
      <c r="BA6" s="116"/>
      <c r="BB6" s="116"/>
      <c r="BC6" s="116"/>
    </row>
    <row r="7">
      <c r="A7" s="23" t="s">
        <v>60</v>
      </c>
      <c r="B7" s="24" t="s">
        <v>61</v>
      </c>
      <c r="C7" s="25"/>
      <c r="D7" s="25" t="s">
        <v>62</v>
      </c>
      <c r="E7" s="25" t="s">
        <v>63</v>
      </c>
      <c r="F7" s="25" t="s">
        <v>64</v>
      </c>
      <c r="G7" s="25" t="s">
        <v>65</v>
      </c>
      <c r="H7" s="25">
        <v>36.091</v>
      </c>
      <c r="I7" s="25">
        <v>-94.19</v>
      </c>
      <c r="J7" s="25" t="s">
        <v>72</v>
      </c>
      <c r="K7" s="26" t="s">
        <v>73</v>
      </c>
      <c r="L7" s="27">
        <v>1.84</v>
      </c>
      <c r="M7" s="28">
        <f t="shared" si="1"/>
        <v>4.546720832</v>
      </c>
      <c r="N7" s="25">
        <v>15.0</v>
      </c>
      <c r="O7" s="115">
        <v>9.1</v>
      </c>
      <c r="Q7" s="29">
        <f>10000/(15*9.1)</f>
        <v>73.26007326</v>
      </c>
      <c r="S7" s="30">
        <v>17.0</v>
      </c>
      <c r="T7" s="25" t="s">
        <v>74</v>
      </c>
      <c r="W7" s="31" t="s">
        <v>69</v>
      </c>
      <c r="X7" s="31">
        <v>81005.0</v>
      </c>
      <c r="Y7" s="31">
        <v>1.43</v>
      </c>
      <c r="Z7" s="32">
        <v>2.496339185224331</v>
      </c>
      <c r="AA7" s="31">
        <v>186.84</v>
      </c>
      <c r="AB7" s="31">
        <v>380.66</v>
      </c>
      <c r="AC7" s="33">
        <v>1248.88451443569</v>
      </c>
      <c r="AD7" s="31">
        <v>50.0</v>
      </c>
      <c r="AE7" s="31" t="s">
        <v>70</v>
      </c>
      <c r="AF7" s="36">
        <f>119/4.5</f>
        <v>26.44444444</v>
      </c>
      <c r="AG7" s="37"/>
      <c r="AH7" s="37"/>
      <c r="AI7" s="37" t="s">
        <v>71</v>
      </c>
      <c r="AJ7" s="38"/>
      <c r="AK7" s="22" t="b">
        <v>1</v>
      </c>
      <c r="AL7" s="22" t="b">
        <v>1</v>
      </c>
      <c r="AM7" s="22" t="b">
        <v>1</v>
      </c>
      <c r="AN7" s="39" t="b">
        <v>0</v>
      </c>
      <c r="AO7" s="22"/>
      <c r="AP7" s="39">
        <v>17.0</v>
      </c>
      <c r="AQ7" s="122">
        <f>12.7+(12.7*0.25)</f>
        <v>15.875</v>
      </c>
      <c r="AR7" s="120">
        <f t="shared" si="7"/>
        <v>0.9338235294</v>
      </c>
      <c r="AS7" s="120">
        <v>5.13219580430068</v>
      </c>
      <c r="AT7" s="120">
        <v>0.2597672055211105</v>
      </c>
      <c r="AU7" s="120">
        <v>3.0163071710871443</v>
      </c>
      <c r="AV7" s="120">
        <v>0.46391543416513714</v>
      </c>
      <c r="AW7" s="120"/>
      <c r="AX7" s="116"/>
      <c r="AY7" s="116"/>
      <c r="AZ7" s="116"/>
      <c r="BA7" s="116"/>
      <c r="BB7" s="116"/>
      <c r="BC7" s="116"/>
    </row>
    <row r="8">
      <c r="A8" s="9" t="s">
        <v>75</v>
      </c>
      <c r="B8" s="10" t="s">
        <v>41</v>
      </c>
      <c r="C8" s="11"/>
      <c r="D8" s="11" t="s">
        <v>76</v>
      </c>
      <c r="E8" s="11" t="s">
        <v>77</v>
      </c>
      <c r="F8" s="11" t="s">
        <v>78</v>
      </c>
      <c r="G8" s="11" t="s">
        <v>79</v>
      </c>
      <c r="H8" s="45"/>
      <c r="I8" s="45"/>
      <c r="J8" s="11" t="s">
        <v>80</v>
      </c>
      <c r="K8" s="12" t="s">
        <v>81</v>
      </c>
      <c r="L8" s="13">
        <v>30.0</v>
      </c>
      <c r="M8" s="14">
        <f t="shared" si="1"/>
        <v>74.13131791</v>
      </c>
      <c r="N8" s="45">
        <v>45823.0</v>
      </c>
      <c r="O8" s="111">
        <v>6.0</v>
      </c>
      <c r="P8" s="11">
        <v>111.0</v>
      </c>
      <c r="Q8" s="15" t="str">
        <f t="shared" ref="Q8:Q12" si="8">TEXT(10000/(6*15),"0")&amp;" to "&amp;TEXT(10000/(6*6),"0")</f>
        <v>111 to 278</v>
      </c>
      <c r="S8" s="16">
        <v>33.0</v>
      </c>
      <c r="T8" s="11">
        <v>666.0</v>
      </c>
      <c r="U8" s="11" t="s">
        <v>82</v>
      </c>
      <c r="V8" s="11" t="s">
        <v>83</v>
      </c>
      <c r="W8" s="17" t="s">
        <v>84</v>
      </c>
      <c r="X8" s="17">
        <v>92003.0</v>
      </c>
      <c r="Y8" s="17">
        <v>1.94</v>
      </c>
      <c r="Z8" s="18">
        <v>3.387233288185025</v>
      </c>
      <c r="AA8" s="17">
        <v>232.85</v>
      </c>
      <c r="AB8" s="17">
        <v>338.98</v>
      </c>
      <c r="AC8" s="19">
        <v>1112.13910761155</v>
      </c>
      <c r="AD8" s="17" t="s">
        <v>54</v>
      </c>
      <c r="AE8" s="20"/>
      <c r="AF8" s="46" t="str">
        <f t="shared" ref="AF8:AF12" si="9">TEXT(111/2.47105,"0")&amp;" total, "&amp;TEXT(111/(2.47105*5),"0")&amp;" each sp"</f>
        <v>45 total, 9 each sp</v>
      </c>
      <c r="AG8" s="20"/>
      <c r="AH8" s="20"/>
      <c r="AI8" s="20"/>
      <c r="AJ8" s="21"/>
      <c r="AK8" s="22" t="b">
        <v>1</v>
      </c>
      <c r="AL8" s="22" t="b">
        <v>1</v>
      </c>
      <c r="AM8" s="22" t="b">
        <v>1</v>
      </c>
      <c r="AN8" s="22" t="b">
        <v>1</v>
      </c>
      <c r="AO8" s="39" t="s">
        <v>363</v>
      </c>
      <c r="AP8" s="112">
        <v>33.0</v>
      </c>
      <c r="AQ8" s="123">
        <f>12.3+(12.3*0.25)</f>
        <v>15.375</v>
      </c>
      <c r="AR8" s="120">
        <f t="shared" si="7"/>
        <v>0.4659090909</v>
      </c>
      <c r="AS8" s="120">
        <v>2.8566254381004117</v>
      </c>
      <c r="AT8" s="120">
        <v>0.7700723757999016</v>
      </c>
      <c r="AU8" s="120">
        <v>2.6679891780241083</v>
      </c>
      <c r="AV8" s="120">
        <v>0.6255463857445361</v>
      </c>
      <c r="AW8" s="120"/>
      <c r="AX8" s="112"/>
      <c r="AY8" s="112"/>
      <c r="BB8" s="116"/>
      <c r="BC8" s="116"/>
    </row>
    <row r="9">
      <c r="A9" s="23" t="s">
        <v>75</v>
      </c>
      <c r="B9" s="24" t="s">
        <v>41</v>
      </c>
      <c r="C9" s="25"/>
      <c r="D9" s="25" t="s">
        <v>76</v>
      </c>
      <c r="E9" s="25" t="s">
        <v>77</v>
      </c>
      <c r="F9" s="25" t="s">
        <v>78</v>
      </c>
      <c r="G9" s="25" t="s">
        <v>79</v>
      </c>
      <c r="H9" s="43"/>
      <c r="I9" s="43"/>
      <c r="J9" s="25" t="s">
        <v>85</v>
      </c>
      <c r="K9" s="26" t="s">
        <v>86</v>
      </c>
      <c r="L9" s="27">
        <v>30.0</v>
      </c>
      <c r="M9" s="28">
        <f t="shared" si="1"/>
        <v>74.13131791</v>
      </c>
      <c r="N9" s="43">
        <v>45823.0</v>
      </c>
      <c r="O9" s="115">
        <v>6.0</v>
      </c>
      <c r="P9" s="25">
        <v>111.0</v>
      </c>
      <c r="Q9" s="29" t="str">
        <f t="shared" si="8"/>
        <v>111 to 278</v>
      </c>
      <c r="S9" s="30">
        <v>33.0</v>
      </c>
      <c r="T9" s="25">
        <v>666.0</v>
      </c>
      <c r="U9" s="25" t="s">
        <v>82</v>
      </c>
      <c r="V9" s="25" t="s">
        <v>83</v>
      </c>
      <c r="W9" s="31" t="s">
        <v>84</v>
      </c>
      <c r="X9" s="31">
        <v>92003.0</v>
      </c>
      <c r="Y9" s="31">
        <v>1.94</v>
      </c>
      <c r="Z9" s="32">
        <f t="shared" ref="Z9:Z12" si="10">tan(Y9*PI()/180)*100</f>
        <v>3.387233288</v>
      </c>
      <c r="AA9" s="31">
        <v>232.85</v>
      </c>
      <c r="AB9" s="31">
        <v>338.98</v>
      </c>
      <c r="AC9" s="33">
        <f t="shared" ref="AC9:AC12" si="11">CONVERT(AB9,"m","ft")</f>
        <v>1112.139108</v>
      </c>
      <c r="AD9" s="31" t="s">
        <v>54</v>
      </c>
      <c r="AE9" s="34"/>
      <c r="AF9" s="44" t="str">
        <f t="shared" si="9"/>
        <v>45 total, 9 each sp</v>
      </c>
      <c r="AG9" s="34"/>
      <c r="AH9" s="34"/>
      <c r="AI9" s="34"/>
      <c r="AJ9" s="35"/>
      <c r="AK9" s="22" t="b">
        <v>1</v>
      </c>
      <c r="AL9" s="22" t="b">
        <v>1</v>
      </c>
      <c r="AM9" s="22" t="b">
        <v>1</v>
      </c>
      <c r="AN9" s="22" t="b">
        <v>1</v>
      </c>
      <c r="AO9" s="22"/>
      <c r="AP9" s="112">
        <v>33.0</v>
      </c>
      <c r="AQ9" s="123">
        <f>7.9+(7.9*0.25)</f>
        <v>9.875</v>
      </c>
      <c r="AR9" s="120">
        <f t="shared" si="7"/>
        <v>0.2992424242</v>
      </c>
      <c r="AS9" s="120">
        <v>2.8566254381004117</v>
      </c>
      <c r="AT9" s="120">
        <v>1.5368784313067287</v>
      </c>
      <c r="AU9" s="120">
        <v>2.8371596281724036</v>
      </c>
      <c r="AV9" s="120">
        <v>0.6763106212368937</v>
      </c>
      <c r="AW9" s="120"/>
      <c r="BB9" s="116"/>
      <c r="BC9" s="116"/>
    </row>
    <row r="10">
      <c r="A10" s="9" t="s">
        <v>75</v>
      </c>
      <c r="B10" s="10" t="s">
        <v>41</v>
      </c>
      <c r="C10" s="11"/>
      <c r="D10" s="11" t="s">
        <v>76</v>
      </c>
      <c r="E10" s="11" t="s">
        <v>77</v>
      </c>
      <c r="F10" s="11" t="s">
        <v>78</v>
      </c>
      <c r="G10" s="11" t="s">
        <v>79</v>
      </c>
      <c r="H10" s="45"/>
      <c r="I10" s="45"/>
      <c r="J10" s="11" t="s">
        <v>87</v>
      </c>
      <c r="K10" s="12" t="s">
        <v>88</v>
      </c>
      <c r="L10" s="13">
        <v>30.0</v>
      </c>
      <c r="M10" s="14">
        <f t="shared" si="1"/>
        <v>74.13131791</v>
      </c>
      <c r="N10" s="45">
        <v>45823.0</v>
      </c>
      <c r="O10" s="111">
        <v>6.0</v>
      </c>
      <c r="P10" s="11">
        <v>111.0</v>
      </c>
      <c r="Q10" s="15" t="str">
        <f t="shared" si="8"/>
        <v>111 to 278</v>
      </c>
      <c r="S10" s="16">
        <v>33.0</v>
      </c>
      <c r="T10" s="11">
        <v>666.0</v>
      </c>
      <c r="U10" s="11" t="s">
        <v>82</v>
      </c>
      <c r="V10" s="11" t="s">
        <v>83</v>
      </c>
      <c r="W10" s="17" t="s">
        <v>84</v>
      </c>
      <c r="X10" s="17">
        <v>92003.0</v>
      </c>
      <c r="Y10" s="17">
        <v>1.94</v>
      </c>
      <c r="Z10" s="18">
        <f t="shared" si="10"/>
        <v>3.387233288</v>
      </c>
      <c r="AA10" s="17">
        <v>232.85</v>
      </c>
      <c r="AB10" s="17">
        <v>338.98</v>
      </c>
      <c r="AC10" s="19">
        <f t="shared" si="11"/>
        <v>1112.139108</v>
      </c>
      <c r="AD10" s="17" t="s">
        <v>54</v>
      </c>
      <c r="AE10" s="20"/>
      <c r="AF10" s="46" t="str">
        <f t="shared" si="9"/>
        <v>45 total, 9 each sp</v>
      </c>
      <c r="AG10" s="20"/>
      <c r="AH10" s="20"/>
      <c r="AI10" s="20"/>
      <c r="AJ10" s="21"/>
      <c r="AK10" s="22" t="b">
        <v>1</v>
      </c>
      <c r="AL10" s="22" t="b">
        <v>1</v>
      </c>
      <c r="AM10" s="22" t="b">
        <v>1</v>
      </c>
      <c r="AN10" s="22" t="b">
        <v>1</v>
      </c>
      <c r="AO10" s="22"/>
      <c r="AP10" s="112">
        <v>33.0</v>
      </c>
      <c r="AQ10" s="123">
        <f>16.2+(0.25*16.2)</f>
        <v>20.25</v>
      </c>
      <c r="AR10" s="120">
        <f t="shared" si="7"/>
        <v>0.6136363636</v>
      </c>
      <c r="AS10" s="120">
        <v>2.8566254381004117</v>
      </c>
      <c r="AT10" s="120">
        <v>1.4433116428854766</v>
      </c>
      <c r="AU10" s="120">
        <v>1.5384219833891133</v>
      </c>
      <c r="AV10" s="120">
        <v>0.3981990300180097</v>
      </c>
      <c r="AW10" s="120"/>
      <c r="BB10" s="116"/>
      <c r="BC10" s="116"/>
    </row>
    <row r="11">
      <c r="A11" s="23" t="s">
        <v>75</v>
      </c>
      <c r="B11" s="24" t="s">
        <v>41</v>
      </c>
      <c r="C11" s="25"/>
      <c r="D11" s="25" t="s">
        <v>76</v>
      </c>
      <c r="E11" s="25" t="s">
        <v>77</v>
      </c>
      <c r="F11" s="25" t="s">
        <v>78</v>
      </c>
      <c r="G11" s="25" t="s">
        <v>79</v>
      </c>
      <c r="H11" s="43"/>
      <c r="I11" s="43"/>
      <c r="J11" s="25" t="s">
        <v>89</v>
      </c>
      <c r="K11" s="26" t="s">
        <v>90</v>
      </c>
      <c r="L11" s="27">
        <v>30.0</v>
      </c>
      <c r="M11" s="28">
        <f t="shared" si="1"/>
        <v>74.13131791</v>
      </c>
      <c r="N11" s="43">
        <v>45823.0</v>
      </c>
      <c r="O11" s="115">
        <v>6.0</v>
      </c>
      <c r="P11" s="25">
        <v>111.0</v>
      </c>
      <c r="Q11" s="29" t="str">
        <f t="shared" si="8"/>
        <v>111 to 278</v>
      </c>
      <c r="S11" s="30">
        <v>33.0</v>
      </c>
      <c r="T11" s="25">
        <v>666.0</v>
      </c>
      <c r="U11" s="25" t="s">
        <v>91</v>
      </c>
      <c r="V11" s="25" t="s">
        <v>83</v>
      </c>
      <c r="W11" s="31" t="s">
        <v>84</v>
      </c>
      <c r="X11" s="31">
        <v>92003.0</v>
      </c>
      <c r="Y11" s="31">
        <v>1.94</v>
      </c>
      <c r="Z11" s="32">
        <f t="shared" si="10"/>
        <v>3.387233288</v>
      </c>
      <c r="AA11" s="31">
        <v>232.85</v>
      </c>
      <c r="AB11" s="31">
        <v>338.98</v>
      </c>
      <c r="AC11" s="33">
        <f t="shared" si="11"/>
        <v>1112.139108</v>
      </c>
      <c r="AD11" s="31" t="s">
        <v>54</v>
      </c>
      <c r="AE11" s="34"/>
      <c r="AF11" s="44" t="str">
        <f t="shared" si="9"/>
        <v>45 total, 9 each sp</v>
      </c>
      <c r="AG11" s="34"/>
      <c r="AH11" s="34"/>
      <c r="AI11" s="34"/>
      <c r="AJ11" s="35"/>
      <c r="AK11" s="22" t="b">
        <v>1</v>
      </c>
      <c r="AL11" s="22" t="b">
        <v>1</v>
      </c>
      <c r="AM11" s="22" t="b">
        <v>1</v>
      </c>
      <c r="AN11" s="22" t="b">
        <v>1</v>
      </c>
      <c r="AO11" s="22"/>
      <c r="AP11" s="112">
        <v>33.0</v>
      </c>
      <c r="AQ11" s="123">
        <f>9.9+(0.25*9.9)</f>
        <v>12.375</v>
      </c>
      <c r="AR11" s="120">
        <f t="shared" si="7"/>
        <v>0.375</v>
      </c>
      <c r="AS11" s="120">
        <v>2.4890850951091488</v>
      </c>
      <c r="AT11" s="120">
        <v>0.3518885370482132</v>
      </c>
      <c r="AU11" s="120">
        <v>1.6025108299695583</v>
      </c>
      <c r="AV11" s="120">
        <v>0.20951619057150475</v>
      </c>
      <c r="AW11" s="120"/>
    </row>
    <row r="12">
      <c r="A12" s="9" t="s">
        <v>75</v>
      </c>
      <c r="B12" s="10" t="s">
        <v>41</v>
      </c>
      <c r="C12" s="11"/>
      <c r="D12" s="11" t="s">
        <v>76</v>
      </c>
      <c r="E12" s="11" t="s">
        <v>77</v>
      </c>
      <c r="F12" s="11" t="s">
        <v>78</v>
      </c>
      <c r="G12" s="11" t="s">
        <v>79</v>
      </c>
      <c r="H12" s="45"/>
      <c r="I12" s="45"/>
      <c r="J12" s="11" t="s">
        <v>92</v>
      </c>
      <c r="K12" s="12" t="s">
        <v>67</v>
      </c>
      <c r="L12" s="13">
        <v>30.0</v>
      </c>
      <c r="M12" s="14">
        <f t="shared" si="1"/>
        <v>74.13131791</v>
      </c>
      <c r="N12" s="45">
        <v>45823.0</v>
      </c>
      <c r="O12" s="111">
        <v>6.0</v>
      </c>
      <c r="P12" s="11">
        <v>111.0</v>
      </c>
      <c r="Q12" s="15" t="str">
        <f t="shared" si="8"/>
        <v>111 to 278</v>
      </c>
      <c r="S12" s="16">
        <v>33.0</v>
      </c>
      <c r="T12" s="11">
        <v>666.0</v>
      </c>
      <c r="U12" s="11" t="s">
        <v>93</v>
      </c>
      <c r="V12" s="11" t="s">
        <v>83</v>
      </c>
      <c r="W12" s="17" t="s">
        <v>84</v>
      </c>
      <c r="X12" s="17">
        <v>92003.0</v>
      </c>
      <c r="Y12" s="17">
        <v>1.94</v>
      </c>
      <c r="Z12" s="18">
        <f t="shared" si="10"/>
        <v>3.387233288</v>
      </c>
      <c r="AA12" s="17">
        <v>232.85</v>
      </c>
      <c r="AB12" s="17">
        <v>338.98</v>
      </c>
      <c r="AC12" s="19">
        <f t="shared" si="11"/>
        <v>1112.139108</v>
      </c>
      <c r="AD12" s="17" t="s">
        <v>54</v>
      </c>
      <c r="AE12" s="20"/>
      <c r="AF12" s="46" t="str">
        <f t="shared" si="9"/>
        <v>45 total, 9 each sp</v>
      </c>
      <c r="AG12" s="20"/>
      <c r="AH12" s="20"/>
      <c r="AI12" s="20"/>
      <c r="AJ12" s="21"/>
      <c r="AK12" s="22" t="b">
        <v>1</v>
      </c>
      <c r="AL12" s="22" t="b">
        <v>1</v>
      </c>
      <c r="AM12" s="22" t="b">
        <v>1</v>
      </c>
      <c r="AN12" s="22" t="b">
        <v>1</v>
      </c>
      <c r="AO12" s="22"/>
      <c r="AP12" s="112">
        <v>33.0</v>
      </c>
      <c r="AQ12" s="123">
        <f>19.6+(19.6*0.25)</f>
        <v>24.5</v>
      </c>
      <c r="AR12" s="120">
        <f t="shared" si="7"/>
        <v>0.7424242424</v>
      </c>
      <c r="AS12" s="120">
        <v>4.499639941670267</v>
      </c>
      <c r="AT12" s="120">
        <v>0.6735213437456824</v>
      </c>
      <c r="AU12" s="120">
        <v>0.7159074527235921</v>
      </c>
      <c r="AV12" s="120">
        <v>0.36954180030458195</v>
      </c>
      <c r="AW12" s="120"/>
    </row>
    <row r="13">
      <c r="A13" s="23" t="s">
        <v>94</v>
      </c>
      <c r="B13" s="24" t="s">
        <v>95</v>
      </c>
      <c r="C13" s="25"/>
      <c r="D13" s="25" t="s">
        <v>96</v>
      </c>
      <c r="E13" s="25" t="s">
        <v>97</v>
      </c>
      <c r="F13" s="25"/>
      <c r="G13" s="25" t="s">
        <v>98</v>
      </c>
      <c r="H13" s="25"/>
      <c r="I13" s="25"/>
      <c r="J13" s="25" t="s">
        <v>99</v>
      </c>
      <c r="K13" s="25" t="s">
        <v>100</v>
      </c>
      <c r="L13" s="124"/>
      <c r="M13" s="28"/>
      <c r="N13" s="25">
        <v>1.8</v>
      </c>
      <c r="O13" s="115">
        <v>1.2</v>
      </c>
      <c r="Q13" s="29">
        <f>10000/(N13*O13)</f>
        <v>4629.62963</v>
      </c>
      <c r="S13" s="82">
        <v>45815.0</v>
      </c>
      <c r="T13" s="125">
        <f>10000/(1.8*1.2)</f>
        <v>4629.62963</v>
      </c>
      <c r="V13" s="25" t="s">
        <v>101</v>
      </c>
      <c r="W13" s="31" t="s">
        <v>53</v>
      </c>
      <c r="X13" s="31">
        <v>90503.0</v>
      </c>
      <c r="Y13" s="31">
        <v>1.76</v>
      </c>
      <c r="Z13" s="32">
        <v>3.0727460078610753</v>
      </c>
      <c r="AA13" s="31">
        <v>233.23</v>
      </c>
      <c r="AB13" s="31">
        <v>316.24</v>
      </c>
      <c r="AC13" s="33">
        <v>1037.53280839895</v>
      </c>
      <c r="AD13" s="31" t="s">
        <v>54</v>
      </c>
      <c r="AE13" s="34"/>
      <c r="AF13" s="44">
        <f t="shared" ref="AF13:AF57" si="12">IF(ISNUMBER(P13),P13/2.471,IF(ISNUMBER(Q13),Q13/2.471,""))</f>
        <v>1873.585443</v>
      </c>
      <c r="AG13" s="34"/>
      <c r="AH13" s="34"/>
      <c r="AI13" s="34"/>
      <c r="AJ13" s="35"/>
      <c r="AK13" s="22" t="b">
        <v>1</v>
      </c>
      <c r="AL13" s="22" t="b">
        <v>1</v>
      </c>
      <c r="AM13" s="22" t="b">
        <v>1</v>
      </c>
      <c r="AN13" s="39" t="b">
        <v>1</v>
      </c>
      <c r="AO13" s="126"/>
      <c r="AP13" s="83">
        <v>7.0</v>
      </c>
      <c r="AQ13" s="127">
        <f>17.8+(17.8*0.25)</f>
        <v>22.25</v>
      </c>
      <c r="AR13" s="120">
        <f t="shared" si="7"/>
        <v>3.178571429</v>
      </c>
      <c r="AS13" s="120">
        <v>119.0230286</v>
      </c>
      <c r="AT13" s="120">
        <v>33.4053166047834</v>
      </c>
      <c r="AU13" s="120">
        <v>18.7000161568</v>
      </c>
      <c r="AV13" s="120">
        <v>8.68098731477704</v>
      </c>
      <c r="AW13" s="120"/>
      <c r="AZ13" s="116"/>
      <c r="BA13" s="116"/>
    </row>
    <row r="14">
      <c r="A14" s="54" t="s">
        <v>102</v>
      </c>
      <c r="B14" s="55" t="s">
        <v>61</v>
      </c>
      <c r="C14" s="17"/>
      <c r="D14" s="17" t="s">
        <v>62</v>
      </c>
      <c r="E14" s="17" t="s">
        <v>103</v>
      </c>
      <c r="F14" s="17" t="s">
        <v>104</v>
      </c>
      <c r="G14" s="17" t="s">
        <v>105</v>
      </c>
      <c r="H14" s="17"/>
      <c r="I14" s="17"/>
      <c r="J14" s="17" t="s">
        <v>106</v>
      </c>
      <c r="K14" s="17" t="s">
        <v>107</v>
      </c>
      <c r="L14" s="17" t="s">
        <v>108</v>
      </c>
      <c r="M14" s="19"/>
      <c r="N14" s="17" t="s">
        <v>109</v>
      </c>
      <c r="O14" s="56">
        <v>2.1</v>
      </c>
      <c r="P14" s="17">
        <v>308.0</v>
      </c>
      <c r="Q14" s="40"/>
      <c r="R14" s="41"/>
      <c r="S14" s="16">
        <v>18.0</v>
      </c>
      <c r="T14" s="17" t="s">
        <v>110</v>
      </c>
      <c r="U14" s="17" t="s">
        <v>111</v>
      </c>
      <c r="V14" s="17"/>
      <c r="W14" s="17" t="s">
        <v>69</v>
      </c>
      <c r="X14" s="17">
        <v>80911.0</v>
      </c>
      <c r="Y14" s="17">
        <v>2.67</v>
      </c>
      <c r="Z14" s="18">
        <f t="shared" ref="Z14:Z19" si="13">IF(ISNUMBER(Y14),tan(Y14*PI()/180)*100,"")</f>
        <v>4.663405255</v>
      </c>
      <c r="AA14" s="17">
        <v>126.9</v>
      </c>
      <c r="AB14" s="17">
        <v>308.0</v>
      </c>
      <c r="AC14" s="19">
        <f t="shared" ref="AC14:AC19" si="14">IF(ISNUMBER(AB14), CONVERT(AB14,"m","ft"),"")</f>
        <v>1010.498688</v>
      </c>
      <c r="AD14" s="17">
        <v>50.0</v>
      </c>
      <c r="AE14" s="17" t="s">
        <v>112</v>
      </c>
      <c r="AF14" s="46">
        <f t="shared" si="12"/>
        <v>124.6458924</v>
      </c>
      <c r="AG14" s="17" t="s">
        <v>113</v>
      </c>
      <c r="AH14" s="17" t="s">
        <v>114</v>
      </c>
      <c r="AI14" s="20"/>
      <c r="AJ14" s="57" t="s">
        <v>115</v>
      </c>
      <c r="AK14" s="22" t="b">
        <v>1</v>
      </c>
      <c r="AL14" s="22" t="b">
        <v>1</v>
      </c>
      <c r="AM14" s="22" t="b">
        <v>1</v>
      </c>
      <c r="AN14" s="22" t="b">
        <v>1</v>
      </c>
      <c r="AP14" s="83">
        <v>18.0</v>
      </c>
      <c r="AQ14" s="128">
        <f t="shared" ref="AQ14:AQ19" si="15">BC14*0.465*0.5</f>
        <v>23.20164</v>
      </c>
      <c r="AR14" s="120">
        <f t="shared" si="7"/>
        <v>1.28898</v>
      </c>
      <c r="AS14" s="120">
        <v>35.48279459950183</v>
      </c>
      <c r="AT14" s="120">
        <v>7.34282624721527</v>
      </c>
      <c r="AU14" s="120">
        <v>24.793999999999997</v>
      </c>
      <c r="AV14" s="120">
        <v>4.719192139737991</v>
      </c>
      <c r="AW14" s="120"/>
      <c r="AX14" s="129"/>
      <c r="AY14" s="116"/>
      <c r="AZ14" s="116"/>
      <c r="BA14" s="116"/>
      <c r="BB14" s="126">
        <f>373-49</f>
        <v>324</v>
      </c>
      <c r="BC14" s="127">
        <f>(BB14*308)/1000</f>
        <v>99.792</v>
      </c>
    </row>
    <row r="15">
      <c r="A15" s="50" t="s">
        <v>116</v>
      </c>
      <c r="B15" s="51" t="s">
        <v>61</v>
      </c>
      <c r="C15" s="31"/>
      <c r="D15" s="31" t="s">
        <v>62</v>
      </c>
      <c r="E15" s="31" t="s">
        <v>103</v>
      </c>
      <c r="F15" s="31" t="s">
        <v>104</v>
      </c>
      <c r="G15" s="31" t="s">
        <v>105</v>
      </c>
      <c r="H15" s="31"/>
      <c r="I15" s="31"/>
      <c r="J15" s="31" t="s">
        <v>106</v>
      </c>
      <c r="K15" s="31" t="s">
        <v>107</v>
      </c>
      <c r="L15" s="31" t="s">
        <v>108</v>
      </c>
      <c r="M15" s="33"/>
      <c r="N15" s="31">
        <v>2.4</v>
      </c>
      <c r="O15" s="52">
        <v>2.1</v>
      </c>
      <c r="P15" s="31">
        <v>568.0</v>
      </c>
      <c r="Q15" s="36"/>
      <c r="R15" s="37"/>
      <c r="S15" s="30">
        <v>18.0</v>
      </c>
      <c r="T15" s="31" t="s">
        <v>117</v>
      </c>
      <c r="U15" s="31" t="s">
        <v>111</v>
      </c>
      <c r="V15" s="31"/>
      <c r="W15" s="31" t="s">
        <v>69</v>
      </c>
      <c r="X15" s="31">
        <v>80911.0</v>
      </c>
      <c r="Y15" s="31">
        <v>2.67</v>
      </c>
      <c r="Z15" s="32">
        <f t="shared" si="13"/>
        <v>4.663405255</v>
      </c>
      <c r="AA15" s="31">
        <v>126.9</v>
      </c>
      <c r="AB15" s="31">
        <v>308.0</v>
      </c>
      <c r="AC15" s="33">
        <f t="shared" si="14"/>
        <v>1010.498688</v>
      </c>
      <c r="AD15" s="31">
        <v>50.0</v>
      </c>
      <c r="AE15" s="31" t="s">
        <v>112</v>
      </c>
      <c r="AF15" s="44">
        <f t="shared" si="12"/>
        <v>229.8664508</v>
      </c>
      <c r="AG15" s="31" t="s">
        <v>113</v>
      </c>
      <c r="AH15" s="31" t="s">
        <v>114</v>
      </c>
      <c r="AI15" s="34"/>
      <c r="AJ15" s="53" t="s">
        <v>115</v>
      </c>
      <c r="AK15" s="22" t="b">
        <v>1</v>
      </c>
      <c r="AL15" s="22" t="b">
        <v>1</v>
      </c>
      <c r="AM15" s="22" t="b">
        <v>1</v>
      </c>
      <c r="AN15" s="22" t="b">
        <v>1</v>
      </c>
      <c r="AP15" s="83">
        <v>18.0</v>
      </c>
      <c r="AQ15" s="128">
        <f t="shared" si="15"/>
        <v>38.16534</v>
      </c>
      <c r="AR15" s="120">
        <f t="shared" si="7"/>
        <v>2.120296667</v>
      </c>
      <c r="AS15" s="120">
        <v>65.43580302765271</v>
      </c>
      <c r="AT15" s="120">
        <v>13.11770176887507</v>
      </c>
      <c r="AU15" s="120">
        <v>45.72399999999999</v>
      </c>
      <c r="AV15" s="120">
        <v>8.70292576419214</v>
      </c>
      <c r="AW15" s="120"/>
      <c r="BB15" s="126">
        <f>((343-37)+(310-38))/2</f>
        <v>289</v>
      </c>
      <c r="BC15" s="127">
        <f>(BB15*568)/1000</f>
        <v>164.152</v>
      </c>
    </row>
    <row r="16">
      <c r="A16" s="54" t="s">
        <v>118</v>
      </c>
      <c r="B16" s="55" t="s">
        <v>61</v>
      </c>
      <c r="C16" s="17"/>
      <c r="D16" s="17" t="s">
        <v>62</v>
      </c>
      <c r="E16" s="17" t="s">
        <v>103</v>
      </c>
      <c r="F16" s="17" t="s">
        <v>104</v>
      </c>
      <c r="G16" s="17" t="s">
        <v>105</v>
      </c>
      <c r="H16" s="17"/>
      <c r="I16" s="17"/>
      <c r="J16" s="17" t="s">
        <v>106</v>
      </c>
      <c r="K16" s="17" t="s">
        <v>107</v>
      </c>
      <c r="L16" s="17" t="s">
        <v>108</v>
      </c>
      <c r="M16" s="19"/>
      <c r="N16" s="17">
        <v>2.4</v>
      </c>
      <c r="O16" s="56">
        <v>2.1</v>
      </c>
      <c r="P16" s="17">
        <v>932.0</v>
      </c>
      <c r="Q16" s="40"/>
      <c r="R16" s="41"/>
      <c r="S16" s="16">
        <v>18.0</v>
      </c>
      <c r="T16" s="17" t="s">
        <v>119</v>
      </c>
      <c r="U16" s="17" t="s">
        <v>111</v>
      </c>
      <c r="V16" s="17"/>
      <c r="W16" s="17" t="s">
        <v>69</v>
      </c>
      <c r="X16" s="17">
        <v>80911.0</v>
      </c>
      <c r="Y16" s="17">
        <v>2.67</v>
      </c>
      <c r="Z16" s="18">
        <f t="shared" si="13"/>
        <v>4.663405255</v>
      </c>
      <c r="AA16" s="17">
        <v>126.9</v>
      </c>
      <c r="AB16" s="17">
        <v>308.0</v>
      </c>
      <c r="AC16" s="19">
        <f t="shared" si="14"/>
        <v>1010.498688</v>
      </c>
      <c r="AD16" s="17">
        <v>50.0</v>
      </c>
      <c r="AE16" s="17" t="s">
        <v>112</v>
      </c>
      <c r="AF16" s="46">
        <f t="shared" si="12"/>
        <v>377.1752327</v>
      </c>
      <c r="AG16" s="17" t="s">
        <v>113</v>
      </c>
      <c r="AH16" s="17" t="s">
        <v>114</v>
      </c>
      <c r="AI16" s="20"/>
      <c r="AJ16" s="57" t="s">
        <v>115</v>
      </c>
      <c r="AK16" s="22" t="b">
        <v>1</v>
      </c>
      <c r="AL16" s="22" t="b">
        <v>1</v>
      </c>
      <c r="AM16" s="22" t="b">
        <v>1</v>
      </c>
      <c r="AN16" s="22" t="b">
        <v>1</v>
      </c>
      <c r="AP16" s="83">
        <v>18.0</v>
      </c>
      <c r="AQ16" s="128">
        <f t="shared" si="15"/>
        <v>52.764015</v>
      </c>
      <c r="AR16" s="120">
        <f t="shared" si="7"/>
        <v>2.931334167</v>
      </c>
      <c r="AS16" s="120">
        <v>107.37001482706398</v>
      </c>
      <c r="AT16" s="120">
        <v>20.64381313323974</v>
      </c>
      <c r="AU16" s="120">
        <v>75.026</v>
      </c>
      <c r="AV16" s="120">
        <v>14.280152838427949</v>
      </c>
      <c r="AW16" s="120"/>
      <c r="BB16" s="126">
        <f>((292-28)+(243-20))/2</f>
        <v>243.5</v>
      </c>
      <c r="BC16" s="127">
        <f>(BB16*932)/1000</f>
        <v>226.942</v>
      </c>
    </row>
    <row r="17">
      <c r="A17" s="50" t="s">
        <v>120</v>
      </c>
      <c r="B17" s="51" t="s">
        <v>61</v>
      </c>
      <c r="C17" s="31" t="s">
        <v>121</v>
      </c>
      <c r="D17" s="31" t="s">
        <v>62</v>
      </c>
      <c r="E17" s="31" t="s">
        <v>103</v>
      </c>
      <c r="F17" s="31" t="s">
        <v>104</v>
      </c>
      <c r="G17" s="31" t="s">
        <v>105</v>
      </c>
      <c r="H17" s="31"/>
      <c r="I17" s="31"/>
      <c r="J17" s="31" t="s">
        <v>106</v>
      </c>
      <c r="K17" s="31" t="s">
        <v>107</v>
      </c>
      <c r="L17" s="31" t="s">
        <v>108</v>
      </c>
      <c r="M17" s="33"/>
      <c r="N17" s="31" t="s">
        <v>109</v>
      </c>
      <c r="O17" s="52">
        <v>2.1</v>
      </c>
      <c r="P17" s="31">
        <v>308.0</v>
      </c>
      <c r="Q17" s="36"/>
      <c r="R17" s="37"/>
      <c r="S17" s="30">
        <v>18.0</v>
      </c>
      <c r="T17" s="31" t="s">
        <v>110</v>
      </c>
      <c r="U17" s="31" t="s">
        <v>111</v>
      </c>
      <c r="V17" s="31"/>
      <c r="W17" s="31" t="s">
        <v>69</v>
      </c>
      <c r="X17" s="31">
        <v>80911.0</v>
      </c>
      <c r="Y17" s="31">
        <v>2.67</v>
      </c>
      <c r="Z17" s="32">
        <f t="shared" si="13"/>
        <v>4.663405255</v>
      </c>
      <c r="AA17" s="31">
        <v>126.9</v>
      </c>
      <c r="AB17" s="31">
        <v>308.0</v>
      </c>
      <c r="AC17" s="33">
        <f t="shared" si="14"/>
        <v>1010.498688</v>
      </c>
      <c r="AD17" s="31">
        <v>50.0</v>
      </c>
      <c r="AE17" s="31" t="s">
        <v>112</v>
      </c>
      <c r="AF17" s="44">
        <f t="shared" si="12"/>
        <v>124.6458924</v>
      </c>
      <c r="AG17" s="31" t="s">
        <v>113</v>
      </c>
      <c r="AH17" s="31" t="s">
        <v>114</v>
      </c>
      <c r="AI17" s="31" t="s">
        <v>122</v>
      </c>
      <c r="AJ17" s="53" t="s">
        <v>115</v>
      </c>
      <c r="AK17" s="22" t="b">
        <v>1</v>
      </c>
      <c r="AL17" s="22" t="b">
        <v>1</v>
      </c>
      <c r="AM17" s="22" t="b">
        <v>1</v>
      </c>
      <c r="AN17" s="22" t="b">
        <v>1</v>
      </c>
      <c r="AP17" s="83">
        <v>18.0</v>
      </c>
      <c r="AQ17" s="128">
        <f t="shared" si="15"/>
        <v>22.84359</v>
      </c>
      <c r="AR17" s="120">
        <f t="shared" si="7"/>
        <v>1.269088333</v>
      </c>
      <c r="AS17" s="120"/>
      <c r="AT17" s="120"/>
      <c r="AU17" s="120"/>
      <c r="AV17" s="120"/>
      <c r="AW17" s="120"/>
      <c r="BB17" s="126">
        <f>359-40</f>
        <v>319</v>
      </c>
      <c r="BC17" s="127">
        <f>(BB17*308)/1000</f>
        <v>98.252</v>
      </c>
    </row>
    <row r="18">
      <c r="A18" s="54" t="s">
        <v>123</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568.0</v>
      </c>
      <c r="Q18" s="40"/>
      <c r="R18" s="41"/>
      <c r="S18" s="16">
        <v>18.0</v>
      </c>
      <c r="T18" s="17" t="s">
        <v>117</v>
      </c>
      <c r="U18" s="17" t="s">
        <v>111</v>
      </c>
      <c r="V18" s="17"/>
      <c r="W18" s="17" t="s">
        <v>69</v>
      </c>
      <c r="X18" s="17">
        <v>80911.0</v>
      </c>
      <c r="Y18" s="17">
        <v>2.67</v>
      </c>
      <c r="Z18" s="18">
        <f t="shared" si="13"/>
        <v>4.663405255</v>
      </c>
      <c r="AA18" s="17">
        <v>126.9</v>
      </c>
      <c r="AB18" s="17">
        <v>308.0</v>
      </c>
      <c r="AC18" s="19">
        <f t="shared" si="14"/>
        <v>1010.498688</v>
      </c>
      <c r="AD18" s="17">
        <v>50.0</v>
      </c>
      <c r="AE18" s="17" t="s">
        <v>112</v>
      </c>
      <c r="AF18" s="46">
        <f t="shared" si="12"/>
        <v>229.8664508</v>
      </c>
      <c r="AG18" s="17" t="s">
        <v>113</v>
      </c>
      <c r="AH18" s="17" t="s">
        <v>114</v>
      </c>
      <c r="AI18" s="17" t="s">
        <v>122</v>
      </c>
      <c r="AJ18" s="57" t="s">
        <v>115</v>
      </c>
      <c r="AK18" s="22" t="b">
        <v>1</v>
      </c>
      <c r="AL18" s="22" t="b">
        <v>1</v>
      </c>
      <c r="AM18" s="22" t="b">
        <v>1</v>
      </c>
      <c r="AN18" s="22" t="b">
        <v>1</v>
      </c>
      <c r="AP18" s="83">
        <v>18.0</v>
      </c>
      <c r="AQ18" s="128">
        <f t="shared" si="15"/>
        <v>39.35388</v>
      </c>
      <c r="AR18" s="120">
        <f t="shared" si="7"/>
        <v>2.186326667</v>
      </c>
      <c r="AS18" s="120"/>
      <c r="AT18" s="120"/>
      <c r="AU18" s="120"/>
      <c r="AV18" s="120"/>
      <c r="AW18" s="120"/>
      <c r="BB18" s="22">
        <f>((300-34)+(351-21))/2</f>
        <v>298</v>
      </c>
      <c r="BC18" s="127">
        <f>(BB18*568)/1000</f>
        <v>169.264</v>
      </c>
    </row>
    <row r="19">
      <c r="A19" s="50" t="s">
        <v>124</v>
      </c>
      <c r="B19" s="51" t="s">
        <v>61</v>
      </c>
      <c r="C19" s="31" t="s">
        <v>121</v>
      </c>
      <c r="D19" s="31" t="s">
        <v>62</v>
      </c>
      <c r="E19" s="31" t="s">
        <v>103</v>
      </c>
      <c r="F19" s="31" t="s">
        <v>104</v>
      </c>
      <c r="G19" s="31" t="s">
        <v>105</v>
      </c>
      <c r="H19" s="31"/>
      <c r="I19" s="31"/>
      <c r="J19" s="31" t="s">
        <v>106</v>
      </c>
      <c r="K19" s="31" t="s">
        <v>107</v>
      </c>
      <c r="L19" s="31" t="s">
        <v>108</v>
      </c>
      <c r="M19" s="33"/>
      <c r="N19" s="31">
        <v>2.4</v>
      </c>
      <c r="O19" s="52">
        <v>2.1</v>
      </c>
      <c r="P19" s="31">
        <v>932.0</v>
      </c>
      <c r="Q19" s="36"/>
      <c r="R19" s="37"/>
      <c r="S19" s="30">
        <v>18.0</v>
      </c>
      <c r="T19" s="31" t="s">
        <v>119</v>
      </c>
      <c r="U19" s="31" t="s">
        <v>111</v>
      </c>
      <c r="V19" s="31"/>
      <c r="W19" s="31" t="s">
        <v>69</v>
      </c>
      <c r="X19" s="31">
        <v>80911.0</v>
      </c>
      <c r="Y19" s="31">
        <v>2.67</v>
      </c>
      <c r="Z19" s="32">
        <f t="shared" si="13"/>
        <v>4.663405255</v>
      </c>
      <c r="AA19" s="31">
        <v>126.9</v>
      </c>
      <c r="AB19" s="31">
        <v>308.0</v>
      </c>
      <c r="AC19" s="33">
        <f t="shared" si="14"/>
        <v>1010.498688</v>
      </c>
      <c r="AD19" s="31">
        <v>50.0</v>
      </c>
      <c r="AE19" s="31" t="s">
        <v>112</v>
      </c>
      <c r="AF19" s="44">
        <f t="shared" si="12"/>
        <v>377.1752327</v>
      </c>
      <c r="AG19" s="31" t="s">
        <v>113</v>
      </c>
      <c r="AH19" s="31" t="s">
        <v>114</v>
      </c>
      <c r="AI19" s="31" t="s">
        <v>122</v>
      </c>
      <c r="AJ19" s="53" t="s">
        <v>115</v>
      </c>
      <c r="AK19" s="22" t="b">
        <v>1</v>
      </c>
      <c r="AL19" s="22" t="b">
        <v>1</v>
      </c>
      <c r="AM19" s="22" t="b">
        <v>1</v>
      </c>
      <c r="AN19" s="22" t="b">
        <v>1</v>
      </c>
      <c r="AP19" s="83">
        <v>18.0</v>
      </c>
      <c r="AQ19" s="128">
        <f t="shared" si="15"/>
        <v>54.60588</v>
      </c>
      <c r="AR19" s="120">
        <f t="shared" si="7"/>
        <v>3.03366</v>
      </c>
      <c r="AS19" s="120"/>
      <c r="AT19" s="120"/>
      <c r="AU19" s="120"/>
      <c r="AV19" s="120"/>
      <c r="AW19" s="120"/>
      <c r="BB19" s="74">
        <f>((317-15)+(219-17))/2</f>
        <v>252</v>
      </c>
      <c r="BC19" s="127">
        <f>(BB19*932)/1000</f>
        <v>234.864</v>
      </c>
    </row>
    <row r="20" hidden="1">
      <c r="A20" s="58" t="s">
        <v>125</v>
      </c>
      <c r="B20" s="59" t="s">
        <v>126</v>
      </c>
      <c r="C20" s="60"/>
      <c r="D20" s="60"/>
      <c r="E20" s="60"/>
      <c r="F20" s="60"/>
      <c r="G20" s="60"/>
      <c r="H20" s="60"/>
      <c r="I20" s="60"/>
      <c r="J20" s="61" t="s">
        <v>127</v>
      </c>
      <c r="K20" s="61" t="s">
        <v>128</v>
      </c>
      <c r="L20" s="62"/>
      <c r="M20" s="63"/>
      <c r="N20" s="60"/>
      <c r="O20" s="64"/>
      <c r="P20" s="60"/>
      <c r="Q20" s="60"/>
      <c r="R20" s="60"/>
      <c r="S20" s="130"/>
      <c r="T20" s="60"/>
      <c r="U20" s="60"/>
      <c r="V20" s="60"/>
      <c r="W20" s="60"/>
      <c r="X20" s="60"/>
      <c r="Y20" s="60"/>
      <c r="Z20" s="60"/>
      <c r="AA20" s="60"/>
      <c r="AB20" s="60"/>
      <c r="AC20" s="63"/>
      <c r="AD20" s="60"/>
      <c r="AE20" s="60"/>
      <c r="AF20" s="66" t="str">
        <f t="shared" si="12"/>
        <v/>
      </c>
      <c r="AG20" s="60"/>
      <c r="AH20" s="60"/>
      <c r="AI20" s="60"/>
      <c r="AJ20" s="67"/>
      <c r="AK20" s="68" t="s">
        <v>129</v>
      </c>
      <c r="AL20" s="68" t="s">
        <v>129</v>
      </c>
      <c r="AM20" s="68" t="s">
        <v>129</v>
      </c>
      <c r="AN20" s="68" t="s">
        <v>129</v>
      </c>
    </row>
    <row r="21" hidden="1">
      <c r="A21" s="50" t="s">
        <v>130</v>
      </c>
      <c r="B21" s="51" t="s">
        <v>95</v>
      </c>
      <c r="C21" s="31" t="s">
        <v>131</v>
      </c>
      <c r="D21" s="31" t="s">
        <v>132</v>
      </c>
      <c r="E21" s="37"/>
      <c r="F21" s="31" t="s">
        <v>133</v>
      </c>
      <c r="G21" s="37"/>
      <c r="H21" s="37"/>
      <c r="I21" s="37"/>
      <c r="J21" s="31" t="s">
        <v>134</v>
      </c>
      <c r="K21" s="31" t="s">
        <v>135</v>
      </c>
      <c r="L21" s="72"/>
      <c r="M21" s="73"/>
      <c r="N21" s="31">
        <v>1.5</v>
      </c>
      <c r="O21" s="52">
        <v>3.0</v>
      </c>
      <c r="P21" s="31">
        <v>2222.0</v>
      </c>
      <c r="Q21" s="37"/>
      <c r="R21" s="37"/>
      <c r="S21" s="30">
        <v>6.0</v>
      </c>
      <c r="T21" s="31" t="s">
        <v>136</v>
      </c>
      <c r="U21" s="31" t="s">
        <v>82</v>
      </c>
      <c r="V21" s="31" t="s">
        <v>137</v>
      </c>
      <c r="W21" s="31" t="s">
        <v>138</v>
      </c>
      <c r="X21" s="25">
        <v>922.0</v>
      </c>
      <c r="Y21" s="37"/>
      <c r="Z21" s="32" t="str">
        <f t="shared" ref="Z21:Z41" si="16">IF(ISNUMBER(Y21),tan(Y21*PI()/180)*100,"")</f>
        <v/>
      </c>
      <c r="AA21" s="37"/>
      <c r="AB21" s="37"/>
      <c r="AC21" s="33" t="str">
        <f t="shared" ref="AC21:AC41" si="17">IF(ISNUMBER(AB21), CONVERT(AB21,"m","ft"),"")</f>
        <v/>
      </c>
      <c r="AD21" s="37"/>
      <c r="AE21" s="37"/>
      <c r="AF21" s="44">
        <f t="shared" si="12"/>
        <v>899.2310805</v>
      </c>
      <c r="AG21" s="37"/>
      <c r="AH21" s="37"/>
      <c r="AI21" s="37"/>
      <c r="AJ21" s="38"/>
      <c r="AK21" s="71" t="s">
        <v>139</v>
      </c>
      <c r="AL21" s="71" t="s">
        <v>139</v>
      </c>
      <c r="AM21" s="71" t="s">
        <v>139</v>
      </c>
      <c r="AN21" s="71" t="s">
        <v>139</v>
      </c>
    </row>
    <row r="22" hidden="1">
      <c r="A22" s="54" t="s">
        <v>130</v>
      </c>
      <c r="B22" s="55" t="s">
        <v>95</v>
      </c>
      <c r="D22" s="17" t="s">
        <v>132</v>
      </c>
      <c r="F22" s="17" t="s">
        <v>133</v>
      </c>
      <c r="G22" s="41"/>
      <c r="H22" s="41"/>
      <c r="I22" s="41"/>
      <c r="J22" s="17" t="s">
        <v>140</v>
      </c>
      <c r="K22" s="17" t="s">
        <v>141</v>
      </c>
      <c r="L22" s="69"/>
      <c r="M22" s="70"/>
      <c r="N22" s="17">
        <v>1.5</v>
      </c>
      <c r="O22" s="56">
        <v>3.0</v>
      </c>
      <c r="P22" s="17">
        <v>2222.0</v>
      </c>
      <c r="Q22" s="41"/>
      <c r="R22" s="41"/>
      <c r="S22" s="16">
        <v>6.0</v>
      </c>
      <c r="T22" s="17" t="s">
        <v>136</v>
      </c>
      <c r="U22" s="17" t="s">
        <v>82</v>
      </c>
      <c r="V22" s="17" t="s">
        <v>137</v>
      </c>
      <c r="W22" s="17" t="s">
        <v>138</v>
      </c>
      <c r="X22" s="11">
        <v>922.0</v>
      </c>
      <c r="Y22" s="41"/>
      <c r="Z22" s="18" t="str">
        <f t="shared" si="16"/>
        <v/>
      </c>
      <c r="AA22" s="41"/>
      <c r="AB22" s="41"/>
      <c r="AC22" s="19" t="str">
        <f t="shared" si="17"/>
        <v/>
      </c>
      <c r="AD22" s="41"/>
      <c r="AE22" s="41"/>
      <c r="AF22" s="46">
        <f t="shared" si="12"/>
        <v>899.2310805</v>
      </c>
      <c r="AG22" s="41"/>
      <c r="AH22" s="41"/>
      <c r="AI22" s="41"/>
      <c r="AJ22" s="42"/>
      <c r="AK22" s="71" t="s">
        <v>139</v>
      </c>
      <c r="AL22" s="71" t="s">
        <v>139</v>
      </c>
      <c r="AM22" s="71" t="s">
        <v>139</v>
      </c>
      <c r="AN22" s="71" t="s">
        <v>139</v>
      </c>
    </row>
    <row r="23" hidden="1">
      <c r="A23" s="50" t="s">
        <v>130</v>
      </c>
      <c r="B23" s="51" t="s">
        <v>95</v>
      </c>
      <c r="D23" s="31" t="s">
        <v>132</v>
      </c>
      <c r="F23" s="31" t="s">
        <v>133</v>
      </c>
      <c r="G23" s="37"/>
      <c r="H23" s="37"/>
      <c r="I23" s="37"/>
      <c r="J23" s="37"/>
      <c r="K23" s="31" t="s">
        <v>142</v>
      </c>
      <c r="L23" s="72"/>
      <c r="M23" s="73"/>
      <c r="N23" s="31">
        <v>1.5</v>
      </c>
      <c r="O23" s="52">
        <v>3.0</v>
      </c>
      <c r="P23" s="31">
        <v>2222.0</v>
      </c>
      <c r="Q23" s="37"/>
      <c r="R23" s="37"/>
      <c r="S23" s="30">
        <v>6.0</v>
      </c>
      <c r="T23" s="31" t="s">
        <v>136</v>
      </c>
      <c r="U23" s="31" t="s">
        <v>82</v>
      </c>
      <c r="V23" s="31" t="s">
        <v>137</v>
      </c>
      <c r="W23" s="31" t="s">
        <v>138</v>
      </c>
      <c r="X23" s="25">
        <v>922.0</v>
      </c>
      <c r="Y23" s="37"/>
      <c r="Z23" s="32" t="str">
        <f t="shared" si="16"/>
        <v/>
      </c>
      <c r="AA23" s="37"/>
      <c r="AB23" s="37"/>
      <c r="AC23" s="33" t="str">
        <f t="shared" si="17"/>
        <v/>
      </c>
      <c r="AD23" s="37"/>
      <c r="AE23" s="37"/>
      <c r="AF23" s="44">
        <f t="shared" si="12"/>
        <v>899.2310805</v>
      </c>
      <c r="AG23" s="37"/>
      <c r="AH23" s="37"/>
      <c r="AI23" s="37"/>
      <c r="AJ23" s="38"/>
      <c r="AK23" s="71" t="s">
        <v>139</v>
      </c>
      <c r="AL23" s="71" t="s">
        <v>139</v>
      </c>
      <c r="AM23" s="71" t="s">
        <v>139</v>
      </c>
      <c r="AN23" s="71" t="s">
        <v>139</v>
      </c>
    </row>
    <row r="24" hidden="1">
      <c r="A24" s="54" t="s">
        <v>130</v>
      </c>
      <c r="B24" s="55" t="s">
        <v>95</v>
      </c>
      <c r="D24" s="17" t="s">
        <v>132</v>
      </c>
      <c r="F24" s="17" t="s">
        <v>133</v>
      </c>
      <c r="G24" s="41"/>
      <c r="H24" s="41"/>
      <c r="I24" s="41"/>
      <c r="J24" s="17" t="s">
        <v>143</v>
      </c>
      <c r="K24" s="17" t="s">
        <v>144</v>
      </c>
      <c r="L24" s="69"/>
      <c r="M24" s="70"/>
      <c r="N24" s="17">
        <v>1.5</v>
      </c>
      <c r="O24" s="56">
        <v>3.0</v>
      </c>
      <c r="P24" s="17">
        <v>2222.0</v>
      </c>
      <c r="Q24" s="41"/>
      <c r="R24" s="41"/>
      <c r="S24" s="16">
        <v>6.0</v>
      </c>
      <c r="T24" s="17" t="s">
        <v>136</v>
      </c>
      <c r="U24" s="17" t="s">
        <v>82</v>
      </c>
      <c r="V24" s="17" t="s">
        <v>137</v>
      </c>
      <c r="W24" s="17" t="s">
        <v>138</v>
      </c>
      <c r="X24" s="11">
        <v>922.0</v>
      </c>
      <c r="Y24" s="41"/>
      <c r="Z24" s="18" t="str">
        <f t="shared" si="16"/>
        <v/>
      </c>
      <c r="AA24" s="41"/>
      <c r="AB24" s="41"/>
      <c r="AC24" s="19" t="str">
        <f t="shared" si="17"/>
        <v/>
      </c>
      <c r="AD24" s="41"/>
      <c r="AE24" s="41"/>
      <c r="AF24" s="46">
        <f t="shared" si="12"/>
        <v>899.2310805</v>
      </c>
      <c r="AG24" s="41"/>
      <c r="AH24" s="41"/>
      <c r="AI24" s="41"/>
      <c r="AJ24" s="42"/>
      <c r="AK24" s="71" t="s">
        <v>139</v>
      </c>
      <c r="AL24" s="71" t="s">
        <v>139</v>
      </c>
      <c r="AM24" s="71" t="s">
        <v>139</v>
      </c>
      <c r="AN24" s="71" t="s">
        <v>139</v>
      </c>
    </row>
    <row r="25" hidden="1">
      <c r="A25" s="50" t="s">
        <v>130</v>
      </c>
      <c r="B25" s="51" t="s">
        <v>95</v>
      </c>
      <c r="D25" s="31" t="s">
        <v>132</v>
      </c>
      <c r="E25" s="37"/>
      <c r="F25" s="31" t="s">
        <v>133</v>
      </c>
      <c r="G25" s="37"/>
      <c r="H25" s="37"/>
      <c r="I25" s="37"/>
      <c r="J25" s="31" t="s">
        <v>145</v>
      </c>
      <c r="K25" s="31" t="s">
        <v>146</v>
      </c>
      <c r="L25" s="72"/>
      <c r="M25" s="73"/>
      <c r="N25" s="31">
        <v>1.5</v>
      </c>
      <c r="O25" s="52">
        <v>3.0</v>
      </c>
      <c r="P25" s="31">
        <v>2222.0</v>
      </c>
      <c r="Q25" s="37"/>
      <c r="R25" s="37"/>
      <c r="S25" s="30">
        <v>6.0</v>
      </c>
      <c r="T25" s="31" t="s">
        <v>136</v>
      </c>
      <c r="U25" s="31" t="s">
        <v>82</v>
      </c>
      <c r="V25" s="31" t="s">
        <v>137</v>
      </c>
      <c r="W25" s="31" t="s">
        <v>138</v>
      </c>
      <c r="X25" s="25">
        <v>922.0</v>
      </c>
      <c r="Y25" s="37"/>
      <c r="Z25" s="32" t="str">
        <f t="shared" si="16"/>
        <v/>
      </c>
      <c r="AA25" s="37"/>
      <c r="AB25" s="37"/>
      <c r="AC25" s="33" t="str">
        <f t="shared" si="17"/>
        <v/>
      </c>
      <c r="AD25" s="37"/>
      <c r="AE25" s="37"/>
      <c r="AF25" s="44">
        <f t="shared" si="12"/>
        <v>899.2310805</v>
      </c>
      <c r="AG25" s="37"/>
      <c r="AH25" s="37"/>
      <c r="AI25" s="37"/>
      <c r="AJ25" s="38"/>
      <c r="AK25" s="71" t="s">
        <v>139</v>
      </c>
      <c r="AL25" s="71" t="s">
        <v>139</v>
      </c>
      <c r="AM25" s="71" t="s">
        <v>139</v>
      </c>
      <c r="AN25" s="71" t="s">
        <v>139</v>
      </c>
    </row>
    <row r="26" hidden="1">
      <c r="A26" s="54" t="s">
        <v>130</v>
      </c>
      <c r="B26" s="55" t="s">
        <v>95</v>
      </c>
      <c r="C26" s="17" t="s">
        <v>147</v>
      </c>
      <c r="D26" s="17" t="s">
        <v>132</v>
      </c>
      <c r="E26" s="41"/>
      <c r="F26" s="17" t="s">
        <v>148</v>
      </c>
      <c r="G26" s="41"/>
      <c r="H26" s="41"/>
      <c r="I26" s="41"/>
      <c r="J26" s="17" t="s">
        <v>134</v>
      </c>
      <c r="K26" s="17" t="s">
        <v>135</v>
      </c>
      <c r="L26" s="69"/>
      <c r="M26" s="70"/>
      <c r="N26" s="17">
        <v>1.5</v>
      </c>
      <c r="O26" s="56">
        <v>3.0</v>
      </c>
      <c r="P26" s="17">
        <v>2222.0</v>
      </c>
      <c r="Q26" s="41"/>
      <c r="R26" s="41"/>
      <c r="S26" s="16">
        <v>6.0</v>
      </c>
      <c r="T26" s="17" t="s">
        <v>136</v>
      </c>
      <c r="U26" s="17" t="s">
        <v>82</v>
      </c>
      <c r="V26" s="17" t="s">
        <v>137</v>
      </c>
      <c r="W26" s="17" t="s">
        <v>138</v>
      </c>
      <c r="X26" s="11">
        <v>922.0</v>
      </c>
      <c r="Y26" s="41"/>
      <c r="Z26" s="18" t="str">
        <f t="shared" si="16"/>
        <v/>
      </c>
      <c r="AA26" s="41"/>
      <c r="AB26" s="41"/>
      <c r="AC26" s="19" t="str">
        <f t="shared" si="17"/>
        <v/>
      </c>
      <c r="AD26" s="41"/>
      <c r="AE26" s="41"/>
      <c r="AF26" s="46">
        <f t="shared" si="12"/>
        <v>899.2310805</v>
      </c>
      <c r="AG26" s="41"/>
      <c r="AH26" s="41"/>
      <c r="AI26" s="41"/>
      <c r="AJ26" s="42"/>
      <c r="AK26" s="71" t="s">
        <v>139</v>
      </c>
      <c r="AL26" s="71" t="s">
        <v>139</v>
      </c>
      <c r="AM26" s="71" t="s">
        <v>139</v>
      </c>
      <c r="AN26" s="71" t="s">
        <v>139</v>
      </c>
    </row>
    <row r="27" hidden="1">
      <c r="A27" s="50" t="s">
        <v>130</v>
      </c>
      <c r="B27" s="51" t="s">
        <v>95</v>
      </c>
      <c r="D27" s="31" t="s">
        <v>132</v>
      </c>
      <c r="F27" s="31" t="s">
        <v>148</v>
      </c>
      <c r="G27" s="37"/>
      <c r="H27" s="37"/>
      <c r="I27" s="37"/>
      <c r="J27" s="31" t="s">
        <v>140</v>
      </c>
      <c r="K27" s="31" t="s">
        <v>141</v>
      </c>
      <c r="L27" s="72"/>
      <c r="M27" s="73"/>
      <c r="N27" s="31">
        <v>1.5</v>
      </c>
      <c r="O27" s="52">
        <v>3.0</v>
      </c>
      <c r="P27" s="31">
        <v>2222.0</v>
      </c>
      <c r="Q27" s="37"/>
      <c r="R27" s="37"/>
      <c r="S27" s="30">
        <v>6.0</v>
      </c>
      <c r="T27" s="31" t="s">
        <v>136</v>
      </c>
      <c r="U27" s="31" t="s">
        <v>82</v>
      </c>
      <c r="V27" s="31" t="s">
        <v>137</v>
      </c>
      <c r="W27" s="31" t="s">
        <v>138</v>
      </c>
      <c r="X27" s="25">
        <v>922.0</v>
      </c>
      <c r="Y27" s="37"/>
      <c r="Z27" s="32" t="str">
        <f t="shared" si="16"/>
        <v/>
      </c>
      <c r="AA27" s="37"/>
      <c r="AB27" s="37"/>
      <c r="AC27" s="33" t="str">
        <f t="shared" si="17"/>
        <v/>
      </c>
      <c r="AD27" s="37"/>
      <c r="AE27" s="37"/>
      <c r="AF27" s="44">
        <f t="shared" si="12"/>
        <v>899.2310805</v>
      </c>
      <c r="AG27" s="37"/>
      <c r="AH27" s="37"/>
      <c r="AI27" s="37"/>
      <c r="AJ27" s="38"/>
      <c r="AK27" s="71" t="s">
        <v>139</v>
      </c>
      <c r="AL27" s="71" t="s">
        <v>139</v>
      </c>
      <c r="AM27" s="71" t="s">
        <v>139</v>
      </c>
      <c r="AN27" s="71" t="s">
        <v>139</v>
      </c>
    </row>
    <row r="28" hidden="1">
      <c r="A28" s="54" t="s">
        <v>130</v>
      </c>
      <c r="B28" s="55" t="s">
        <v>95</v>
      </c>
      <c r="D28" s="17" t="s">
        <v>132</v>
      </c>
      <c r="F28" s="17" t="s">
        <v>148</v>
      </c>
      <c r="G28" s="41"/>
      <c r="H28" s="41"/>
      <c r="I28" s="41"/>
      <c r="J28" s="41"/>
      <c r="K28" s="17" t="s">
        <v>142</v>
      </c>
      <c r="L28" s="69"/>
      <c r="M28" s="70"/>
      <c r="N28" s="17">
        <v>1.5</v>
      </c>
      <c r="O28" s="56">
        <v>3.0</v>
      </c>
      <c r="P28" s="17">
        <v>2222.0</v>
      </c>
      <c r="Q28" s="41"/>
      <c r="R28" s="41"/>
      <c r="S28" s="16">
        <v>6.0</v>
      </c>
      <c r="T28" s="17" t="s">
        <v>136</v>
      </c>
      <c r="U28" s="17" t="s">
        <v>82</v>
      </c>
      <c r="V28" s="17" t="s">
        <v>137</v>
      </c>
      <c r="W28" s="17" t="s">
        <v>138</v>
      </c>
      <c r="X28" s="11">
        <v>922.0</v>
      </c>
      <c r="Y28" s="41"/>
      <c r="Z28" s="18" t="str">
        <f t="shared" si="16"/>
        <v/>
      </c>
      <c r="AA28" s="41"/>
      <c r="AB28" s="41"/>
      <c r="AC28" s="19" t="str">
        <f t="shared" si="17"/>
        <v/>
      </c>
      <c r="AD28" s="41"/>
      <c r="AE28" s="41"/>
      <c r="AF28" s="46">
        <f t="shared" si="12"/>
        <v>899.2310805</v>
      </c>
      <c r="AG28" s="41"/>
      <c r="AH28" s="41"/>
      <c r="AI28" s="41"/>
      <c r="AJ28" s="42"/>
      <c r="AK28" s="71" t="s">
        <v>139</v>
      </c>
      <c r="AL28" s="71" t="s">
        <v>139</v>
      </c>
      <c r="AM28" s="71" t="s">
        <v>139</v>
      </c>
      <c r="AN28" s="71" t="s">
        <v>139</v>
      </c>
    </row>
    <row r="29" hidden="1">
      <c r="A29" s="50" t="s">
        <v>130</v>
      </c>
      <c r="B29" s="51" t="s">
        <v>95</v>
      </c>
      <c r="C29" s="37"/>
      <c r="D29" s="31" t="s">
        <v>132</v>
      </c>
      <c r="E29" s="37"/>
      <c r="F29" s="31" t="s">
        <v>148</v>
      </c>
      <c r="G29" s="37"/>
      <c r="H29" s="37"/>
      <c r="I29" s="37"/>
      <c r="J29" s="31" t="s">
        <v>143</v>
      </c>
      <c r="K29" s="31" t="s">
        <v>144</v>
      </c>
      <c r="L29" s="72"/>
      <c r="M29" s="73"/>
      <c r="N29" s="31">
        <v>1.5</v>
      </c>
      <c r="O29" s="52">
        <v>3.0</v>
      </c>
      <c r="P29" s="31">
        <v>2222.0</v>
      </c>
      <c r="Q29" s="37"/>
      <c r="R29" s="37"/>
      <c r="S29" s="30">
        <v>6.0</v>
      </c>
      <c r="T29" s="31" t="s">
        <v>136</v>
      </c>
      <c r="U29" s="31" t="s">
        <v>82</v>
      </c>
      <c r="V29" s="31" t="s">
        <v>137</v>
      </c>
      <c r="W29" s="31" t="s">
        <v>138</v>
      </c>
      <c r="X29" s="25">
        <v>922.0</v>
      </c>
      <c r="Y29" s="37"/>
      <c r="Z29" s="32" t="str">
        <f t="shared" si="16"/>
        <v/>
      </c>
      <c r="AA29" s="37"/>
      <c r="AB29" s="37"/>
      <c r="AC29" s="33" t="str">
        <f t="shared" si="17"/>
        <v/>
      </c>
      <c r="AD29" s="37"/>
      <c r="AE29" s="37"/>
      <c r="AF29" s="44">
        <f t="shared" si="12"/>
        <v>899.2310805</v>
      </c>
      <c r="AG29" s="37"/>
      <c r="AH29" s="37"/>
      <c r="AI29" s="37"/>
      <c r="AJ29" s="38"/>
      <c r="AK29" s="71" t="s">
        <v>139</v>
      </c>
      <c r="AL29" s="71" t="s">
        <v>139</v>
      </c>
      <c r="AM29" s="71" t="s">
        <v>139</v>
      </c>
      <c r="AN29" s="71" t="s">
        <v>139</v>
      </c>
    </row>
    <row r="30" hidden="1">
      <c r="A30" s="54" t="s">
        <v>130</v>
      </c>
      <c r="B30" s="55" t="s">
        <v>95</v>
      </c>
      <c r="C30" s="41"/>
      <c r="D30" s="17" t="s">
        <v>132</v>
      </c>
      <c r="E30" s="41"/>
      <c r="F30" s="17" t="s">
        <v>148</v>
      </c>
      <c r="G30" s="41"/>
      <c r="H30" s="41"/>
      <c r="I30" s="41"/>
      <c r="J30" s="17" t="s">
        <v>145</v>
      </c>
      <c r="K30" s="17" t="s">
        <v>146</v>
      </c>
      <c r="L30" s="69"/>
      <c r="M30" s="70"/>
      <c r="N30" s="17">
        <v>1.5</v>
      </c>
      <c r="O30" s="56">
        <v>3.0</v>
      </c>
      <c r="P30" s="17">
        <v>2222.0</v>
      </c>
      <c r="Q30" s="41"/>
      <c r="R30" s="41"/>
      <c r="S30" s="16">
        <v>6.0</v>
      </c>
      <c r="T30" s="17" t="s">
        <v>136</v>
      </c>
      <c r="U30" s="17" t="s">
        <v>82</v>
      </c>
      <c r="V30" s="17" t="s">
        <v>137</v>
      </c>
      <c r="W30" s="17" t="s">
        <v>138</v>
      </c>
      <c r="X30" s="11">
        <v>922.0</v>
      </c>
      <c r="Y30" s="41"/>
      <c r="Z30" s="18" t="str">
        <f t="shared" si="16"/>
        <v/>
      </c>
      <c r="AA30" s="41"/>
      <c r="AB30" s="41"/>
      <c r="AC30" s="19" t="str">
        <f t="shared" si="17"/>
        <v/>
      </c>
      <c r="AD30" s="41"/>
      <c r="AE30" s="41"/>
      <c r="AF30" s="46">
        <f t="shared" si="12"/>
        <v>899.2310805</v>
      </c>
      <c r="AG30" s="41"/>
      <c r="AH30" s="41"/>
      <c r="AI30" s="41"/>
      <c r="AJ30" s="42"/>
      <c r="AK30" s="71" t="s">
        <v>139</v>
      </c>
      <c r="AL30" s="71" t="s">
        <v>139</v>
      </c>
      <c r="AM30" s="71" t="s">
        <v>139</v>
      </c>
      <c r="AN30" s="71" t="s">
        <v>139</v>
      </c>
    </row>
    <row r="31" hidden="1">
      <c r="A31" s="50" t="s">
        <v>130</v>
      </c>
      <c r="B31" s="51" t="s">
        <v>95</v>
      </c>
      <c r="C31" s="31" t="s">
        <v>147</v>
      </c>
      <c r="D31" s="31" t="s">
        <v>132</v>
      </c>
      <c r="E31" s="37"/>
      <c r="F31" s="31" t="s">
        <v>149</v>
      </c>
      <c r="G31" s="37"/>
      <c r="H31" s="37"/>
      <c r="I31" s="37"/>
      <c r="J31" s="31" t="s">
        <v>134</v>
      </c>
      <c r="K31" s="31" t="s">
        <v>135</v>
      </c>
      <c r="L31" s="72"/>
      <c r="M31" s="73"/>
      <c r="N31" s="31">
        <v>1.5</v>
      </c>
      <c r="O31" s="52">
        <v>3.0</v>
      </c>
      <c r="P31" s="31">
        <v>2222.0</v>
      </c>
      <c r="Q31" s="37"/>
      <c r="R31" s="37"/>
      <c r="S31" s="30">
        <v>6.0</v>
      </c>
      <c r="T31" s="31" t="s">
        <v>136</v>
      </c>
      <c r="U31" s="31" t="s">
        <v>82</v>
      </c>
      <c r="V31" s="31" t="s">
        <v>137</v>
      </c>
      <c r="W31" s="31" t="s">
        <v>138</v>
      </c>
      <c r="X31" s="25">
        <v>922.0</v>
      </c>
      <c r="Y31" s="37"/>
      <c r="Z31" s="32" t="str">
        <f t="shared" si="16"/>
        <v/>
      </c>
      <c r="AA31" s="37"/>
      <c r="AB31" s="37"/>
      <c r="AC31" s="33" t="str">
        <f t="shared" si="17"/>
        <v/>
      </c>
      <c r="AD31" s="37"/>
      <c r="AE31" s="37"/>
      <c r="AF31" s="44">
        <f t="shared" si="12"/>
        <v>899.2310805</v>
      </c>
      <c r="AG31" s="37"/>
      <c r="AH31" s="37"/>
      <c r="AI31" s="37"/>
      <c r="AJ31" s="38"/>
      <c r="AK31" s="71" t="s">
        <v>139</v>
      </c>
      <c r="AL31" s="71" t="s">
        <v>139</v>
      </c>
      <c r="AM31" s="71" t="s">
        <v>139</v>
      </c>
      <c r="AN31" s="71" t="s">
        <v>139</v>
      </c>
    </row>
    <row r="32" hidden="1">
      <c r="A32" s="54" t="s">
        <v>130</v>
      </c>
      <c r="B32" s="55" t="s">
        <v>95</v>
      </c>
      <c r="D32" s="17" t="s">
        <v>132</v>
      </c>
      <c r="F32" s="17" t="s">
        <v>149</v>
      </c>
      <c r="G32" s="41"/>
      <c r="H32" s="41"/>
      <c r="I32" s="41"/>
      <c r="J32" s="17" t="s">
        <v>140</v>
      </c>
      <c r="K32" s="17" t="s">
        <v>141</v>
      </c>
      <c r="L32" s="69"/>
      <c r="M32" s="70"/>
      <c r="N32" s="17">
        <v>1.5</v>
      </c>
      <c r="O32" s="56">
        <v>3.0</v>
      </c>
      <c r="P32" s="17">
        <v>2222.0</v>
      </c>
      <c r="Q32" s="41"/>
      <c r="R32" s="41"/>
      <c r="S32" s="16">
        <v>6.0</v>
      </c>
      <c r="T32" s="17" t="s">
        <v>136</v>
      </c>
      <c r="U32" s="17" t="s">
        <v>82</v>
      </c>
      <c r="V32" s="17" t="s">
        <v>137</v>
      </c>
      <c r="W32" s="17" t="s">
        <v>138</v>
      </c>
      <c r="X32" s="11">
        <v>922.0</v>
      </c>
      <c r="Y32" s="41"/>
      <c r="Z32" s="18" t="str">
        <f t="shared" si="16"/>
        <v/>
      </c>
      <c r="AA32" s="41"/>
      <c r="AB32" s="41"/>
      <c r="AC32" s="19" t="str">
        <f t="shared" si="17"/>
        <v/>
      </c>
      <c r="AD32" s="41"/>
      <c r="AE32" s="41"/>
      <c r="AF32" s="46">
        <f t="shared" si="12"/>
        <v>899.2310805</v>
      </c>
      <c r="AG32" s="41"/>
      <c r="AH32" s="41"/>
      <c r="AI32" s="41"/>
      <c r="AJ32" s="42"/>
      <c r="AK32" s="71" t="s">
        <v>139</v>
      </c>
      <c r="AL32" s="71" t="s">
        <v>139</v>
      </c>
      <c r="AM32" s="71" t="s">
        <v>139</v>
      </c>
      <c r="AN32" s="71" t="s">
        <v>139</v>
      </c>
    </row>
    <row r="33" hidden="1">
      <c r="A33" s="50" t="s">
        <v>130</v>
      </c>
      <c r="B33" s="51" t="s">
        <v>95</v>
      </c>
      <c r="C33" s="37"/>
      <c r="D33" s="31" t="s">
        <v>132</v>
      </c>
      <c r="E33" s="37"/>
      <c r="F33" s="31" t="s">
        <v>149</v>
      </c>
      <c r="G33" s="37"/>
      <c r="H33" s="37"/>
      <c r="I33" s="37"/>
      <c r="J33" s="37"/>
      <c r="K33" s="31" t="s">
        <v>142</v>
      </c>
      <c r="L33" s="72"/>
      <c r="M33" s="73"/>
      <c r="N33" s="31">
        <v>1.5</v>
      </c>
      <c r="O33" s="52">
        <v>3.0</v>
      </c>
      <c r="P33" s="31">
        <v>2222.0</v>
      </c>
      <c r="Q33" s="37"/>
      <c r="R33" s="37"/>
      <c r="S33" s="30">
        <v>6.0</v>
      </c>
      <c r="T33" s="31" t="s">
        <v>136</v>
      </c>
      <c r="U33" s="31" t="s">
        <v>82</v>
      </c>
      <c r="V33" s="31" t="s">
        <v>137</v>
      </c>
      <c r="W33" s="31" t="s">
        <v>138</v>
      </c>
      <c r="X33" s="25">
        <v>922.0</v>
      </c>
      <c r="Y33" s="37"/>
      <c r="Z33" s="32" t="str">
        <f t="shared" si="16"/>
        <v/>
      </c>
      <c r="AA33" s="37"/>
      <c r="AB33" s="37"/>
      <c r="AC33" s="33" t="str">
        <f t="shared" si="17"/>
        <v/>
      </c>
      <c r="AD33" s="37"/>
      <c r="AE33" s="37"/>
      <c r="AF33" s="44">
        <f t="shared" si="12"/>
        <v>899.2310805</v>
      </c>
      <c r="AG33" s="37"/>
      <c r="AH33" s="37"/>
      <c r="AI33" s="37"/>
      <c r="AJ33" s="38"/>
      <c r="AK33" s="71" t="s">
        <v>139</v>
      </c>
      <c r="AL33" s="71" t="s">
        <v>139</v>
      </c>
      <c r="AM33" s="71" t="s">
        <v>139</v>
      </c>
      <c r="AN33" s="71" t="s">
        <v>139</v>
      </c>
    </row>
    <row r="34" hidden="1">
      <c r="A34" s="54" t="s">
        <v>130</v>
      </c>
      <c r="B34" s="55" t="s">
        <v>95</v>
      </c>
      <c r="C34" s="41"/>
      <c r="D34" s="17" t="s">
        <v>132</v>
      </c>
      <c r="E34" s="41"/>
      <c r="F34" s="17" t="s">
        <v>149</v>
      </c>
      <c r="G34" s="41"/>
      <c r="H34" s="41"/>
      <c r="I34" s="41"/>
      <c r="J34" s="17" t="s">
        <v>143</v>
      </c>
      <c r="K34" s="17" t="s">
        <v>144</v>
      </c>
      <c r="L34" s="69"/>
      <c r="M34" s="70"/>
      <c r="N34" s="17">
        <v>1.5</v>
      </c>
      <c r="O34" s="56">
        <v>3.0</v>
      </c>
      <c r="P34" s="17">
        <v>2222.0</v>
      </c>
      <c r="Q34" s="41"/>
      <c r="R34" s="41"/>
      <c r="S34" s="16">
        <v>6.0</v>
      </c>
      <c r="T34" s="17" t="s">
        <v>136</v>
      </c>
      <c r="U34" s="17" t="s">
        <v>82</v>
      </c>
      <c r="V34" s="17" t="s">
        <v>137</v>
      </c>
      <c r="W34" s="17" t="s">
        <v>138</v>
      </c>
      <c r="X34" s="11">
        <v>922.0</v>
      </c>
      <c r="Y34" s="41"/>
      <c r="Z34" s="18" t="str">
        <f t="shared" si="16"/>
        <v/>
      </c>
      <c r="AA34" s="41"/>
      <c r="AB34" s="41"/>
      <c r="AC34" s="19" t="str">
        <f t="shared" si="17"/>
        <v/>
      </c>
      <c r="AD34" s="41"/>
      <c r="AE34" s="41"/>
      <c r="AF34" s="46">
        <f t="shared" si="12"/>
        <v>899.2310805</v>
      </c>
      <c r="AG34" s="41"/>
      <c r="AH34" s="41"/>
      <c r="AI34" s="41"/>
      <c r="AJ34" s="42"/>
      <c r="AK34" s="71" t="s">
        <v>139</v>
      </c>
      <c r="AL34" s="71" t="s">
        <v>139</v>
      </c>
      <c r="AM34" s="71" t="s">
        <v>139</v>
      </c>
      <c r="AN34" s="71" t="s">
        <v>139</v>
      </c>
    </row>
    <row r="35" hidden="1">
      <c r="A35" s="50" t="s">
        <v>130</v>
      </c>
      <c r="B35" s="51" t="s">
        <v>95</v>
      </c>
      <c r="C35" s="37"/>
      <c r="D35" s="31" t="s">
        <v>132</v>
      </c>
      <c r="E35" s="37"/>
      <c r="F35" s="31" t="s">
        <v>149</v>
      </c>
      <c r="G35" s="37"/>
      <c r="H35" s="37"/>
      <c r="I35" s="37"/>
      <c r="J35" s="31" t="s">
        <v>145</v>
      </c>
      <c r="K35" s="31" t="s">
        <v>146</v>
      </c>
      <c r="L35" s="72"/>
      <c r="M35" s="73"/>
      <c r="N35" s="31">
        <v>1.5</v>
      </c>
      <c r="O35" s="52">
        <v>3.0</v>
      </c>
      <c r="P35" s="31">
        <v>2222.0</v>
      </c>
      <c r="Q35" s="37"/>
      <c r="R35" s="37"/>
      <c r="S35" s="30">
        <v>6.0</v>
      </c>
      <c r="T35" s="31" t="s">
        <v>136</v>
      </c>
      <c r="U35" s="31" t="s">
        <v>82</v>
      </c>
      <c r="V35" s="31" t="s">
        <v>137</v>
      </c>
      <c r="W35" s="31" t="s">
        <v>138</v>
      </c>
      <c r="X35" s="25">
        <v>922.0</v>
      </c>
      <c r="Y35" s="37"/>
      <c r="Z35" s="32" t="str">
        <f t="shared" si="16"/>
        <v/>
      </c>
      <c r="AA35" s="37"/>
      <c r="AB35" s="37"/>
      <c r="AC35" s="33" t="str">
        <f t="shared" si="17"/>
        <v/>
      </c>
      <c r="AD35" s="37"/>
      <c r="AE35" s="37"/>
      <c r="AF35" s="44">
        <f t="shared" si="12"/>
        <v>899.2310805</v>
      </c>
      <c r="AG35" s="37"/>
      <c r="AH35" s="37"/>
      <c r="AI35" s="37"/>
      <c r="AJ35" s="38"/>
      <c r="AK35" s="71" t="s">
        <v>139</v>
      </c>
      <c r="AL35" s="71" t="s">
        <v>139</v>
      </c>
      <c r="AM35" s="71" t="s">
        <v>139</v>
      </c>
      <c r="AN35" s="71" t="s">
        <v>139</v>
      </c>
    </row>
    <row r="36" hidden="1">
      <c r="A36" s="54" t="s">
        <v>130</v>
      </c>
      <c r="B36" s="55" t="s">
        <v>95</v>
      </c>
      <c r="C36" s="17" t="s">
        <v>150</v>
      </c>
      <c r="D36" s="17" t="s">
        <v>132</v>
      </c>
      <c r="E36" s="41"/>
      <c r="F36" s="17" t="s">
        <v>151</v>
      </c>
      <c r="G36" s="41"/>
      <c r="H36" s="41"/>
      <c r="I36" s="41"/>
      <c r="J36" s="17" t="s">
        <v>134</v>
      </c>
      <c r="K36" s="17" t="s">
        <v>135</v>
      </c>
      <c r="L36" s="69"/>
      <c r="M36" s="70"/>
      <c r="N36" s="17">
        <v>1.5</v>
      </c>
      <c r="O36" s="56">
        <v>3.0</v>
      </c>
      <c r="P36" s="17">
        <v>2222.0</v>
      </c>
      <c r="Q36" s="41"/>
      <c r="R36" s="41"/>
      <c r="S36" s="16">
        <v>6.0</v>
      </c>
      <c r="T36" s="17" t="s">
        <v>136</v>
      </c>
      <c r="U36" s="17" t="s">
        <v>82</v>
      </c>
      <c r="V36" s="17" t="s">
        <v>137</v>
      </c>
      <c r="W36" s="17" t="s">
        <v>138</v>
      </c>
      <c r="X36" s="11">
        <v>922.0</v>
      </c>
      <c r="Y36" s="41"/>
      <c r="Z36" s="18" t="str">
        <f t="shared" si="16"/>
        <v/>
      </c>
      <c r="AA36" s="41"/>
      <c r="AB36" s="41"/>
      <c r="AC36" s="19" t="str">
        <f t="shared" si="17"/>
        <v/>
      </c>
      <c r="AD36" s="41"/>
      <c r="AE36" s="41"/>
      <c r="AF36" s="46">
        <f t="shared" si="12"/>
        <v>899.2310805</v>
      </c>
      <c r="AG36" s="41"/>
      <c r="AH36" s="41"/>
      <c r="AI36" s="41"/>
      <c r="AJ36" s="42"/>
      <c r="AK36" s="71" t="s">
        <v>139</v>
      </c>
      <c r="AL36" s="71" t="s">
        <v>139</v>
      </c>
      <c r="AM36" s="71" t="s">
        <v>139</v>
      </c>
      <c r="AN36" s="71" t="s">
        <v>139</v>
      </c>
    </row>
    <row r="37" hidden="1">
      <c r="A37" s="50" t="s">
        <v>130</v>
      </c>
      <c r="B37" s="51" t="s">
        <v>95</v>
      </c>
      <c r="C37" s="37"/>
      <c r="D37" s="31" t="s">
        <v>132</v>
      </c>
      <c r="E37" s="37"/>
      <c r="F37" s="31" t="s">
        <v>151</v>
      </c>
      <c r="G37" s="37"/>
      <c r="H37" s="37"/>
      <c r="I37" s="37"/>
      <c r="J37" s="31" t="s">
        <v>140</v>
      </c>
      <c r="K37" s="31" t="s">
        <v>141</v>
      </c>
      <c r="L37" s="72"/>
      <c r="M37" s="73"/>
      <c r="N37" s="31">
        <v>1.5</v>
      </c>
      <c r="O37" s="52">
        <v>3.0</v>
      </c>
      <c r="P37" s="31">
        <v>2222.0</v>
      </c>
      <c r="Q37" s="37"/>
      <c r="R37" s="37"/>
      <c r="S37" s="30">
        <v>6.0</v>
      </c>
      <c r="T37" s="31" t="s">
        <v>136</v>
      </c>
      <c r="U37" s="31" t="s">
        <v>82</v>
      </c>
      <c r="V37" s="31" t="s">
        <v>137</v>
      </c>
      <c r="W37" s="31" t="s">
        <v>138</v>
      </c>
      <c r="X37" s="25">
        <v>922.0</v>
      </c>
      <c r="Y37" s="37"/>
      <c r="Z37" s="32" t="str">
        <f t="shared" si="16"/>
        <v/>
      </c>
      <c r="AA37" s="37"/>
      <c r="AB37" s="37"/>
      <c r="AC37" s="33" t="str">
        <f t="shared" si="17"/>
        <v/>
      </c>
      <c r="AD37" s="37"/>
      <c r="AE37" s="37"/>
      <c r="AF37" s="44">
        <f t="shared" si="12"/>
        <v>899.2310805</v>
      </c>
      <c r="AG37" s="37"/>
      <c r="AH37" s="37"/>
      <c r="AI37" s="37"/>
      <c r="AJ37" s="38"/>
      <c r="AK37" s="71" t="s">
        <v>139</v>
      </c>
      <c r="AL37" s="71" t="s">
        <v>139</v>
      </c>
      <c r="AM37" s="71" t="s">
        <v>139</v>
      </c>
      <c r="AN37" s="71" t="s">
        <v>139</v>
      </c>
    </row>
    <row r="38" hidden="1">
      <c r="A38" s="54" t="s">
        <v>130</v>
      </c>
      <c r="B38" s="55" t="s">
        <v>95</v>
      </c>
      <c r="C38" s="41"/>
      <c r="D38" s="17" t="s">
        <v>132</v>
      </c>
      <c r="E38" s="41"/>
      <c r="F38" s="17" t="s">
        <v>151</v>
      </c>
      <c r="G38" s="41"/>
      <c r="H38" s="41"/>
      <c r="I38" s="41"/>
      <c r="J38" s="41"/>
      <c r="K38" s="17" t="s">
        <v>142</v>
      </c>
      <c r="L38" s="69"/>
      <c r="M38" s="70"/>
      <c r="N38" s="17">
        <v>1.5</v>
      </c>
      <c r="O38" s="56">
        <v>3.0</v>
      </c>
      <c r="P38" s="17">
        <v>2222.0</v>
      </c>
      <c r="Q38" s="41"/>
      <c r="R38" s="41"/>
      <c r="S38" s="16">
        <v>6.0</v>
      </c>
      <c r="T38" s="17" t="s">
        <v>136</v>
      </c>
      <c r="U38" s="17" t="s">
        <v>82</v>
      </c>
      <c r="V38" s="17" t="s">
        <v>137</v>
      </c>
      <c r="W38" s="17" t="s">
        <v>138</v>
      </c>
      <c r="X38" s="11">
        <v>922.0</v>
      </c>
      <c r="Y38" s="41"/>
      <c r="Z38" s="18" t="str">
        <f t="shared" si="16"/>
        <v/>
      </c>
      <c r="AA38" s="41"/>
      <c r="AB38" s="41"/>
      <c r="AC38" s="19" t="str">
        <f t="shared" si="17"/>
        <v/>
      </c>
      <c r="AD38" s="41"/>
      <c r="AE38" s="41"/>
      <c r="AF38" s="46">
        <f t="shared" si="12"/>
        <v>899.2310805</v>
      </c>
      <c r="AG38" s="41"/>
      <c r="AH38" s="41"/>
      <c r="AI38" s="41"/>
      <c r="AJ38" s="42"/>
      <c r="AK38" s="71" t="s">
        <v>139</v>
      </c>
      <c r="AL38" s="71" t="s">
        <v>139</v>
      </c>
      <c r="AM38" s="71" t="s">
        <v>139</v>
      </c>
      <c r="AN38" s="71" t="s">
        <v>139</v>
      </c>
    </row>
    <row r="39" hidden="1">
      <c r="A39" s="50" t="s">
        <v>130</v>
      </c>
      <c r="B39" s="51" t="s">
        <v>95</v>
      </c>
      <c r="C39" s="37"/>
      <c r="D39" s="31" t="s">
        <v>132</v>
      </c>
      <c r="E39" s="37"/>
      <c r="F39" s="31" t="s">
        <v>151</v>
      </c>
      <c r="G39" s="37"/>
      <c r="H39" s="37"/>
      <c r="I39" s="37"/>
      <c r="J39" s="31" t="s">
        <v>143</v>
      </c>
      <c r="K39" s="31" t="s">
        <v>144</v>
      </c>
      <c r="L39" s="72"/>
      <c r="M39" s="73"/>
      <c r="N39" s="31">
        <v>1.5</v>
      </c>
      <c r="O39" s="52">
        <v>3.0</v>
      </c>
      <c r="P39" s="31">
        <v>2222.0</v>
      </c>
      <c r="Q39" s="37"/>
      <c r="R39" s="37"/>
      <c r="S39" s="30">
        <v>6.0</v>
      </c>
      <c r="T39" s="31" t="s">
        <v>136</v>
      </c>
      <c r="U39" s="31" t="s">
        <v>82</v>
      </c>
      <c r="V39" s="31" t="s">
        <v>137</v>
      </c>
      <c r="W39" s="31" t="s">
        <v>138</v>
      </c>
      <c r="X39" s="25">
        <v>922.0</v>
      </c>
      <c r="Y39" s="37"/>
      <c r="Z39" s="32" t="str">
        <f t="shared" si="16"/>
        <v/>
      </c>
      <c r="AA39" s="37"/>
      <c r="AB39" s="37"/>
      <c r="AC39" s="33" t="str">
        <f t="shared" si="17"/>
        <v/>
      </c>
      <c r="AD39" s="37"/>
      <c r="AE39" s="37"/>
      <c r="AF39" s="44">
        <f t="shared" si="12"/>
        <v>899.2310805</v>
      </c>
      <c r="AG39" s="37"/>
      <c r="AH39" s="37"/>
      <c r="AI39" s="37"/>
      <c r="AJ39" s="38"/>
      <c r="AK39" s="71" t="s">
        <v>139</v>
      </c>
      <c r="AL39" s="71" t="s">
        <v>139</v>
      </c>
      <c r="AM39" s="71" t="s">
        <v>139</v>
      </c>
      <c r="AN39" s="71" t="s">
        <v>139</v>
      </c>
    </row>
    <row r="40" hidden="1">
      <c r="A40" s="54" t="s">
        <v>130</v>
      </c>
      <c r="B40" s="55" t="s">
        <v>95</v>
      </c>
      <c r="C40" s="41"/>
      <c r="D40" s="17" t="s">
        <v>132</v>
      </c>
      <c r="E40" s="41"/>
      <c r="F40" s="17" t="s">
        <v>151</v>
      </c>
      <c r="G40" s="41"/>
      <c r="H40" s="41"/>
      <c r="I40" s="41"/>
      <c r="J40" s="17" t="s">
        <v>145</v>
      </c>
      <c r="K40" s="17" t="s">
        <v>146</v>
      </c>
      <c r="L40" s="69"/>
      <c r="M40" s="70"/>
      <c r="N40" s="17">
        <v>1.5</v>
      </c>
      <c r="O40" s="56">
        <v>3.0</v>
      </c>
      <c r="P40" s="17">
        <v>2222.0</v>
      </c>
      <c r="Q40" s="41"/>
      <c r="R40" s="41"/>
      <c r="S40" s="16">
        <v>6.0</v>
      </c>
      <c r="T40" s="17" t="s">
        <v>136</v>
      </c>
      <c r="U40" s="17" t="s">
        <v>82</v>
      </c>
      <c r="V40" s="17" t="s">
        <v>137</v>
      </c>
      <c r="W40" s="17" t="s">
        <v>138</v>
      </c>
      <c r="X40" s="11">
        <v>922.0</v>
      </c>
      <c r="Y40" s="41"/>
      <c r="Z40" s="18" t="str">
        <f t="shared" si="16"/>
        <v/>
      </c>
      <c r="AA40" s="41"/>
      <c r="AB40" s="41"/>
      <c r="AC40" s="19" t="str">
        <f t="shared" si="17"/>
        <v/>
      </c>
      <c r="AD40" s="41"/>
      <c r="AE40" s="41"/>
      <c r="AF40" s="46">
        <f t="shared" si="12"/>
        <v>899.2310805</v>
      </c>
      <c r="AG40" s="41"/>
      <c r="AH40" s="41"/>
      <c r="AI40" s="41"/>
      <c r="AJ40" s="42"/>
      <c r="AK40" s="71" t="s">
        <v>139</v>
      </c>
      <c r="AL40" s="71" t="s">
        <v>139</v>
      </c>
      <c r="AM40" s="71" t="s">
        <v>139</v>
      </c>
      <c r="AN40" s="71" t="s">
        <v>139</v>
      </c>
    </row>
    <row r="41">
      <c r="A41" s="50" t="s">
        <v>152</v>
      </c>
      <c r="B41" s="51" t="s">
        <v>61</v>
      </c>
      <c r="C41" s="37"/>
      <c r="D41" s="31" t="s">
        <v>153</v>
      </c>
      <c r="E41" s="31" t="s">
        <v>154</v>
      </c>
      <c r="F41" s="31" t="s">
        <v>155</v>
      </c>
      <c r="G41" s="31" t="s">
        <v>156</v>
      </c>
      <c r="H41" s="37"/>
      <c r="I41" s="37"/>
      <c r="J41" s="31" t="s">
        <v>157</v>
      </c>
      <c r="K41" s="31" t="s">
        <v>158</v>
      </c>
      <c r="L41" s="32">
        <v>0.6</v>
      </c>
      <c r="M41" s="73"/>
      <c r="N41" s="31">
        <v>7.0</v>
      </c>
      <c r="O41" s="52">
        <v>2.5</v>
      </c>
      <c r="P41" s="31">
        <v>570.0</v>
      </c>
      <c r="Q41" s="31">
        <v>571.4</v>
      </c>
      <c r="R41" s="37"/>
      <c r="S41" s="30">
        <v>11.0</v>
      </c>
      <c r="T41" s="31" t="s">
        <v>159</v>
      </c>
      <c r="U41" s="31" t="s">
        <v>157</v>
      </c>
      <c r="V41" s="37"/>
      <c r="W41" s="31" t="s">
        <v>160</v>
      </c>
      <c r="X41" s="31">
        <v>612.0</v>
      </c>
      <c r="Y41" s="25">
        <v>4.1</v>
      </c>
      <c r="Z41" s="32">
        <f t="shared" si="16"/>
        <v>7.168089129</v>
      </c>
      <c r="AA41" s="31">
        <v>64.7</v>
      </c>
      <c r="AB41" s="31">
        <v>127.9</v>
      </c>
      <c r="AC41" s="33">
        <f t="shared" si="17"/>
        <v>419.6194226</v>
      </c>
      <c r="AD41" s="31" t="s">
        <v>161</v>
      </c>
      <c r="AE41" s="31" t="s">
        <v>161</v>
      </c>
      <c r="AF41" s="44">
        <f t="shared" si="12"/>
        <v>230.6758397</v>
      </c>
      <c r="AG41" s="31" t="s">
        <v>162</v>
      </c>
      <c r="AH41" s="37"/>
      <c r="AI41" s="31" t="s">
        <v>163</v>
      </c>
      <c r="AJ41" s="53" t="s">
        <v>163</v>
      </c>
      <c r="AK41" s="83" t="b">
        <v>0</v>
      </c>
      <c r="AL41" s="74" t="b">
        <v>1</v>
      </c>
      <c r="AM41" s="74" t="b">
        <v>1</v>
      </c>
      <c r="AN41" s="74" t="b">
        <v>1</v>
      </c>
      <c r="AO41" s="83" t="s">
        <v>364</v>
      </c>
      <c r="AP41" s="83">
        <v>11.0</v>
      </c>
      <c r="AQ41" s="188">
        <v>11.47</v>
      </c>
      <c r="AR41" s="120">
        <f>AQ41/AP41</f>
        <v>1.042727273</v>
      </c>
      <c r="AS41" s="120">
        <v>81.44458314499892</v>
      </c>
      <c r="AT41" s="189">
        <v>0.0020158337868902273</v>
      </c>
      <c r="AU41" s="120">
        <v>4.250012172007344</v>
      </c>
      <c r="AV41" s="120">
        <v>0.9739777194149364</v>
      </c>
      <c r="AW41" s="120"/>
    </row>
    <row r="42" hidden="1">
      <c r="A42" s="58" t="s">
        <v>164</v>
      </c>
      <c r="B42" s="59" t="s">
        <v>126</v>
      </c>
      <c r="C42" s="60"/>
      <c r="D42" s="61" t="s">
        <v>165</v>
      </c>
      <c r="E42" s="60"/>
      <c r="F42" s="60"/>
      <c r="G42" s="60"/>
      <c r="H42" s="60"/>
      <c r="I42" s="60"/>
      <c r="J42" s="61" t="s">
        <v>166</v>
      </c>
      <c r="K42" s="61" t="s">
        <v>167</v>
      </c>
      <c r="L42" s="75" t="s">
        <v>168</v>
      </c>
      <c r="M42" s="76" t="s">
        <v>168</v>
      </c>
      <c r="N42" s="61" t="s">
        <v>168</v>
      </c>
      <c r="O42" s="75" t="s">
        <v>168</v>
      </c>
      <c r="P42" s="61" t="s">
        <v>168</v>
      </c>
      <c r="Q42" s="61" t="s">
        <v>168</v>
      </c>
      <c r="R42" s="61" t="s">
        <v>168</v>
      </c>
      <c r="S42" s="65" t="s">
        <v>169</v>
      </c>
      <c r="T42" s="61" t="s">
        <v>168</v>
      </c>
      <c r="U42" s="60"/>
      <c r="V42" s="60"/>
      <c r="W42" s="60"/>
      <c r="X42" s="60"/>
      <c r="Y42" s="60"/>
      <c r="Z42" s="60"/>
      <c r="AA42" s="60"/>
      <c r="AB42" s="60"/>
      <c r="AC42" s="63"/>
      <c r="AD42" s="60"/>
      <c r="AE42" s="60"/>
      <c r="AF42" s="66" t="str">
        <f t="shared" si="12"/>
        <v/>
      </c>
      <c r="AG42" s="60"/>
      <c r="AH42" s="60"/>
      <c r="AI42" s="60"/>
      <c r="AJ42" s="67"/>
      <c r="AK42" s="68" t="s">
        <v>129</v>
      </c>
      <c r="AL42" s="68" t="s">
        <v>129</v>
      </c>
      <c r="AM42" s="68" t="s">
        <v>129</v>
      </c>
      <c r="AN42" s="68" t="s">
        <v>129</v>
      </c>
    </row>
    <row r="43" hidden="1">
      <c r="A43" s="58" t="s">
        <v>164</v>
      </c>
      <c r="B43" s="59" t="s">
        <v>126</v>
      </c>
      <c r="C43" s="60"/>
      <c r="D43" s="61" t="s">
        <v>170</v>
      </c>
      <c r="E43" s="60"/>
      <c r="F43" s="60"/>
      <c r="G43" s="60"/>
      <c r="H43" s="60"/>
      <c r="I43" s="60"/>
      <c r="J43" s="61" t="s">
        <v>166</v>
      </c>
      <c r="K43" s="61" t="s">
        <v>167</v>
      </c>
      <c r="L43" s="75" t="s">
        <v>168</v>
      </c>
      <c r="M43" s="76" t="s">
        <v>168</v>
      </c>
      <c r="N43" s="61" t="s">
        <v>168</v>
      </c>
      <c r="O43" s="64"/>
      <c r="P43" s="60"/>
      <c r="Q43" s="60"/>
      <c r="R43" s="60"/>
      <c r="S43" s="65" t="s">
        <v>171</v>
      </c>
      <c r="T43" s="60"/>
      <c r="U43" s="60"/>
      <c r="V43" s="60"/>
      <c r="W43" s="60"/>
      <c r="X43" s="60"/>
      <c r="Y43" s="60"/>
      <c r="Z43" s="60"/>
      <c r="AA43" s="60"/>
      <c r="AB43" s="60"/>
      <c r="AC43" s="63"/>
      <c r="AD43" s="60"/>
      <c r="AE43" s="60"/>
      <c r="AF43" s="66" t="str">
        <f t="shared" si="12"/>
        <v/>
      </c>
      <c r="AG43" s="60"/>
      <c r="AH43" s="60"/>
      <c r="AI43" s="60"/>
      <c r="AJ43" s="67"/>
      <c r="AK43" s="68" t="s">
        <v>129</v>
      </c>
      <c r="AL43" s="68" t="s">
        <v>129</v>
      </c>
      <c r="AM43" s="68" t="s">
        <v>129</v>
      </c>
      <c r="AN43" s="68" t="s">
        <v>129</v>
      </c>
    </row>
    <row r="44">
      <c r="A44" s="54" t="s">
        <v>172</v>
      </c>
      <c r="B44" s="55" t="s">
        <v>41</v>
      </c>
      <c r="C44" s="17" t="s">
        <v>173</v>
      </c>
      <c r="D44" s="17" t="s">
        <v>43</v>
      </c>
      <c r="E44" s="11" t="s">
        <v>174</v>
      </c>
      <c r="F44" s="17" t="s">
        <v>175</v>
      </c>
      <c r="H44" s="17">
        <v>39.02</v>
      </c>
      <c r="I44" s="17">
        <v>92.76</v>
      </c>
      <c r="J44" s="17" t="s">
        <v>80</v>
      </c>
      <c r="K44" s="17" t="s">
        <v>81</v>
      </c>
      <c r="L44" s="18">
        <v>1.5</v>
      </c>
      <c r="M44" s="70"/>
      <c r="N44" s="17">
        <v>9.1</v>
      </c>
      <c r="O44" s="56">
        <v>9.1</v>
      </c>
      <c r="P44" s="41"/>
      <c r="Q44" s="17">
        <v>121.0</v>
      </c>
      <c r="R44" s="41"/>
      <c r="S44" s="16">
        <v>9.0</v>
      </c>
      <c r="T44" s="17">
        <v>180.0</v>
      </c>
      <c r="U44" s="17" t="s">
        <v>176</v>
      </c>
      <c r="V44" s="41"/>
      <c r="W44" s="41"/>
      <c r="X44" s="41"/>
      <c r="Y44" s="41"/>
      <c r="Z44" s="18" t="str">
        <f t="shared" ref="Z44:Z47" si="18">IF(ISNUMBER(Y44),tan(Y44*PI()/180)*100,"")</f>
        <v/>
      </c>
      <c r="AA44" s="41"/>
      <c r="AB44" s="41"/>
      <c r="AC44" s="19" t="str">
        <f t="shared" ref="AC44:AC47" si="19">IF(ISNUMBER(AB44), CONVERT(AB44,"m","ft"),"")</f>
        <v/>
      </c>
      <c r="AD44" s="17">
        <v>65.0</v>
      </c>
      <c r="AE44" s="17" t="s">
        <v>177</v>
      </c>
      <c r="AF44" s="46">
        <f t="shared" si="12"/>
        <v>48.96802914</v>
      </c>
      <c r="AG44" s="17" t="s">
        <v>178</v>
      </c>
      <c r="AH44" s="78" t="s">
        <v>392</v>
      </c>
      <c r="AI44" s="41"/>
      <c r="AJ44" s="42"/>
      <c r="AK44" s="74" t="b">
        <v>1</v>
      </c>
      <c r="AL44" s="71" t="s">
        <v>139</v>
      </c>
      <c r="AM44" s="71" t="s">
        <v>139</v>
      </c>
      <c r="AN44" s="71" t="s">
        <v>139</v>
      </c>
      <c r="AO44" s="83" t="s">
        <v>364</v>
      </c>
      <c r="AP44" s="83">
        <v>10.0</v>
      </c>
      <c r="AQ44" s="83">
        <f>17 + (17*0.25)</f>
        <v>21.25</v>
      </c>
      <c r="AR44" s="120">
        <f t="shared" ref="AR44:AR47" si="20">AQ44/AP44</f>
        <v>2.125</v>
      </c>
      <c r="AS44" s="120"/>
      <c r="AT44" s="120"/>
      <c r="AU44" s="120"/>
      <c r="AV44" s="120"/>
      <c r="AW44" s="120"/>
    </row>
    <row r="45">
      <c r="A45" s="50" t="s">
        <v>180</v>
      </c>
      <c r="B45" s="51" t="s">
        <v>41</v>
      </c>
      <c r="C45" s="31" t="s">
        <v>173</v>
      </c>
      <c r="D45" s="31" t="s">
        <v>43</v>
      </c>
      <c r="E45" s="25" t="s">
        <v>181</v>
      </c>
      <c r="F45" s="31" t="s">
        <v>182</v>
      </c>
      <c r="H45" s="31">
        <v>37.08</v>
      </c>
      <c r="I45" s="31">
        <v>93.87</v>
      </c>
      <c r="J45" s="31" t="s">
        <v>80</v>
      </c>
      <c r="K45" s="31" t="s">
        <v>81</v>
      </c>
      <c r="L45" s="72"/>
      <c r="M45" s="73"/>
      <c r="N45" s="31">
        <v>12.2</v>
      </c>
      <c r="O45" s="52">
        <v>9.1</v>
      </c>
      <c r="P45" s="37"/>
      <c r="Q45" s="31">
        <v>90.0</v>
      </c>
      <c r="R45" s="37"/>
      <c r="S45" s="30">
        <v>9.0</v>
      </c>
      <c r="T45" s="31">
        <v>120.0</v>
      </c>
      <c r="U45" s="31" t="s">
        <v>176</v>
      </c>
      <c r="V45" s="37"/>
      <c r="W45" s="37"/>
      <c r="X45" s="37"/>
      <c r="Y45" s="31"/>
      <c r="Z45" s="32" t="str">
        <f t="shared" si="18"/>
        <v/>
      </c>
      <c r="AA45" s="37"/>
      <c r="AB45" s="37"/>
      <c r="AC45" s="33" t="str">
        <f t="shared" si="19"/>
        <v/>
      </c>
      <c r="AD45" s="31">
        <v>80.0</v>
      </c>
      <c r="AE45" s="31" t="s">
        <v>177</v>
      </c>
      <c r="AF45" s="44">
        <f t="shared" si="12"/>
        <v>36.42250101</v>
      </c>
      <c r="AG45" s="31" t="s">
        <v>183</v>
      </c>
      <c r="AH45" s="77" t="s">
        <v>393</v>
      </c>
      <c r="AI45" s="37"/>
      <c r="AJ45" s="38"/>
      <c r="AK45" s="74" t="b">
        <v>1</v>
      </c>
      <c r="AL45" s="71" t="s">
        <v>139</v>
      </c>
      <c r="AM45" s="71" t="s">
        <v>139</v>
      </c>
      <c r="AN45" s="71" t="s">
        <v>139</v>
      </c>
      <c r="AO45" s="83" t="s">
        <v>364</v>
      </c>
      <c r="AP45" s="83">
        <v>10.0</v>
      </c>
      <c r="AQ45" s="83">
        <v>12.4</v>
      </c>
      <c r="AR45" s="120">
        <f t="shared" si="20"/>
        <v>1.24</v>
      </c>
      <c r="AS45" s="120"/>
      <c r="AT45" s="120"/>
      <c r="AU45" s="120"/>
      <c r="AV45" s="120"/>
      <c r="AW45" s="120"/>
    </row>
    <row r="46">
      <c r="A46" s="54" t="s">
        <v>185</v>
      </c>
      <c r="B46" s="55" t="s">
        <v>41</v>
      </c>
      <c r="C46" s="17" t="s">
        <v>186</v>
      </c>
      <c r="D46" s="17" t="s">
        <v>62</v>
      </c>
      <c r="E46" s="11" t="s">
        <v>63</v>
      </c>
      <c r="F46" s="17" t="s">
        <v>187</v>
      </c>
      <c r="H46" s="17">
        <v>36.09</v>
      </c>
      <c r="I46" s="17">
        <v>94.19</v>
      </c>
      <c r="J46" s="17" t="s">
        <v>80</v>
      </c>
      <c r="K46" s="17" t="s">
        <v>81</v>
      </c>
      <c r="L46" s="69"/>
      <c r="M46" s="70">
        <f>72/108</f>
        <v>0.6666666667</v>
      </c>
      <c r="N46" s="17">
        <v>15.0</v>
      </c>
      <c r="O46" s="56">
        <v>9.1</v>
      </c>
      <c r="P46" s="41"/>
      <c r="Q46" s="17">
        <v>73.0</v>
      </c>
      <c r="R46" s="41"/>
      <c r="S46" s="16">
        <v>11.0</v>
      </c>
      <c r="T46" s="17">
        <v>91.0</v>
      </c>
      <c r="U46" s="17" t="s">
        <v>176</v>
      </c>
      <c r="V46" s="41"/>
      <c r="W46" s="41"/>
      <c r="X46" s="17">
        <v>81005.0</v>
      </c>
      <c r="Y46" s="41"/>
      <c r="Z46" s="18" t="str">
        <f t="shared" si="18"/>
        <v/>
      </c>
      <c r="AA46" s="41"/>
      <c r="AB46" s="41"/>
      <c r="AC46" s="19" t="str">
        <f t="shared" si="19"/>
        <v/>
      </c>
      <c r="AD46" s="17">
        <v>62.5</v>
      </c>
      <c r="AE46" s="17" t="s">
        <v>177</v>
      </c>
      <c r="AF46" s="46">
        <f t="shared" si="12"/>
        <v>29.54269527</v>
      </c>
      <c r="AG46" s="17" t="s">
        <v>188</v>
      </c>
      <c r="AH46" s="78" t="s">
        <v>394</v>
      </c>
      <c r="AI46" s="17"/>
      <c r="AJ46" s="57" t="s">
        <v>190</v>
      </c>
      <c r="AK46" s="74" t="b">
        <v>1</v>
      </c>
      <c r="AL46" s="74" t="b">
        <v>1</v>
      </c>
      <c r="AM46" s="74" t="b">
        <v>1</v>
      </c>
      <c r="AN46" s="74" t="b">
        <v>1</v>
      </c>
      <c r="AO46" s="83" t="s">
        <v>364</v>
      </c>
      <c r="AP46" s="83">
        <v>11.0</v>
      </c>
      <c r="AQ46" s="188">
        <f>((4.8 + (0.25*4.8))*73)/1000</f>
        <v>0.438</v>
      </c>
      <c r="AR46" s="120">
        <f t="shared" si="20"/>
        <v>0.03981818182</v>
      </c>
      <c r="AS46" s="190"/>
      <c r="AT46" s="191"/>
      <c r="AU46" s="191"/>
      <c r="AV46" s="191"/>
      <c r="AW46" s="120"/>
    </row>
    <row r="47">
      <c r="A47" s="50" t="s">
        <v>191</v>
      </c>
      <c r="B47" s="51" t="s">
        <v>41</v>
      </c>
      <c r="C47" s="31" t="s">
        <v>192</v>
      </c>
      <c r="D47" s="31" t="s">
        <v>62</v>
      </c>
      <c r="E47" s="25" t="s">
        <v>193</v>
      </c>
      <c r="F47" s="31" t="s">
        <v>194</v>
      </c>
      <c r="H47" s="31">
        <v>35.09</v>
      </c>
      <c r="I47" s="31">
        <v>93.97</v>
      </c>
      <c r="J47" s="31" t="s">
        <v>80</v>
      </c>
      <c r="K47" s="31" t="s">
        <v>81</v>
      </c>
      <c r="L47" s="72"/>
      <c r="M47" s="73"/>
      <c r="N47" s="31">
        <v>12.2</v>
      </c>
      <c r="O47" s="52">
        <v>7.6</v>
      </c>
      <c r="P47" s="37"/>
      <c r="Q47" s="25">
        <v>108.0</v>
      </c>
      <c r="R47" s="37"/>
      <c r="S47" s="30" t="s">
        <v>195</v>
      </c>
      <c r="T47" s="31">
        <v>72.0</v>
      </c>
      <c r="U47" s="31" t="s">
        <v>176</v>
      </c>
      <c r="V47" s="37"/>
      <c r="W47" s="37"/>
      <c r="X47" s="37"/>
      <c r="Y47" s="37"/>
      <c r="Z47" s="32" t="str">
        <f t="shared" si="18"/>
        <v/>
      </c>
      <c r="AA47" s="37"/>
      <c r="AB47" s="37"/>
      <c r="AC47" s="33" t="str">
        <f t="shared" si="19"/>
        <v/>
      </c>
      <c r="AD47" s="31">
        <v>57.5</v>
      </c>
      <c r="AE47" s="31" t="s">
        <v>177</v>
      </c>
      <c r="AF47" s="44">
        <f t="shared" si="12"/>
        <v>43.70700121</v>
      </c>
      <c r="AG47" s="31" t="s">
        <v>196</v>
      </c>
      <c r="AH47" s="77" t="s">
        <v>395</v>
      </c>
      <c r="AI47" s="37"/>
      <c r="AJ47" s="38"/>
      <c r="AK47" s="74" t="b">
        <v>1</v>
      </c>
      <c r="AL47" s="71" t="s">
        <v>139</v>
      </c>
      <c r="AM47" s="71" t="s">
        <v>139</v>
      </c>
      <c r="AN47" s="71" t="s">
        <v>139</v>
      </c>
      <c r="AO47" s="83" t="s">
        <v>364</v>
      </c>
      <c r="AP47" s="83">
        <v>8.9</v>
      </c>
      <c r="AQ47" s="83">
        <v>17.1</v>
      </c>
      <c r="AR47" s="120">
        <f t="shared" si="20"/>
        <v>1.921348315</v>
      </c>
      <c r="AS47" s="120"/>
      <c r="AT47" s="120"/>
      <c r="AU47" s="120"/>
      <c r="AV47" s="120"/>
      <c r="AW47" s="120"/>
    </row>
    <row r="48" hidden="1">
      <c r="A48" s="58" t="s">
        <v>198</v>
      </c>
      <c r="B48" s="59" t="s">
        <v>95</v>
      </c>
      <c r="C48" s="61" t="s">
        <v>199</v>
      </c>
      <c r="D48" s="61" t="s">
        <v>200</v>
      </c>
      <c r="E48" s="61" t="s">
        <v>201</v>
      </c>
      <c r="F48" s="60"/>
      <c r="G48" s="61" t="s">
        <v>202</v>
      </c>
      <c r="H48" s="60"/>
      <c r="I48" s="60"/>
      <c r="J48" s="61" t="s">
        <v>203</v>
      </c>
      <c r="K48" s="60"/>
      <c r="L48" s="75" t="s">
        <v>109</v>
      </c>
      <c r="M48" s="76" t="s">
        <v>109</v>
      </c>
      <c r="N48" s="61" t="s">
        <v>109</v>
      </c>
      <c r="O48" s="75" t="s">
        <v>109</v>
      </c>
      <c r="P48" s="61" t="s">
        <v>109</v>
      </c>
      <c r="Q48" s="61" t="s">
        <v>109</v>
      </c>
      <c r="R48" s="61" t="s">
        <v>109</v>
      </c>
      <c r="S48" s="65" t="s">
        <v>204</v>
      </c>
      <c r="T48" s="60"/>
      <c r="U48" s="60"/>
      <c r="V48" s="60"/>
      <c r="W48" s="60"/>
      <c r="X48" s="60"/>
      <c r="Y48" s="60"/>
      <c r="Z48" s="60"/>
      <c r="AA48" s="60"/>
      <c r="AB48" s="60"/>
      <c r="AC48" s="63"/>
      <c r="AD48" s="60"/>
      <c r="AE48" s="60"/>
      <c r="AF48" s="66" t="str">
        <f t="shared" si="12"/>
        <v/>
      </c>
      <c r="AG48" s="60"/>
      <c r="AH48" s="60"/>
      <c r="AI48" s="60"/>
      <c r="AJ48" s="67"/>
      <c r="AK48" s="79" t="b">
        <v>1</v>
      </c>
      <c r="AL48" s="68" t="s">
        <v>129</v>
      </c>
      <c r="AM48" s="68" t="s">
        <v>129</v>
      </c>
      <c r="AN48" s="68" t="s">
        <v>129</v>
      </c>
    </row>
    <row r="49">
      <c r="A49" s="50" t="s">
        <v>205</v>
      </c>
      <c r="B49" s="51" t="s">
        <v>61</v>
      </c>
      <c r="C49" s="37"/>
      <c r="D49" s="31" t="s">
        <v>206</v>
      </c>
      <c r="E49" s="31" t="s">
        <v>207</v>
      </c>
      <c r="F49" s="31" t="s">
        <v>208</v>
      </c>
      <c r="G49" s="31" t="s">
        <v>209</v>
      </c>
      <c r="H49" s="37"/>
      <c r="I49" s="37"/>
      <c r="J49" s="31" t="s">
        <v>210</v>
      </c>
      <c r="K49" s="31" t="s">
        <v>211</v>
      </c>
      <c r="L49" s="72">
        <f t="shared" ref="L49:L50" si="21">T49/Q49</f>
        <v>0.9830508475</v>
      </c>
      <c r="M49" s="73"/>
      <c r="N49" s="31">
        <v>13.0</v>
      </c>
      <c r="O49" s="52">
        <v>13.0</v>
      </c>
      <c r="P49" s="37"/>
      <c r="Q49" s="31">
        <v>59.0</v>
      </c>
      <c r="R49" s="37"/>
      <c r="S49" s="30">
        <v>27.0</v>
      </c>
      <c r="T49" s="31">
        <v>58.0</v>
      </c>
      <c r="U49" s="31" t="s">
        <v>212</v>
      </c>
      <c r="V49" s="37"/>
      <c r="W49" s="31" t="s">
        <v>213</v>
      </c>
      <c r="X49" s="25">
        <v>80811.0</v>
      </c>
      <c r="Y49" s="31">
        <v>9.08</v>
      </c>
      <c r="Z49" s="32">
        <f t="shared" ref="Z49:Z61" si="22">IF(ISNUMBER(Y49),tan(Y49*PI()/180)*100,"")</f>
        <v>15.98160474</v>
      </c>
      <c r="AA49" s="31">
        <v>208.7</v>
      </c>
      <c r="AB49" s="31">
        <v>528.2</v>
      </c>
      <c r="AC49" s="33">
        <f t="shared" ref="AC49:AC61" si="23">IF(ISNUMBER(AB49), CONVERT(AB49,"m","ft"),"")</f>
        <v>1732.939633</v>
      </c>
      <c r="AD49" s="25">
        <v>50.0</v>
      </c>
      <c r="AE49" s="31" t="s">
        <v>112</v>
      </c>
      <c r="AF49" s="44">
        <f t="shared" si="12"/>
        <v>23.87697289</v>
      </c>
      <c r="AG49" s="37"/>
      <c r="AH49" s="31" t="s">
        <v>214</v>
      </c>
      <c r="AI49" s="31" t="s">
        <v>215</v>
      </c>
      <c r="AJ49" s="53"/>
      <c r="AK49" s="80" t="b">
        <v>1</v>
      </c>
      <c r="AL49" s="80" t="b">
        <v>1</v>
      </c>
      <c r="AM49" s="80" t="b">
        <v>1</v>
      </c>
      <c r="AN49" s="80" t="b">
        <v>1</v>
      </c>
      <c r="AP49" s="83">
        <v>27.0</v>
      </c>
      <c r="AQ49" s="83">
        <v>10.2125</v>
      </c>
      <c r="AR49" s="120">
        <f t="shared" ref="AR49:AR50" si="24">AQ49/AP49</f>
        <v>0.3782407407</v>
      </c>
      <c r="AS49" s="192"/>
      <c r="AT49" s="192"/>
      <c r="AU49" s="192"/>
      <c r="AV49" s="192"/>
      <c r="AW49" s="192"/>
    </row>
    <row r="50">
      <c r="A50" s="54" t="s">
        <v>205</v>
      </c>
      <c r="B50" s="55" t="s">
        <v>61</v>
      </c>
      <c r="C50" s="41"/>
      <c r="D50" s="17" t="s">
        <v>206</v>
      </c>
      <c r="E50" s="17" t="s">
        <v>207</v>
      </c>
      <c r="F50" s="17" t="s">
        <v>208</v>
      </c>
      <c r="G50" s="17" t="s">
        <v>209</v>
      </c>
      <c r="H50" s="41"/>
      <c r="I50" s="41"/>
      <c r="J50" s="17" t="s">
        <v>80</v>
      </c>
      <c r="K50" s="17" t="s">
        <v>81</v>
      </c>
      <c r="L50" s="69">
        <f t="shared" si="21"/>
        <v>0.8474576271</v>
      </c>
      <c r="M50" s="70"/>
      <c r="N50" s="17">
        <v>13.0</v>
      </c>
      <c r="O50" s="56">
        <v>13.0</v>
      </c>
      <c r="P50" s="41"/>
      <c r="Q50" s="17">
        <v>59.0</v>
      </c>
      <c r="R50" s="41"/>
      <c r="S50" s="16">
        <v>27.0</v>
      </c>
      <c r="T50" s="17">
        <v>50.0</v>
      </c>
      <c r="U50" s="17" t="s">
        <v>216</v>
      </c>
      <c r="V50" s="17" t="s">
        <v>217</v>
      </c>
      <c r="W50" s="17" t="s">
        <v>213</v>
      </c>
      <c r="X50" s="11">
        <v>80811.0</v>
      </c>
      <c r="Y50" s="17">
        <v>9.08</v>
      </c>
      <c r="Z50" s="18">
        <f t="shared" si="22"/>
        <v>15.98160474</v>
      </c>
      <c r="AA50" s="17">
        <v>208.7</v>
      </c>
      <c r="AB50" s="17">
        <v>528.2</v>
      </c>
      <c r="AC50" s="19">
        <f t="shared" si="23"/>
        <v>1732.939633</v>
      </c>
      <c r="AD50" s="17">
        <v>50.0</v>
      </c>
      <c r="AE50" s="17" t="s">
        <v>112</v>
      </c>
      <c r="AF50" s="46">
        <f t="shared" si="12"/>
        <v>23.87697289</v>
      </c>
      <c r="AG50" s="41"/>
      <c r="AH50" s="17" t="s">
        <v>214</v>
      </c>
      <c r="AI50" s="17" t="s">
        <v>218</v>
      </c>
      <c r="AJ50" s="57"/>
      <c r="AK50" s="80" t="b">
        <v>1</v>
      </c>
      <c r="AL50" s="80" t="b">
        <v>1</v>
      </c>
      <c r="AM50" s="80" t="b">
        <v>1</v>
      </c>
      <c r="AN50" s="80" t="b">
        <v>1</v>
      </c>
      <c r="AP50" s="83">
        <v>27.0</v>
      </c>
      <c r="AQ50" s="83">
        <v>17.1625</v>
      </c>
      <c r="AR50" s="120">
        <f t="shared" si="24"/>
        <v>0.6356481481</v>
      </c>
      <c r="AS50" s="192"/>
      <c r="AT50" s="192"/>
      <c r="AU50" s="192"/>
      <c r="AV50" s="192"/>
      <c r="AW50" s="192"/>
    </row>
    <row r="51" hidden="1">
      <c r="A51" s="50" t="s">
        <v>219</v>
      </c>
      <c r="B51" s="131"/>
      <c r="C51" s="37"/>
      <c r="D51" s="31"/>
      <c r="E51" s="31"/>
      <c r="F51" s="31"/>
      <c r="G51" s="31" t="s">
        <v>220</v>
      </c>
      <c r="H51" s="37"/>
      <c r="I51" s="37"/>
      <c r="J51" s="31"/>
      <c r="K51" s="31"/>
      <c r="L51" s="72"/>
      <c r="M51" s="73"/>
      <c r="N51" s="31"/>
      <c r="O51" s="52"/>
      <c r="P51" s="31"/>
      <c r="Q51" s="37"/>
      <c r="R51" s="37"/>
      <c r="S51" s="82"/>
      <c r="T51" s="31"/>
      <c r="U51" s="31"/>
      <c r="V51" s="37"/>
      <c r="W51" s="37"/>
      <c r="X51" s="31">
        <v>80814.0</v>
      </c>
      <c r="Y51" s="31">
        <v>5.59</v>
      </c>
      <c r="Z51" s="32">
        <f t="shared" si="22"/>
        <v>9.787464942</v>
      </c>
      <c r="AA51" s="31">
        <v>141.4</v>
      </c>
      <c r="AB51" s="31">
        <v>517.4</v>
      </c>
      <c r="AC51" s="33">
        <f t="shared" si="23"/>
        <v>1697.506562</v>
      </c>
      <c r="AD51" s="31">
        <v>75.0</v>
      </c>
      <c r="AE51" s="31" t="s">
        <v>112</v>
      </c>
      <c r="AF51" s="44" t="str">
        <f t="shared" si="12"/>
        <v/>
      </c>
      <c r="AG51" s="37"/>
      <c r="AH51" s="37"/>
      <c r="AI51" s="31" t="s">
        <v>163</v>
      </c>
      <c r="AJ51" s="53"/>
      <c r="AK51" s="68" t="s">
        <v>129</v>
      </c>
      <c r="AL51" s="68" t="s">
        <v>129</v>
      </c>
      <c r="AM51" s="68" t="s">
        <v>129</v>
      </c>
      <c r="AN51" s="68" t="s">
        <v>129</v>
      </c>
    </row>
    <row r="52">
      <c r="A52" s="54" t="s">
        <v>221</v>
      </c>
      <c r="B52" s="55" t="s">
        <v>61</v>
      </c>
      <c r="C52" s="41"/>
      <c r="D52" s="17" t="s">
        <v>222</v>
      </c>
      <c r="E52" s="17" t="s">
        <v>223</v>
      </c>
      <c r="F52" s="17" t="s">
        <v>224</v>
      </c>
      <c r="G52" s="17" t="s">
        <v>225</v>
      </c>
      <c r="H52" s="41"/>
      <c r="I52" s="41"/>
      <c r="J52" s="17" t="s">
        <v>226</v>
      </c>
      <c r="K52" s="17" t="s">
        <v>227</v>
      </c>
      <c r="L52" s="69"/>
      <c r="M52" s="70"/>
      <c r="N52" s="17"/>
      <c r="O52" s="56"/>
      <c r="P52" s="17">
        <v>642.0</v>
      </c>
      <c r="Q52" s="41"/>
      <c r="R52" s="41"/>
      <c r="S52" s="16">
        <v>33.0</v>
      </c>
      <c r="T52" s="17" t="s">
        <v>228</v>
      </c>
      <c r="U52" s="17" t="s">
        <v>229</v>
      </c>
      <c r="V52" s="41"/>
      <c r="W52" s="41"/>
      <c r="X52" s="17">
        <v>930.0</v>
      </c>
      <c r="Y52" s="17">
        <v>4.88</v>
      </c>
      <c r="Z52" s="18">
        <f t="shared" si="22"/>
        <v>8.537862092</v>
      </c>
      <c r="AA52" s="17">
        <v>89.9</v>
      </c>
      <c r="AB52" s="17">
        <v>349.4</v>
      </c>
      <c r="AC52" s="19">
        <f t="shared" si="23"/>
        <v>1146.325459</v>
      </c>
      <c r="AD52" s="11">
        <v>70.0</v>
      </c>
      <c r="AE52" s="17" t="s">
        <v>230</v>
      </c>
      <c r="AF52" s="46">
        <f t="shared" si="12"/>
        <v>259.8138406</v>
      </c>
      <c r="AG52" s="17" t="s">
        <v>162</v>
      </c>
      <c r="AH52" s="41"/>
      <c r="AI52" s="17" t="s">
        <v>163</v>
      </c>
      <c r="AJ52" s="57"/>
      <c r="AK52" s="80" t="b">
        <v>0</v>
      </c>
      <c r="AL52" s="80" t="b">
        <v>1</v>
      </c>
      <c r="AM52" s="80" t="b">
        <v>1</v>
      </c>
      <c r="AN52" s="80" t="b">
        <v>1</v>
      </c>
      <c r="AO52" s="83" t="s">
        <v>370</v>
      </c>
      <c r="AP52" s="83">
        <v>33.0</v>
      </c>
      <c r="AQ52" s="83">
        <f> 52.81 + (52.81*0.25)</f>
        <v>66.0125</v>
      </c>
      <c r="AR52" s="120">
        <f t="shared" ref="AR52:AR53" si="25">AQ52/AP52</f>
        <v>2.000378788</v>
      </c>
      <c r="AS52" s="120">
        <v>82.61744749497547</v>
      </c>
      <c r="AT52" s="120">
        <v>41.747124497432</v>
      </c>
      <c r="AU52" s="120">
        <v>39.8500344304</v>
      </c>
      <c r="AV52" s="120">
        <v>9.455839096420892</v>
      </c>
      <c r="AW52" s="120"/>
    </row>
    <row r="53">
      <c r="A53" s="50" t="s">
        <v>231</v>
      </c>
      <c r="B53" s="51" t="s">
        <v>61</v>
      </c>
      <c r="C53" s="37"/>
      <c r="D53" s="31" t="s">
        <v>222</v>
      </c>
      <c r="E53" s="31" t="s">
        <v>223</v>
      </c>
      <c r="F53" s="31" t="s">
        <v>224</v>
      </c>
      <c r="G53" s="31" t="s">
        <v>225</v>
      </c>
      <c r="H53" s="37"/>
      <c r="I53" s="37"/>
      <c r="J53" s="31" t="s">
        <v>232</v>
      </c>
      <c r="K53" s="31" t="s">
        <v>233</v>
      </c>
      <c r="L53" s="72"/>
      <c r="M53" s="73"/>
      <c r="N53" s="31"/>
      <c r="O53" s="52"/>
      <c r="P53" s="31">
        <v>280.0</v>
      </c>
      <c r="Q53" s="37"/>
      <c r="R53" s="37"/>
      <c r="S53" s="30">
        <v>33.0</v>
      </c>
      <c r="T53" s="31" t="s">
        <v>234</v>
      </c>
      <c r="U53" s="31" t="s">
        <v>235</v>
      </c>
      <c r="V53" s="31"/>
      <c r="W53" s="37"/>
      <c r="X53" s="31">
        <v>930.0</v>
      </c>
      <c r="Y53" s="31">
        <v>4.88</v>
      </c>
      <c r="Z53" s="32">
        <f t="shared" si="22"/>
        <v>8.537862092</v>
      </c>
      <c r="AA53" s="31">
        <v>89.9</v>
      </c>
      <c r="AB53" s="31">
        <v>349.4</v>
      </c>
      <c r="AC53" s="33">
        <f t="shared" si="23"/>
        <v>1146.325459</v>
      </c>
      <c r="AD53" s="25">
        <v>70.0</v>
      </c>
      <c r="AE53" s="31" t="s">
        <v>230</v>
      </c>
      <c r="AF53" s="44">
        <f t="shared" si="12"/>
        <v>113.3144476</v>
      </c>
      <c r="AG53" s="31" t="s">
        <v>162</v>
      </c>
      <c r="AH53" s="37"/>
      <c r="AI53" s="31" t="s">
        <v>163</v>
      </c>
      <c r="AJ53" s="53"/>
      <c r="AK53" s="80" t="b">
        <v>1</v>
      </c>
      <c r="AL53" s="80" t="b">
        <v>1</v>
      </c>
      <c r="AM53" s="80" t="b">
        <v>1</v>
      </c>
      <c r="AN53" s="80" t="b">
        <v>1</v>
      </c>
      <c r="AO53" s="83" t="s">
        <v>370</v>
      </c>
      <c r="AP53" s="83">
        <v>33.0</v>
      </c>
      <c r="AQ53" s="83">
        <f>29.04 + (29.04*0.25)</f>
        <v>36.3</v>
      </c>
      <c r="AR53" s="120">
        <f t="shared" si="25"/>
        <v>1.1</v>
      </c>
      <c r="AS53" s="120">
        <v>32.59733174978482</v>
      </c>
      <c r="AT53" s="120">
        <v>19.03757595718504</v>
      </c>
      <c r="AU53" s="120">
        <v>17.250014904</v>
      </c>
      <c r="AV53" s="120">
        <v>4.020808070045041</v>
      </c>
      <c r="AW53" s="120"/>
    </row>
    <row r="54" hidden="1">
      <c r="A54" s="54" t="s">
        <v>236</v>
      </c>
      <c r="B54" s="55" t="s">
        <v>61</v>
      </c>
      <c r="C54" s="17" t="s">
        <v>237</v>
      </c>
      <c r="D54" s="17" t="s">
        <v>238</v>
      </c>
      <c r="E54" s="17" t="s">
        <v>239</v>
      </c>
      <c r="F54" s="41"/>
      <c r="G54" s="41"/>
      <c r="H54" s="41"/>
      <c r="I54" s="41"/>
      <c r="J54" s="17" t="s">
        <v>240</v>
      </c>
      <c r="K54" s="41"/>
      <c r="L54" s="69"/>
      <c r="M54" s="70"/>
      <c r="N54" s="17"/>
      <c r="O54" s="56"/>
      <c r="P54" s="17">
        <v>148.0</v>
      </c>
      <c r="Q54" s="41"/>
      <c r="R54" s="41"/>
      <c r="S54" s="48">
        <v>18.0</v>
      </c>
      <c r="T54" s="41"/>
      <c r="U54" s="41"/>
      <c r="V54" s="41"/>
      <c r="W54" s="41"/>
      <c r="X54" s="41"/>
      <c r="Y54" s="41"/>
      <c r="Z54" s="18" t="str">
        <f t="shared" si="22"/>
        <v/>
      </c>
      <c r="AA54" s="41"/>
      <c r="AB54" s="41"/>
      <c r="AC54" s="19" t="str">
        <f t="shared" si="23"/>
        <v/>
      </c>
      <c r="AD54" s="41"/>
      <c r="AE54" s="41"/>
      <c r="AF54" s="46">
        <f t="shared" si="12"/>
        <v>59.89477944</v>
      </c>
      <c r="AG54" s="17" t="s">
        <v>162</v>
      </c>
      <c r="AH54" s="41"/>
      <c r="AI54" s="17" t="s">
        <v>163</v>
      </c>
      <c r="AJ54" s="57"/>
      <c r="AK54" s="80" t="b">
        <v>0</v>
      </c>
      <c r="AL54" s="71" t="s">
        <v>241</v>
      </c>
      <c r="AM54" s="71" t="s">
        <v>241</v>
      </c>
      <c r="AN54" s="71" t="s">
        <v>241</v>
      </c>
      <c r="AO54" s="83"/>
      <c r="AP54" s="83"/>
    </row>
    <row r="55" hidden="1">
      <c r="A55" s="50" t="s">
        <v>242</v>
      </c>
      <c r="B55" s="51" t="s">
        <v>61</v>
      </c>
      <c r="C55" s="37"/>
      <c r="D55" s="31" t="s">
        <v>222</v>
      </c>
      <c r="E55" s="31" t="s">
        <v>243</v>
      </c>
      <c r="F55" s="37"/>
      <c r="G55" s="37"/>
      <c r="H55" s="37"/>
      <c r="I55" s="37"/>
      <c r="J55" s="31" t="s">
        <v>244</v>
      </c>
      <c r="K55" s="31" t="s">
        <v>245</v>
      </c>
      <c r="L55" s="72"/>
      <c r="M55" s="73"/>
      <c r="N55" s="31"/>
      <c r="O55" s="52"/>
      <c r="P55" s="31">
        <v>115.0</v>
      </c>
      <c r="Q55" s="37"/>
      <c r="R55" s="37"/>
      <c r="S55" s="82">
        <v>41.0</v>
      </c>
      <c r="T55" s="37"/>
      <c r="U55" s="37"/>
      <c r="V55" s="37"/>
      <c r="W55" s="37"/>
      <c r="X55" s="37"/>
      <c r="Y55" s="37"/>
      <c r="Z55" s="32" t="str">
        <f t="shared" si="22"/>
        <v/>
      </c>
      <c r="AA55" s="37"/>
      <c r="AB55" s="37"/>
      <c r="AC55" s="33" t="str">
        <f t="shared" si="23"/>
        <v/>
      </c>
      <c r="AD55" s="37"/>
      <c r="AE55" s="37"/>
      <c r="AF55" s="44">
        <f t="shared" si="12"/>
        <v>46.5398624</v>
      </c>
      <c r="AG55" s="31" t="s">
        <v>162</v>
      </c>
      <c r="AH55" s="37"/>
      <c r="AI55" s="31" t="s">
        <v>163</v>
      </c>
      <c r="AJ55" s="53"/>
      <c r="AK55" s="80" t="b">
        <v>0</v>
      </c>
      <c r="AL55" s="71" t="s">
        <v>241</v>
      </c>
      <c r="AM55" s="71" t="s">
        <v>241</v>
      </c>
      <c r="AN55" s="71" t="s">
        <v>241</v>
      </c>
    </row>
    <row r="56" hidden="1">
      <c r="A56" s="54" t="s">
        <v>246</v>
      </c>
      <c r="B56" s="55" t="s">
        <v>61</v>
      </c>
      <c r="C56" s="41"/>
      <c r="D56" s="17" t="s">
        <v>222</v>
      </c>
      <c r="E56" s="17" t="s">
        <v>247</v>
      </c>
      <c r="F56" s="41"/>
      <c r="G56" s="41"/>
      <c r="H56" s="41"/>
      <c r="I56" s="41"/>
      <c r="J56" s="17" t="s">
        <v>248</v>
      </c>
      <c r="K56" s="17" t="s">
        <v>81</v>
      </c>
      <c r="L56" s="69"/>
      <c r="M56" s="70"/>
      <c r="N56" s="17"/>
      <c r="O56" s="56"/>
      <c r="P56" s="17">
        <v>939.0</v>
      </c>
      <c r="Q56" s="41"/>
      <c r="R56" s="41"/>
      <c r="S56" s="48">
        <v>21.0</v>
      </c>
      <c r="T56" s="17" t="s">
        <v>249</v>
      </c>
      <c r="U56" s="17" t="s">
        <v>212</v>
      </c>
      <c r="V56" s="41"/>
      <c r="W56" s="41"/>
      <c r="X56" s="41"/>
      <c r="Y56" s="41"/>
      <c r="Z56" s="18" t="str">
        <f t="shared" si="22"/>
        <v/>
      </c>
      <c r="AA56" s="41"/>
      <c r="AB56" s="41"/>
      <c r="AC56" s="19" t="str">
        <f t="shared" si="23"/>
        <v/>
      </c>
      <c r="AD56" s="41"/>
      <c r="AE56" s="41"/>
      <c r="AF56" s="46">
        <f t="shared" si="12"/>
        <v>380.0080939</v>
      </c>
      <c r="AG56" s="17" t="s">
        <v>162</v>
      </c>
      <c r="AH56" s="41"/>
      <c r="AI56" s="17" t="s">
        <v>163</v>
      </c>
      <c r="AJ56" s="57"/>
      <c r="AK56" s="80" t="b">
        <v>0</v>
      </c>
      <c r="AL56" s="71" t="s">
        <v>241</v>
      </c>
      <c r="AM56" s="71" t="s">
        <v>241</v>
      </c>
      <c r="AN56" s="71" t="s">
        <v>241</v>
      </c>
    </row>
    <row r="57">
      <c r="A57" s="50" t="s">
        <v>250</v>
      </c>
      <c r="B57" s="51" t="s">
        <v>61</v>
      </c>
      <c r="C57" s="37"/>
      <c r="D57" s="31" t="s">
        <v>251</v>
      </c>
      <c r="E57" s="31" t="s">
        <v>252</v>
      </c>
      <c r="F57" s="31" t="s">
        <v>253</v>
      </c>
      <c r="G57" s="31" t="s">
        <v>254</v>
      </c>
      <c r="H57" s="31" t="s">
        <v>255</v>
      </c>
      <c r="I57" s="31" t="s">
        <v>256</v>
      </c>
      <c r="J57" s="31" t="s">
        <v>257</v>
      </c>
      <c r="K57" s="31" t="s">
        <v>258</v>
      </c>
      <c r="L57" s="32">
        <v>12.0</v>
      </c>
      <c r="M57" s="73"/>
      <c r="N57" s="31">
        <v>2.4</v>
      </c>
      <c r="O57" s="52">
        <v>1.2</v>
      </c>
      <c r="P57" s="37"/>
      <c r="Q57" s="37">
        <f>14490/13</f>
        <v>1114.615385</v>
      </c>
      <c r="R57" s="37"/>
      <c r="S57" s="30">
        <v>22.0</v>
      </c>
      <c r="T57" s="31" t="s">
        <v>259</v>
      </c>
      <c r="U57" s="31" t="s">
        <v>260</v>
      </c>
      <c r="V57" s="37"/>
      <c r="W57" s="31" t="s">
        <v>213</v>
      </c>
      <c r="X57" s="31">
        <v>80505.0</v>
      </c>
      <c r="Y57" s="31">
        <v>0.21</v>
      </c>
      <c r="Z57" s="32">
        <f t="shared" si="22"/>
        <v>0.3665207842</v>
      </c>
      <c r="AA57" s="31">
        <v>62.3</v>
      </c>
      <c r="AB57" s="31">
        <v>26.2</v>
      </c>
      <c r="AC57" s="33">
        <f t="shared" si="23"/>
        <v>85.95800525</v>
      </c>
      <c r="AD57" s="31" t="s">
        <v>161</v>
      </c>
      <c r="AE57" s="31" t="s">
        <v>161</v>
      </c>
      <c r="AF57" s="44">
        <f t="shared" si="12"/>
        <v>451.0786664</v>
      </c>
      <c r="AG57" s="31" t="s">
        <v>162</v>
      </c>
      <c r="AH57" s="37"/>
      <c r="AI57" s="31" t="s">
        <v>163</v>
      </c>
      <c r="AJ57" s="53" t="s">
        <v>261</v>
      </c>
      <c r="AK57" s="80" t="b">
        <v>1</v>
      </c>
      <c r="AL57" s="80" t="b">
        <v>1</v>
      </c>
      <c r="AM57" s="80" t="b">
        <v>1</v>
      </c>
      <c r="AN57" s="80" t="b">
        <v>1</v>
      </c>
      <c r="AO57" s="83" t="s">
        <v>370</v>
      </c>
      <c r="AP57" s="83">
        <v>22.0</v>
      </c>
      <c r="AQ57" s="83">
        <f>59 + (0.25*59)</f>
        <v>73.75</v>
      </c>
      <c r="AR57" s="120">
        <f>AQ57/AP57</f>
        <v>3.352272727</v>
      </c>
      <c r="AS57" s="120">
        <v>142.07180501660264</v>
      </c>
      <c r="AT57" s="120">
        <v>38.06641913659625</v>
      </c>
      <c r="AU57" s="120">
        <v>251.0126164697132</v>
      </c>
      <c r="AV57" s="120">
        <v>52.06747926299296</v>
      </c>
      <c r="AW57" s="120"/>
    </row>
    <row r="58">
      <c r="A58" s="54" t="s">
        <v>262</v>
      </c>
      <c r="B58" s="55" t="s">
        <v>126</v>
      </c>
      <c r="C58" s="17" t="s">
        <v>263</v>
      </c>
      <c r="D58" s="17" t="s">
        <v>170</v>
      </c>
      <c r="E58" s="17" t="s">
        <v>264</v>
      </c>
      <c r="F58" s="17" t="s">
        <v>265</v>
      </c>
      <c r="G58" s="17" t="s">
        <v>266</v>
      </c>
      <c r="H58" s="17" t="s">
        <v>267</v>
      </c>
      <c r="I58" s="17" t="s">
        <v>268</v>
      </c>
      <c r="J58" s="17" t="s">
        <v>127</v>
      </c>
      <c r="K58" s="17" t="s">
        <v>128</v>
      </c>
      <c r="L58" s="56" t="s">
        <v>269</v>
      </c>
      <c r="M58" s="70"/>
      <c r="N58" s="17">
        <v>4.0</v>
      </c>
      <c r="O58" s="56">
        <v>2.0</v>
      </c>
      <c r="P58" s="41"/>
      <c r="Q58" s="17" t="s">
        <v>270</v>
      </c>
      <c r="R58" s="41"/>
      <c r="S58" s="16">
        <v>48.0</v>
      </c>
      <c r="T58" s="17">
        <v>656.0</v>
      </c>
      <c r="U58" s="17" t="s">
        <v>271</v>
      </c>
      <c r="V58" s="41"/>
      <c r="W58" s="17" t="s">
        <v>272</v>
      </c>
      <c r="X58" s="17">
        <v>905.0</v>
      </c>
      <c r="Y58" s="17">
        <v>1.01</v>
      </c>
      <c r="Z58" s="18">
        <f t="shared" si="22"/>
        <v>1.762965156</v>
      </c>
      <c r="AA58" s="17">
        <v>234.1</v>
      </c>
      <c r="AB58" s="17">
        <v>354.6</v>
      </c>
      <c r="AC58" s="19">
        <f t="shared" si="23"/>
        <v>1163.385827</v>
      </c>
      <c r="AD58" s="17" t="s">
        <v>161</v>
      </c>
      <c r="AE58" s="17" t="s">
        <v>161</v>
      </c>
      <c r="AF58" s="46">
        <f>500/2.471</f>
        <v>202.3472278</v>
      </c>
      <c r="AG58" s="17" t="s">
        <v>162</v>
      </c>
      <c r="AH58" s="17" t="s">
        <v>273</v>
      </c>
      <c r="AI58" s="11" t="s">
        <v>163</v>
      </c>
      <c r="AJ58" s="85"/>
      <c r="AK58" s="80" t="b">
        <v>1</v>
      </c>
      <c r="AL58" s="80" t="b">
        <v>1</v>
      </c>
      <c r="AM58" s="80" t="b">
        <v>1</v>
      </c>
      <c r="AN58" s="80" t="b">
        <v>1</v>
      </c>
    </row>
    <row r="59">
      <c r="A59" s="50" t="s">
        <v>262</v>
      </c>
      <c r="B59" s="51" t="s">
        <v>126</v>
      </c>
      <c r="C59" s="31" t="s">
        <v>263</v>
      </c>
      <c r="D59" s="31" t="s">
        <v>170</v>
      </c>
      <c r="E59" s="31" t="s">
        <v>264</v>
      </c>
      <c r="F59" s="31" t="s">
        <v>265</v>
      </c>
      <c r="G59" s="31" t="s">
        <v>266</v>
      </c>
      <c r="H59" s="31" t="s">
        <v>267</v>
      </c>
      <c r="I59" s="31" t="s">
        <v>268</v>
      </c>
      <c r="J59" s="31" t="s">
        <v>274</v>
      </c>
      <c r="K59" s="31" t="s">
        <v>275</v>
      </c>
      <c r="L59" s="52" t="s">
        <v>269</v>
      </c>
      <c r="M59" s="73"/>
      <c r="N59" s="31">
        <v>4.0</v>
      </c>
      <c r="O59" s="52">
        <v>2.0</v>
      </c>
      <c r="P59" s="37"/>
      <c r="Q59" s="31">
        <v>250.0</v>
      </c>
      <c r="R59" s="37"/>
      <c r="S59" s="30">
        <v>48.0</v>
      </c>
      <c r="T59" s="31">
        <v>328.0</v>
      </c>
      <c r="U59" s="31" t="s">
        <v>235</v>
      </c>
      <c r="V59" s="37"/>
      <c r="W59" s="37"/>
      <c r="X59" s="31">
        <v>905.0</v>
      </c>
      <c r="Y59" s="31">
        <v>1.01</v>
      </c>
      <c r="Z59" s="32">
        <f t="shared" si="22"/>
        <v>1.762965156</v>
      </c>
      <c r="AA59" s="31">
        <v>234.1</v>
      </c>
      <c r="AB59" s="31">
        <v>354.6</v>
      </c>
      <c r="AC59" s="33">
        <f t="shared" si="23"/>
        <v>1163.385827</v>
      </c>
      <c r="AD59" s="31" t="s">
        <v>161</v>
      </c>
      <c r="AE59" s="31" t="s">
        <v>161</v>
      </c>
      <c r="AF59" s="44">
        <f t="shared" ref="AF59:AF61" si="26">IF(ISNUMBER(P59),P59/2.471,IF(ISNUMBER(Q59),Q59/2.471,""))</f>
        <v>101.1736139</v>
      </c>
      <c r="AG59" s="31" t="s">
        <v>162</v>
      </c>
      <c r="AH59" s="31" t="s">
        <v>276</v>
      </c>
      <c r="AI59" s="25" t="s">
        <v>163</v>
      </c>
      <c r="AJ59" s="84"/>
      <c r="AK59" s="80" t="b">
        <v>1</v>
      </c>
      <c r="AL59" s="80" t="b">
        <v>1</v>
      </c>
      <c r="AM59" s="80" t="b">
        <v>1</v>
      </c>
      <c r="AN59" s="80" t="b">
        <v>1</v>
      </c>
    </row>
    <row r="60">
      <c r="A60" s="54" t="s">
        <v>262</v>
      </c>
      <c r="B60" s="55" t="s">
        <v>126</v>
      </c>
      <c r="C60" s="17" t="s">
        <v>263</v>
      </c>
      <c r="D60" s="17" t="s">
        <v>170</v>
      </c>
      <c r="E60" s="17" t="s">
        <v>264</v>
      </c>
      <c r="F60" s="17" t="s">
        <v>265</v>
      </c>
      <c r="G60" s="17" t="s">
        <v>266</v>
      </c>
      <c r="H60" s="17" t="s">
        <v>267</v>
      </c>
      <c r="I60" s="17" t="s">
        <v>268</v>
      </c>
      <c r="J60" s="17" t="s">
        <v>277</v>
      </c>
      <c r="K60" s="17" t="s">
        <v>278</v>
      </c>
      <c r="L60" s="56" t="s">
        <v>269</v>
      </c>
      <c r="M60" s="19"/>
      <c r="N60" s="17">
        <v>4.0</v>
      </c>
      <c r="O60" s="56">
        <v>2.0</v>
      </c>
      <c r="P60" s="41"/>
      <c r="Q60" s="17">
        <v>250.0</v>
      </c>
      <c r="R60" s="41"/>
      <c r="S60" s="16">
        <v>48.0</v>
      </c>
      <c r="T60" s="17">
        <v>328.0</v>
      </c>
      <c r="U60" s="11" t="s">
        <v>279</v>
      </c>
      <c r="V60" s="41"/>
      <c r="W60" s="41"/>
      <c r="X60" s="17">
        <v>905.0</v>
      </c>
      <c r="Y60" s="17">
        <v>1.01</v>
      </c>
      <c r="Z60" s="18">
        <f t="shared" si="22"/>
        <v>1.762965156</v>
      </c>
      <c r="AA60" s="17">
        <v>234.1</v>
      </c>
      <c r="AB60" s="17">
        <v>354.6</v>
      </c>
      <c r="AC60" s="19">
        <f t="shared" si="23"/>
        <v>1163.385827</v>
      </c>
      <c r="AD60" s="17" t="s">
        <v>161</v>
      </c>
      <c r="AE60" s="17" t="s">
        <v>161</v>
      </c>
      <c r="AF60" s="46">
        <f t="shared" si="26"/>
        <v>101.1736139</v>
      </c>
      <c r="AG60" s="17" t="s">
        <v>162</v>
      </c>
      <c r="AH60" s="41"/>
      <c r="AI60" s="11" t="s">
        <v>163</v>
      </c>
      <c r="AJ60" s="85"/>
      <c r="AK60" s="80" t="b">
        <v>1</v>
      </c>
      <c r="AL60" s="80" t="b">
        <v>1</v>
      </c>
      <c r="AM60" s="80" t="b">
        <v>1</v>
      </c>
      <c r="AN60" s="80" t="b">
        <v>1</v>
      </c>
    </row>
    <row r="61">
      <c r="A61" s="86"/>
      <c r="B61" s="193"/>
      <c r="C61" s="88"/>
      <c r="D61" s="88"/>
      <c r="E61" s="88"/>
      <c r="F61" s="88"/>
      <c r="G61" s="88"/>
      <c r="H61" s="88"/>
      <c r="I61" s="88"/>
      <c r="J61" s="88"/>
      <c r="K61" s="88"/>
      <c r="L61" s="94"/>
      <c r="M61" s="90"/>
      <c r="N61" s="88"/>
      <c r="O61" s="89"/>
      <c r="P61" s="91"/>
      <c r="Q61" s="88"/>
      <c r="R61" s="91"/>
      <c r="S61" s="194"/>
      <c r="T61" s="88"/>
      <c r="U61" s="88"/>
      <c r="V61" s="91"/>
      <c r="W61" s="91"/>
      <c r="X61" s="88"/>
      <c r="Y61" s="88"/>
      <c r="Z61" s="94" t="str">
        <f t="shared" si="22"/>
        <v/>
      </c>
      <c r="AA61" s="88"/>
      <c r="AB61" s="88"/>
      <c r="AC61" s="90" t="str">
        <f t="shared" si="23"/>
        <v/>
      </c>
      <c r="AD61" s="88"/>
      <c r="AE61" s="88"/>
      <c r="AF61" s="95" t="str">
        <f t="shared" si="26"/>
        <v/>
      </c>
      <c r="AG61" s="88"/>
      <c r="AH61" s="91"/>
      <c r="AI61" s="88"/>
      <c r="AJ61" s="133"/>
      <c r="AN61" s="83" t="s">
        <v>371</v>
      </c>
      <c r="AO61" s="83" t="s">
        <v>372</v>
      </c>
      <c r="AP61" s="83">
        <v>48.0</v>
      </c>
      <c r="AQ61" s="97">
        <f>(23.554*0.5)*12.5</f>
        <v>147.2125</v>
      </c>
      <c r="AR61" s="120">
        <f>AQ61/AP61</f>
        <v>3.066927083</v>
      </c>
      <c r="AS61" s="22">
        <v>189.00916857076098</v>
      </c>
      <c r="AT61" s="22">
        <v>121.86314270139945</v>
      </c>
      <c r="AU61" s="120">
        <v>76.10524648987617</v>
      </c>
      <c r="AV61" s="120">
        <v>21.924028337210054</v>
      </c>
      <c r="AW61" s="120"/>
    </row>
    <row r="62">
      <c r="B62" s="83" t="s">
        <v>280</v>
      </c>
      <c r="R62" s="99"/>
      <c r="S62" s="80"/>
      <c r="T62" s="99"/>
      <c r="U62" s="99"/>
      <c r="V62" s="99"/>
      <c r="W62" s="99"/>
      <c r="X62" s="99"/>
      <c r="Y62" s="99"/>
      <c r="Z62" s="99"/>
      <c r="AA62" s="99"/>
      <c r="AC62" s="97"/>
      <c r="AF62" s="98"/>
      <c r="AO62" s="83" t="s">
        <v>373</v>
      </c>
    </row>
    <row r="63">
      <c r="AC63" s="97"/>
      <c r="AF63" s="98"/>
      <c r="AO63" s="83" t="s">
        <v>374</v>
      </c>
    </row>
    <row r="64">
      <c r="AC64" s="97"/>
      <c r="AF64" s="98"/>
      <c r="AO64" s="83" t="s">
        <v>375</v>
      </c>
    </row>
    <row r="65">
      <c r="S65" s="80"/>
      <c r="AC65" s="97"/>
      <c r="AF65" s="98"/>
      <c r="AO65" s="74">
        <f>((100/2)*2)*12.5</f>
        <v>1250</v>
      </c>
    </row>
    <row r="66">
      <c r="S66" s="80"/>
      <c r="AC66" s="97"/>
      <c r="AF66" s="98"/>
    </row>
    <row r="67">
      <c r="S67" s="80"/>
      <c r="AC67" s="97"/>
      <c r="AF67" s="98"/>
    </row>
    <row r="68">
      <c r="S68" s="80"/>
      <c r="AC68" s="97"/>
      <c r="AF68" s="98"/>
    </row>
    <row r="69">
      <c r="S69" s="80"/>
      <c r="AC69" s="97"/>
      <c r="AF69"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80"/>
      <c r="AC90" s="97"/>
      <c r="AF90" s="98"/>
    </row>
    <row r="91">
      <c r="S91" s="100"/>
      <c r="AC91" s="97"/>
      <c r="AF91" s="98"/>
    </row>
    <row r="92">
      <c r="S92" s="80"/>
      <c r="AC92" s="97"/>
      <c r="AF92" s="98"/>
    </row>
    <row r="93">
      <c r="S93" s="101"/>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row r="994">
      <c r="AC994" s="97"/>
      <c r="AF994" s="98"/>
    </row>
  </sheetData>
  <conditionalFormatting sqref="AR1:AR48 AR51:AR994">
    <cfRule type="colorScale" priority="1">
      <colorScale>
        <cfvo type="min"/>
        <cfvo type="max"/>
        <color rgb="FFFFFFFF"/>
        <color rgb="FF57BB8A"/>
      </colorScale>
    </cfRule>
  </conditionalFormatting>
  <dataValidations>
    <dataValidation type="custom" allowBlank="1" showDropDown="1" sqref="S2:S61">
      <formula1>OR(NOT(ISERROR(DATEVALUE(S2))), AND(ISNUMBER(S2), LEFT(CELL("format", S2))="D"))</formula1>
    </dataValidation>
    <dataValidation type="list" allowBlank="1" sqref="B2:B61">
      <formula1>"Alley Cropping,Silvopasture,Riparian Buffer,Windbreaks"</formula1>
    </dataValidation>
    <dataValidation type="custom" allowBlank="1" showDropDown="1" sqref="L2:M61 O2:O61 AC2:AC61 AF2:AF61">
      <formula1>AND(ISNUMBER(L2),(NOT(OR(NOT(ISERROR(DATEVALUE(L2))), AND(ISNUMBER(L2), LEFT(CELL("format", L2))="D")))))</formula1>
    </dataValidation>
  </dataValidations>
  <hyperlinks>
    <hyperlink r:id="rId1" ref="AH44"/>
    <hyperlink r:id="rId2" ref="AH45"/>
    <hyperlink r:id="rId3" ref="AH46"/>
    <hyperlink r:id="rId4" ref="AH47"/>
  </hyperlinks>
  <drawing r:id="rId5"/>
  <tableParts count="10">
    <tablePart r:id="rId16"/>
    <tablePart r:id="rId17"/>
    <tablePart r:id="rId18"/>
    <tablePart r:id="rId19"/>
    <tablePart r:id="rId20"/>
    <tablePart r:id="rId21"/>
    <tablePart r:id="rId22"/>
    <tablePart r:id="rId23"/>
    <tablePart r:id="rId24"/>
    <tablePart r:id="rId2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hidden="1" min="3" max="3" width="25.5"/>
    <col customWidth="1" min="4" max="4" width="8.63"/>
    <col customWidth="1" min="6" max="7" width="9.38"/>
    <col customWidth="1" min="8" max="8" width="10.63"/>
    <col customWidth="1" min="9" max="9" width="15.13"/>
    <col customWidth="1" min="10" max="10" width="9.38"/>
    <col customWidth="1" hidden="1" min="11" max="11" width="6.25"/>
    <col customWidth="1" hidden="1" min="12" max="12" width="9.38"/>
    <col customWidth="1" hidden="1" min="13" max="13" width="6.25"/>
    <col customWidth="1" hidden="1" min="14" max="14" width="9.38"/>
    <col hidden="1" min="15" max="16" width="12.63"/>
  </cols>
  <sheetData>
    <row r="1">
      <c r="A1" s="1" t="s">
        <v>0</v>
      </c>
      <c r="B1" s="195" t="s">
        <v>1</v>
      </c>
      <c r="C1" s="110" t="s">
        <v>352</v>
      </c>
      <c r="D1" s="110" t="s">
        <v>396</v>
      </c>
      <c r="E1" s="110" t="s">
        <v>354</v>
      </c>
      <c r="F1" s="110" t="s">
        <v>355</v>
      </c>
      <c r="G1" s="187" t="s">
        <v>376</v>
      </c>
      <c r="H1" s="187" t="s">
        <v>39</v>
      </c>
      <c r="I1" s="187" t="s">
        <v>391</v>
      </c>
      <c r="J1" s="187" t="s">
        <v>38</v>
      </c>
      <c r="K1" s="110" t="s">
        <v>356</v>
      </c>
      <c r="L1" s="110" t="s">
        <v>354</v>
      </c>
      <c r="M1" s="110" t="s">
        <v>357</v>
      </c>
      <c r="N1" s="110" t="s">
        <v>354</v>
      </c>
      <c r="O1" s="110" t="s">
        <v>358</v>
      </c>
      <c r="P1" s="110"/>
    </row>
    <row r="2">
      <c r="A2" s="9" t="s">
        <v>40</v>
      </c>
      <c r="B2" s="196"/>
      <c r="C2" s="39" t="s">
        <v>361</v>
      </c>
      <c r="D2" s="112">
        <v>22.0</v>
      </c>
      <c r="E2" s="119">
        <v>16.340000000000003</v>
      </c>
      <c r="F2" s="120">
        <v>0.7427272727272729</v>
      </c>
      <c r="G2" s="120">
        <v>9.829024179360166</v>
      </c>
      <c r="H2" s="120">
        <v>0.2696872232538582</v>
      </c>
      <c r="I2" s="120">
        <v>4.905409638770266</v>
      </c>
      <c r="J2" s="120">
        <v>0.2673937159488225</v>
      </c>
      <c r="K2" s="22"/>
      <c r="L2" s="121">
        <v>0.0500125</v>
      </c>
      <c r="M2" s="22"/>
      <c r="N2" s="119"/>
      <c r="O2" s="116"/>
      <c r="P2" s="116"/>
    </row>
    <row r="3">
      <c r="A3" s="23" t="s">
        <v>60</v>
      </c>
      <c r="B3" s="197" t="s">
        <v>61</v>
      </c>
      <c r="C3" s="39" t="s">
        <v>362</v>
      </c>
      <c r="D3" s="39">
        <v>17.0</v>
      </c>
      <c r="E3" s="122">
        <f>3.4+(3.4*0.25)</f>
        <v>4.25</v>
      </c>
      <c r="F3" s="120">
        <f t="shared" ref="F3:F20" si="1">E3/D3</f>
        <v>0.25</v>
      </c>
      <c r="G3" s="120">
        <v>15.449558599498799</v>
      </c>
      <c r="H3" s="120">
        <v>3.0877907556508797</v>
      </c>
      <c r="I3" s="120">
        <v>12.901794797141074</v>
      </c>
      <c r="J3" s="120">
        <v>0.41669945118522</v>
      </c>
      <c r="K3" s="116"/>
      <c r="L3" s="116">
        <f>K3/E3</f>
        <v>0</v>
      </c>
      <c r="M3" s="116"/>
      <c r="N3" s="116"/>
      <c r="O3" s="116"/>
      <c r="P3" s="116"/>
    </row>
    <row r="4">
      <c r="A4" s="9" t="s">
        <v>60</v>
      </c>
      <c r="B4" s="198" t="s">
        <v>61</v>
      </c>
      <c r="C4" s="22"/>
      <c r="D4" s="39">
        <v>17.0</v>
      </c>
      <c r="E4" s="122">
        <f>12.7+(12.7*0.25)</f>
        <v>15.875</v>
      </c>
      <c r="F4" s="120">
        <f t="shared" si="1"/>
        <v>0.9338235294</v>
      </c>
      <c r="G4" s="120">
        <v>5.13219580430068</v>
      </c>
      <c r="H4" s="120">
        <v>0.2597672055211105</v>
      </c>
      <c r="I4" s="120">
        <v>3.0163071710871443</v>
      </c>
      <c r="J4" s="120">
        <v>0.46391543416513714</v>
      </c>
      <c r="K4" s="116"/>
      <c r="L4" s="116"/>
      <c r="M4" s="116"/>
      <c r="N4" s="116"/>
      <c r="O4" s="116"/>
      <c r="P4" s="116"/>
    </row>
    <row r="5">
      <c r="A5" s="23" t="s">
        <v>75</v>
      </c>
      <c r="B5" s="197" t="s">
        <v>41</v>
      </c>
      <c r="C5" s="39" t="s">
        <v>363</v>
      </c>
      <c r="D5" s="112">
        <v>33.0</v>
      </c>
      <c r="E5" s="123">
        <f>12.3+(12.3*0.25)</f>
        <v>15.375</v>
      </c>
      <c r="F5" s="120">
        <f t="shared" si="1"/>
        <v>0.4659090909</v>
      </c>
      <c r="G5" s="120">
        <v>2.8566254381004117</v>
      </c>
      <c r="H5" s="120">
        <v>0.7700723757999016</v>
      </c>
      <c r="I5" s="120">
        <v>2.6679891780241083</v>
      </c>
      <c r="J5" s="120">
        <v>0.6255463857445361</v>
      </c>
      <c r="K5" s="112"/>
      <c r="L5" s="112"/>
      <c r="O5" s="116"/>
      <c r="P5" s="116"/>
    </row>
    <row r="6">
      <c r="A6" s="9" t="s">
        <v>75</v>
      </c>
      <c r="B6" s="198" t="s">
        <v>41</v>
      </c>
      <c r="C6" s="22"/>
      <c r="D6" s="112">
        <v>33.0</v>
      </c>
      <c r="E6" s="123">
        <f>7.9+(7.9*0.25)</f>
        <v>9.875</v>
      </c>
      <c r="F6" s="120">
        <f t="shared" si="1"/>
        <v>0.2992424242</v>
      </c>
      <c r="G6" s="120">
        <v>2.8566254381004117</v>
      </c>
      <c r="H6" s="120">
        <v>1.5368784313067287</v>
      </c>
      <c r="I6" s="120">
        <v>2.8371596281724036</v>
      </c>
      <c r="J6" s="120">
        <v>0.6763106212368937</v>
      </c>
      <c r="O6" s="116"/>
      <c r="P6" s="116"/>
    </row>
    <row r="7">
      <c r="A7" s="23" t="s">
        <v>75</v>
      </c>
      <c r="B7" s="197" t="s">
        <v>41</v>
      </c>
      <c r="C7" s="22"/>
      <c r="D7" s="112">
        <v>33.0</v>
      </c>
      <c r="E7" s="123">
        <f>16.2+(0.25*16.2)</f>
        <v>20.25</v>
      </c>
      <c r="F7" s="120">
        <f t="shared" si="1"/>
        <v>0.6136363636</v>
      </c>
      <c r="G7" s="120">
        <v>2.8566254381004117</v>
      </c>
      <c r="H7" s="120">
        <v>1.4433116428854766</v>
      </c>
      <c r="I7" s="120">
        <v>1.5384219833891133</v>
      </c>
      <c r="J7" s="120">
        <v>0.3981990300180097</v>
      </c>
      <c r="O7" s="116"/>
      <c r="P7" s="116"/>
    </row>
    <row r="8">
      <c r="A8" s="9" t="s">
        <v>75</v>
      </c>
      <c r="B8" s="198" t="s">
        <v>41</v>
      </c>
      <c r="C8" s="22"/>
      <c r="D8" s="112">
        <v>33.0</v>
      </c>
      <c r="E8" s="123">
        <f>9.9+(0.25*9.9)</f>
        <v>12.375</v>
      </c>
      <c r="F8" s="120">
        <f t="shared" si="1"/>
        <v>0.375</v>
      </c>
      <c r="G8" s="120">
        <v>2.4890850951091488</v>
      </c>
      <c r="H8" s="120">
        <v>0.3518885370482132</v>
      </c>
      <c r="I8" s="120">
        <v>1.6025108299695583</v>
      </c>
      <c r="J8" s="120">
        <v>0.20951619057150475</v>
      </c>
    </row>
    <row r="9">
      <c r="A9" s="23" t="s">
        <v>75</v>
      </c>
      <c r="B9" s="197" t="s">
        <v>41</v>
      </c>
      <c r="C9" s="22"/>
      <c r="D9" s="112">
        <v>33.0</v>
      </c>
      <c r="E9" s="123">
        <f>19.6+(19.6*0.25)</f>
        <v>24.5</v>
      </c>
      <c r="F9" s="120">
        <f t="shared" si="1"/>
        <v>0.7424242424</v>
      </c>
      <c r="G9" s="120">
        <v>4.499639941670267</v>
      </c>
      <c r="H9" s="120">
        <v>0.6735213437456824</v>
      </c>
      <c r="I9" s="120">
        <v>0.7159074527235921</v>
      </c>
      <c r="J9" s="120">
        <v>0.36954180030458195</v>
      </c>
    </row>
    <row r="10">
      <c r="A10" s="9" t="s">
        <v>94</v>
      </c>
      <c r="B10" s="198" t="s">
        <v>95</v>
      </c>
      <c r="C10" s="126"/>
      <c r="D10" s="83">
        <v>7.0</v>
      </c>
      <c r="E10" s="127">
        <f>17.8+(17.8*0.25)</f>
        <v>22.25</v>
      </c>
      <c r="F10" s="120">
        <f t="shared" si="1"/>
        <v>3.178571429</v>
      </c>
      <c r="G10" s="120">
        <v>119.0230286</v>
      </c>
      <c r="H10" s="120">
        <v>33.4053166047834</v>
      </c>
      <c r="I10" s="120">
        <v>18.7000161568</v>
      </c>
      <c r="J10" s="120">
        <v>8.68098731477704</v>
      </c>
      <c r="M10" s="116"/>
      <c r="N10" s="116"/>
    </row>
    <row r="11">
      <c r="A11" s="50" t="s">
        <v>102</v>
      </c>
      <c r="B11" s="199" t="s">
        <v>61</v>
      </c>
      <c r="D11" s="83">
        <v>18.0</v>
      </c>
      <c r="E11" s="128">
        <f t="shared" ref="E11:E13" si="2">P11*0.465*0.5</f>
        <v>23.20164</v>
      </c>
      <c r="F11" s="120">
        <f t="shared" si="1"/>
        <v>1.28898</v>
      </c>
      <c r="G11" s="120">
        <v>35.48279459950183</v>
      </c>
      <c r="H11" s="120">
        <v>7.34282624721527</v>
      </c>
      <c r="I11" s="120">
        <v>24.793999999999997</v>
      </c>
      <c r="J11" s="120">
        <v>4.719192139737991</v>
      </c>
      <c r="K11" s="129"/>
      <c r="L11" s="116"/>
      <c r="M11" s="116"/>
      <c r="N11" s="116"/>
      <c r="O11" s="126">
        <f>373-49</f>
        <v>324</v>
      </c>
      <c r="P11" s="127">
        <f>(O11*308)/1000</f>
        <v>99.792</v>
      </c>
    </row>
    <row r="12">
      <c r="A12" s="54" t="s">
        <v>116</v>
      </c>
      <c r="B12" s="200" t="s">
        <v>61</v>
      </c>
      <c r="D12" s="83">
        <v>18.0</v>
      </c>
      <c r="E12" s="128">
        <f t="shared" si="2"/>
        <v>38.16534</v>
      </c>
      <c r="F12" s="120">
        <f t="shared" si="1"/>
        <v>2.120296667</v>
      </c>
      <c r="G12" s="120">
        <v>65.43580302765271</v>
      </c>
      <c r="H12" s="120">
        <v>13.11770176887507</v>
      </c>
      <c r="I12" s="120">
        <v>45.72399999999999</v>
      </c>
      <c r="J12" s="120">
        <v>8.70292576419214</v>
      </c>
      <c r="O12" s="126">
        <f>((343-37)+(310-38))/2</f>
        <v>289</v>
      </c>
      <c r="P12" s="127">
        <f>(O12*568)/1000</f>
        <v>164.152</v>
      </c>
    </row>
    <row r="13">
      <c r="A13" s="50" t="s">
        <v>118</v>
      </c>
      <c r="B13" s="199" t="s">
        <v>61</v>
      </c>
      <c r="D13" s="83">
        <v>18.0</v>
      </c>
      <c r="E13" s="128">
        <f t="shared" si="2"/>
        <v>52.764015</v>
      </c>
      <c r="F13" s="120">
        <f t="shared" si="1"/>
        <v>2.931334167</v>
      </c>
      <c r="G13" s="120">
        <v>107.37001482706398</v>
      </c>
      <c r="H13" s="120">
        <v>20.64381313323974</v>
      </c>
      <c r="I13" s="120">
        <v>75.026</v>
      </c>
      <c r="J13" s="120">
        <v>14.280152838427949</v>
      </c>
      <c r="O13" s="126">
        <f>((292-28)+(243-20))/2</f>
        <v>243.5</v>
      </c>
      <c r="P13" s="127">
        <f>(O13*932)/1000</f>
        <v>226.942</v>
      </c>
    </row>
    <row r="14">
      <c r="A14" s="54" t="s">
        <v>152</v>
      </c>
      <c r="B14" s="200" t="s">
        <v>61</v>
      </c>
      <c r="C14" s="83" t="s">
        <v>364</v>
      </c>
      <c r="D14" s="83">
        <v>11.0</v>
      </c>
      <c r="E14" s="188">
        <v>11.47</v>
      </c>
      <c r="F14" s="120">
        <f t="shared" si="1"/>
        <v>1.042727273</v>
      </c>
      <c r="G14" s="120">
        <v>81.44458314499892</v>
      </c>
      <c r="H14" s="189">
        <v>0.0020158337868902273</v>
      </c>
      <c r="I14" s="120">
        <v>4.250012172007344</v>
      </c>
      <c r="J14" s="120">
        <v>0.9739777194149364</v>
      </c>
    </row>
    <row r="15">
      <c r="A15" s="50" t="s">
        <v>381</v>
      </c>
      <c r="B15" s="199" t="s">
        <v>61</v>
      </c>
      <c r="D15" s="83">
        <v>27.0</v>
      </c>
      <c r="E15" s="83">
        <v>10.2125</v>
      </c>
      <c r="F15" s="120">
        <f t="shared" si="1"/>
        <v>0.3782407407</v>
      </c>
      <c r="G15" s="201">
        <v>6.605251726</v>
      </c>
      <c r="H15" s="201">
        <v>1.972416985</v>
      </c>
      <c r="I15" s="201">
        <v>11.27551814</v>
      </c>
      <c r="J15" s="201">
        <v>1.281575049</v>
      </c>
    </row>
    <row r="16">
      <c r="A16" s="54" t="s">
        <v>382</v>
      </c>
      <c r="B16" s="200" t="s">
        <v>61</v>
      </c>
      <c r="D16" s="83">
        <v>27.0</v>
      </c>
      <c r="E16" s="83">
        <v>17.1625</v>
      </c>
      <c r="F16" s="120">
        <f t="shared" si="1"/>
        <v>0.6356481481</v>
      </c>
      <c r="G16" s="201">
        <v>7.74986488</v>
      </c>
      <c r="H16" s="201">
        <v>1.265644254</v>
      </c>
      <c r="I16" s="201">
        <v>11.70589656</v>
      </c>
      <c r="J16" s="201">
        <v>1.257666391</v>
      </c>
    </row>
    <row r="17">
      <c r="A17" s="50" t="s">
        <v>221</v>
      </c>
      <c r="B17" s="199" t="s">
        <v>61</v>
      </c>
      <c r="C17" s="83" t="s">
        <v>370</v>
      </c>
      <c r="D17" s="83">
        <v>33.0</v>
      </c>
      <c r="E17" s="83">
        <f> 52.81 + (52.81*0.25)</f>
        <v>66.0125</v>
      </c>
      <c r="F17" s="120">
        <f t="shared" si="1"/>
        <v>2.000378788</v>
      </c>
      <c r="G17" s="120">
        <v>82.61744749497547</v>
      </c>
      <c r="H17" s="120">
        <v>41.747124497432</v>
      </c>
      <c r="I17" s="120">
        <v>39.8500344304</v>
      </c>
      <c r="J17" s="120">
        <v>9.455839096420892</v>
      </c>
    </row>
    <row r="18">
      <c r="A18" s="54" t="s">
        <v>231</v>
      </c>
      <c r="B18" s="200" t="s">
        <v>61</v>
      </c>
      <c r="C18" s="83" t="s">
        <v>370</v>
      </c>
      <c r="D18" s="83">
        <v>33.0</v>
      </c>
      <c r="E18" s="83">
        <f>29.04 + (29.04*0.25)</f>
        <v>36.3</v>
      </c>
      <c r="F18" s="120">
        <f t="shared" si="1"/>
        <v>1.1</v>
      </c>
      <c r="G18" s="120">
        <v>32.59733174978482</v>
      </c>
      <c r="H18" s="120">
        <v>19.03757595718504</v>
      </c>
      <c r="I18" s="120">
        <v>17.250014904</v>
      </c>
      <c r="J18" s="120">
        <v>4.020808070045041</v>
      </c>
    </row>
    <row r="19">
      <c r="A19" s="50" t="s">
        <v>250</v>
      </c>
      <c r="B19" s="199" t="s">
        <v>61</v>
      </c>
      <c r="C19" s="83" t="s">
        <v>370</v>
      </c>
      <c r="D19" s="83">
        <v>22.0</v>
      </c>
      <c r="E19" s="83">
        <f>59 + (0.25*59)</f>
        <v>73.75</v>
      </c>
      <c r="F19" s="120">
        <f t="shared" si="1"/>
        <v>3.352272727</v>
      </c>
      <c r="G19" s="120">
        <v>142.07180501660264</v>
      </c>
      <c r="H19" s="120">
        <v>38.06641913659625</v>
      </c>
      <c r="I19" s="120">
        <v>251.0126164697132</v>
      </c>
      <c r="J19" s="120">
        <v>52.06747926299296</v>
      </c>
    </row>
    <row r="20">
      <c r="A20" s="202" t="s">
        <v>262</v>
      </c>
      <c r="B20" s="203" t="s">
        <v>126</v>
      </c>
      <c r="D20" s="83">
        <v>48.0</v>
      </c>
      <c r="E20" s="97">
        <f>(23.554*0.5)*12.5</f>
        <v>147.2125</v>
      </c>
      <c r="F20" s="120">
        <f t="shared" si="1"/>
        <v>3.066927083</v>
      </c>
      <c r="G20" s="22">
        <v>189.00916857076098</v>
      </c>
      <c r="H20" s="22">
        <v>121.86314270139945</v>
      </c>
      <c r="I20" s="120">
        <v>76.10524648987617</v>
      </c>
      <c r="J20" s="120">
        <v>21.924028337210054</v>
      </c>
    </row>
  </sheetData>
  <conditionalFormatting sqref="F1:F14 F17:F20">
    <cfRule type="colorScale" priority="1">
      <colorScale>
        <cfvo type="min"/>
        <cfvo type="max"/>
        <color rgb="FFFFFFFF"/>
        <color rgb="FF57BB8A"/>
      </colorScale>
    </cfRule>
  </conditionalFormatting>
  <dataValidations>
    <dataValidation type="list" allowBlank="1" sqref="B2:B20">
      <formula1>"Alley Cropping,Silvopasture,Riparian Buffer,Windbreaks"</formula1>
    </dataValidation>
  </dataValidations>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25"/>
    <col customWidth="1" min="8" max="8" width="14.38"/>
    <col customWidth="1" min="9" max="9" width="15.88"/>
    <col customWidth="1" min="15" max="15" width="13.88"/>
    <col customWidth="1" min="20" max="20" width="22.88"/>
    <col customWidth="1" min="21" max="22" width="26.0"/>
    <col customWidth="1" min="23" max="23" width="28.13"/>
    <col customWidth="1" min="24" max="24" width="32.0"/>
  </cols>
  <sheetData>
    <row r="1">
      <c r="A1" s="204" t="s">
        <v>397</v>
      </c>
      <c r="AB1" s="204"/>
      <c r="AC1" s="204"/>
      <c r="AD1" s="204"/>
      <c r="AE1" s="204"/>
    </row>
    <row r="2">
      <c r="A2" s="148" t="s">
        <v>333</v>
      </c>
      <c r="B2" s="148" t="s">
        <v>398</v>
      </c>
      <c r="C2" s="148" t="s">
        <v>399</v>
      </c>
      <c r="D2" s="148" t="s">
        <v>400</v>
      </c>
      <c r="E2" s="148" t="s">
        <v>401</v>
      </c>
      <c r="F2" s="148" t="s">
        <v>402</v>
      </c>
      <c r="G2" s="148" t="s">
        <v>403</v>
      </c>
      <c r="H2" s="148" t="s">
        <v>404</v>
      </c>
      <c r="I2" s="148" t="s">
        <v>405</v>
      </c>
      <c r="J2" s="148" t="s">
        <v>406</v>
      </c>
      <c r="K2" s="148" t="s">
        <v>407</v>
      </c>
      <c r="L2" s="148" t="s">
        <v>408</v>
      </c>
      <c r="M2" s="148" t="s">
        <v>409</v>
      </c>
      <c r="N2" s="148" t="s">
        <v>410</v>
      </c>
      <c r="O2" s="148" t="s">
        <v>411</v>
      </c>
      <c r="P2" s="148" t="s">
        <v>412</v>
      </c>
      <c r="Q2" s="148" t="s">
        <v>413</v>
      </c>
      <c r="R2" s="148" t="s">
        <v>414</v>
      </c>
      <c r="S2" s="148" t="s">
        <v>415</v>
      </c>
      <c r="T2" s="148" t="s">
        <v>416</v>
      </c>
      <c r="U2" s="148" t="s">
        <v>417</v>
      </c>
      <c r="V2" s="148"/>
      <c r="W2" s="148"/>
      <c r="X2" s="148"/>
      <c r="Y2" s="148"/>
      <c r="Z2" s="148"/>
      <c r="AA2" s="148"/>
      <c r="AB2" s="148"/>
      <c r="AC2" s="148"/>
      <c r="AD2" s="148"/>
      <c r="AE2" s="148"/>
    </row>
    <row r="3">
      <c r="A3" s="149">
        <v>20.0</v>
      </c>
      <c r="B3" s="205">
        <v>3.0284131200947106</v>
      </c>
      <c r="C3" s="205">
        <v>3.0284131200947106</v>
      </c>
      <c r="D3" s="205">
        <v>3.0284131200947106</v>
      </c>
      <c r="E3" s="149">
        <v>9.085239360284131</v>
      </c>
      <c r="F3" s="149">
        <v>0.09606215156821217</v>
      </c>
      <c r="G3" s="149">
        <v>0.07816592893133092</v>
      </c>
      <c r="H3" s="149">
        <v>0.02919230597945625</v>
      </c>
      <c r="I3" s="149">
        <v>0.20484217747202538</v>
      </c>
      <c r="J3" s="149">
        <v>1.8806322536148632</v>
      </c>
      <c r="K3" s="149">
        <v>2.139641486148647</v>
      </c>
      <c r="L3" s="149">
        <v>0.34909940037162135</v>
      </c>
      <c r="M3" s="149">
        <v>4.3693731401351315</v>
      </c>
      <c r="N3" s="149">
        <v>0.8896404073986478</v>
      </c>
      <c r="O3" s="149">
        <v>1.0135143881756747</v>
      </c>
      <c r="P3" s="149">
        <v>0.14639652273648637</v>
      </c>
      <c r="Q3" s="149">
        <v>2.049551318310809</v>
      </c>
      <c r="R3" s="149">
        <v>0.0928194278351085</v>
      </c>
      <c r="S3" s="149">
        <v>0.12662782870220102</v>
      </c>
      <c r="T3" s="149">
        <v>0.020285040520255503</v>
      </c>
      <c r="U3" s="149">
        <v>0.239732297057565</v>
      </c>
      <c r="V3" s="148"/>
      <c r="W3" s="148"/>
      <c r="X3" s="148"/>
      <c r="Y3" s="148"/>
      <c r="Z3" s="148"/>
      <c r="AA3" s="148"/>
      <c r="AB3" s="148"/>
      <c r="AC3" s="148"/>
      <c r="AD3" s="148"/>
      <c r="AE3" s="148"/>
    </row>
    <row r="4">
      <c r="A4" s="149">
        <v>21.0</v>
      </c>
      <c r="B4" s="205">
        <v>3.1534017536033554</v>
      </c>
      <c r="C4" s="205">
        <v>3.1534017536033554</v>
      </c>
      <c r="D4" s="205">
        <v>3.1534017536033554</v>
      </c>
      <c r="E4" s="149">
        <v>9.460205260810065</v>
      </c>
      <c r="F4" s="148"/>
      <c r="G4" s="148"/>
      <c r="H4" s="148"/>
      <c r="I4" s="148">
        <f t="shared" ref="I4:I12" si="1">$I$3+((($I$13-$I$3)/($A$13-$A$3))*(A4-$A$3))</f>
        <v>0.2372647004</v>
      </c>
      <c r="J4" s="148"/>
      <c r="K4" s="148"/>
      <c r="L4" s="148"/>
      <c r="M4" s="148">
        <f>$M$3+((($M$8-$M$3)/($A$8-$A$3))*($A4-$A$3))</f>
        <v>4.637391389</v>
      </c>
      <c r="N4" s="148"/>
      <c r="O4" s="148"/>
      <c r="P4" s="148"/>
      <c r="Q4" s="148"/>
      <c r="R4" s="149">
        <v>0.1001958062061105</v>
      </c>
      <c r="S4" s="149">
        <v>0.1370776980611205</v>
      </c>
      <c r="T4" s="149">
        <v>0.022129135113005998</v>
      </c>
      <c r="U4" s="149">
        <v>0.259402639380237</v>
      </c>
      <c r="V4" s="148"/>
      <c r="W4" s="148"/>
      <c r="X4" s="148"/>
      <c r="Y4" s="148"/>
      <c r="Z4" s="148"/>
      <c r="AA4" s="148"/>
      <c r="AB4" s="148"/>
      <c r="AC4" s="148"/>
      <c r="AD4" s="148"/>
      <c r="AE4" s="148"/>
    </row>
    <row r="5">
      <c r="A5" s="206">
        <v>22.0</v>
      </c>
      <c r="B5" s="207">
        <v>3.276341393120055</v>
      </c>
      <c r="C5" s="207">
        <v>3.276341393120055</v>
      </c>
      <c r="D5" s="207">
        <v>3.276341393120055</v>
      </c>
      <c r="E5" s="206">
        <v>9.829024179360166</v>
      </c>
      <c r="F5" s="208"/>
      <c r="G5" s="208"/>
      <c r="H5" s="208"/>
      <c r="I5" s="208">
        <f t="shared" si="1"/>
        <v>0.2696872233</v>
      </c>
      <c r="J5" s="208"/>
      <c r="K5" s="208"/>
      <c r="L5" s="208"/>
      <c r="M5" s="209" t="s">
        <v>418</v>
      </c>
      <c r="N5" s="208"/>
      <c r="O5" s="208"/>
      <c r="P5" s="208"/>
      <c r="Q5" s="208"/>
      <c r="R5" s="206">
        <v>0.108186882774696</v>
      </c>
      <c r="S5" s="206">
        <v>0.13523360346837</v>
      </c>
      <c r="T5" s="206">
        <v>0.0239732297057565</v>
      </c>
      <c r="U5" s="206">
        <v>0.2673937159488225</v>
      </c>
      <c r="V5" s="208"/>
      <c r="W5" s="208"/>
      <c r="X5" s="208"/>
      <c r="Y5" s="208"/>
      <c r="Z5" s="208"/>
      <c r="AA5" s="208"/>
      <c r="AB5" s="208"/>
      <c r="AC5" s="208"/>
      <c r="AD5" s="208"/>
      <c r="AE5" s="208"/>
    </row>
    <row r="6">
      <c r="A6" s="149">
        <v>23.0</v>
      </c>
      <c r="B6" s="205">
        <v>3.3972320386448107</v>
      </c>
      <c r="C6" s="205">
        <v>3.3972320386448107</v>
      </c>
      <c r="D6" s="205">
        <v>3.3972320386448107</v>
      </c>
      <c r="E6" s="149">
        <v>10.191696115934432</v>
      </c>
      <c r="F6" s="148"/>
      <c r="G6" s="148"/>
      <c r="H6" s="148"/>
      <c r="I6" s="148">
        <f t="shared" si="1"/>
        <v>0.3021097461</v>
      </c>
      <c r="J6" s="148"/>
      <c r="K6" s="148"/>
      <c r="L6" s="148"/>
      <c r="M6" s="148">
        <f t="shared" ref="M6:M7" si="2">$M$3+((($M$8-$M$3)/($A$8-$A$3))*($A6-$A$3))</f>
        <v>5.173427888</v>
      </c>
      <c r="N6" s="148"/>
      <c r="O6" s="148"/>
      <c r="P6" s="148"/>
      <c r="Q6" s="148"/>
      <c r="R6" s="149">
        <v>0.104498693589195</v>
      </c>
      <c r="S6" s="149">
        <v>0.132774810678036</v>
      </c>
      <c r="T6" s="149">
        <v>0.02458792790334</v>
      </c>
      <c r="U6" s="149">
        <v>0.26186143217057106</v>
      </c>
      <c r="V6" s="148"/>
      <c r="W6" s="148"/>
      <c r="X6" s="148"/>
      <c r="Y6" s="148"/>
      <c r="Z6" s="148"/>
      <c r="AA6" s="148"/>
      <c r="AB6" s="148"/>
      <c r="AC6" s="148"/>
      <c r="AD6" s="148"/>
      <c r="AE6" s="148"/>
    </row>
    <row r="7">
      <c r="A7" s="149">
        <v>24.0</v>
      </c>
      <c r="B7" s="205">
        <v>3.5181226841695645</v>
      </c>
      <c r="C7" s="205">
        <v>3.5181226841695645</v>
      </c>
      <c r="D7" s="205">
        <v>3.5181226841695645</v>
      </c>
      <c r="E7" s="149">
        <v>10.554368052508694</v>
      </c>
      <c r="F7" s="148"/>
      <c r="G7" s="148"/>
      <c r="H7" s="148"/>
      <c r="I7" s="148">
        <f t="shared" si="1"/>
        <v>0.334532269</v>
      </c>
      <c r="J7" s="148"/>
      <c r="K7" s="148"/>
      <c r="L7" s="148"/>
      <c r="M7" s="148">
        <f t="shared" si="2"/>
        <v>5.441446137</v>
      </c>
      <c r="N7" s="148"/>
      <c r="O7" s="148"/>
      <c r="P7" s="148"/>
      <c r="Q7" s="148"/>
      <c r="R7" s="149">
        <v>0.11248977015778051</v>
      </c>
      <c r="S7" s="149">
        <v>0.1419952836417885</v>
      </c>
      <c r="T7" s="149">
        <v>0.02458792790334</v>
      </c>
      <c r="U7" s="149">
        <v>0.27907298170290906</v>
      </c>
      <c r="V7" s="148"/>
      <c r="W7" s="148"/>
      <c r="X7" s="148"/>
      <c r="Y7" s="148"/>
      <c r="Z7" s="148"/>
      <c r="AA7" s="148"/>
      <c r="AB7" s="148"/>
      <c r="AC7" s="148"/>
      <c r="AD7" s="148"/>
      <c r="AE7" s="148"/>
    </row>
    <row r="8">
      <c r="A8" s="149">
        <v>25.0</v>
      </c>
      <c r="B8" s="205">
        <v>3.6369643357023747</v>
      </c>
      <c r="C8" s="205">
        <v>3.6369643357023747</v>
      </c>
      <c r="D8" s="205">
        <v>3.6369643357023747</v>
      </c>
      <c r="E8" s="149">
        <v>10.910893007107125</v>
      </c>
      <c r="F8" s="148"/>
      <c r="G8" s="148"/>
      <c r="H8" s="148"/>
      <c r="I8" s="148">
        <f t="shared" si="1"/>
        <v>0.3669547919</v>
      </c>
      <c r="J8" s="149">
        <v>2.443695802601349</v>
      </c>
      <c r="K8" s="149">
        <v>2.781533931993241</v>
      </c>
      <c r="L8" s="149">
        <v>0.48423465212837796</v>
      </c>
      <c r="M8" s="149">
        <v>5.709464386722968</v>
      </c>
      <c r="N8" s="149">
        <v>1.126127097972972</v>
      </c>
      <c r="O8" s="149">
        <v>1.2725236207094583</v>
      </c>
      <c r="P8" s="149">
        <v>0.19144160665540524</v>
      </c>
      <c r="Q8" s="149">
        <v>2.5900923253378356</v>
      </c>
      <c r="R8" s="149">
        <v>0.106957486379529</v>
      </c>
      <c r="S8" s="149">
        <v>0.1370776980611205</v>
      </c>
      <c r="T8" s="149">
        <v>0.026432022496090498</v>
      </c>
      <c r="U8" s="149">
        <v>0.27046720693674</v>
      </c>
      <c r="V8" s="148"/>
      <c r="W8" s="148"/>
      <c r="X8" s="148"/>
      <c r="Y8" s="148"/>
      <c r="Z8" s="148"/>
      <c r="AA8" s="148"/>
      <c r="AB8" s="148"/>
      <c r="AC8" s="148"/>
      <c r="AD8" s="148"/>
      <c r="AE8" s="148"/>
    </row>
    <row r="9">
      <c r="A9" s="149">
        <v>26.0</v>
      </c>
      <c r="B9" s="205">
        <v>3.755805987235185</v>
      </c>
      <c r="C9" s="205">
        <v>3.755805987235185</v>
      </c>
      <c r="D9" s="205">
        <v>3.755805987235185</v>
      </c>
      <c r="E9" s="149">
        <v>11.267417961705556</v>
      </c>
      <c r="F9" s="148"/>
      <c r="G9" s="148"/>
      <c r="H9" s="148"/>
      <c r="I9" s="148">
        <f t="shared" si="1"/>
        <v>0.3993773148</v>
      </c>
      <c r="J9" s="148"/>
      <c r="K9" s="148"/>
      <c r="L9" s="148"/>
      <c r="M9" s="148"/>
      <c r="N9" s="148"/>
      <c r="O9" s="148"/>
      <c r="P9" s="148"/>
      <c r="Q9" s="148"/>
      <c r="R9" s="149">
        <v>0.11433386475053102</v>
      </c>
      <c r="S9" s="149">
        <v>0.146298171024873</v>
      </c>
      <c r="T9" s="149">
        <v>0.028276117088841004</v>
      </c>
      <c r="U9" s="149">
        <v>0.288908152864245</v>
      </c>
      <c r="V9" s="148"/>
      <c r="W9" s="148"/>
      <c r="X9" s="148"/>
      <c r="Y9" s="148"/>
      <c r="Z9" s="148"/>
      <c r="AA9" s="148"/>
      <c r="AB9" s="148"/>
      <c r="AC9" s="148"/>
      <c r="AD9" s="148"/>
      <c r="AE9" s="148"/>
    </row>
    <row r="10">
      <c r="A10" s="149">
        <v>27.0</v>
      </c>
      <c r="B10" s="205">
        <v>3.874647638767995</v>
      </c>
      <c r="C10" s="205">
        <v>3.874647638767995</v>
      </c>
      <c r="D10" s="205">
        <v>3.874647638767995</v>
      </c>
      <c r="E10" s="149">
        <v>11.623942916303985</v>
      </c>
      <c r="F10" s="148"/>
      <c r="G10" s="148"/>
      <c r="H10" s="148"/>
      <c r="I10" s="148">
        <f t="shared" si="1"/>
        <v>0.4317998377</v>
      </c>
      <c r="J10" s="148"/>
      <c r="K10" s="148"/>
      <c r="L10" s="148"/>
      <c r="M10" s="148"/>
      <c r="N10" s="148"/>
      <c r="O10" s="148"/>
      <c r="P10" s="148"/>
      <c r="Q10" s="148"/>
      <c r="R10" s="149">
        <v>0.121710243121533</v>
      </c>
      <c r="S10" s="149">
        <v>0.156133342186209</v>
      </c>
      <c r="T10" s="149">
        <v>0.030734909879175</v>
      </c>
      <c r="U10" s="149">
        <v>0.308578495186917</v>
      </c>
      <c r="V10" s="148"/>
      <c r="W10" s="148"/>
      <c r="X10" s="148"/>
      <c r="Y10" s="148"/>
      <c r="Z10" s="148"/>
      <c r="AA10" s="148"/>
      <c r="AB10" s="148"/>
      <c r="AC10" s="148"/>
      <c r="AD10" s="148"/>
      <c r="AE10" s="148"/>
    </row>
    <row r="11">
      <c r="A11" s="149">
        <v>28.0</v>
      </c>
      <c r="B11" s="205">
        <v>3.9914402963088604</v>
      </c>
      <c r="C11" s="205">
        <v>3.9914402963088604</v>
      </c>
      <c r="D11" s="205">
        <v>3.9914402963088604</v>
      </c>
      <c r="E11" s="149">
        <v>11.97432088892658</v>
      </c>
      <c r="F11" s="148"/>
      <c r="G11" s="148"/>
      <c r="H11" s="148"/>
      <c r="I11" s="148">
        <f t="shared" si="1"/>
        <v>0.4642223606</v>
      </c>
      <c r="J11" s="148"/>
      <c r="K11" s="148"/>
      <c r="L11" s="148"/>
      <c r="M11" s="148"/>
      <c r="N11" s="148"/>
      <c r="O11" s="148"/>
      <c r="P11" s="148"/>
      <c r="Q11" s="148"/>
      <c r="R11" s="149">
        <v>0.1297013196901185</v>
      </c>
      <c r="S11" s="149">
        <v>0.14752756742004</v>
      </c>
      <c r="T11" s="149">
        <v>0.0325790044719255</v>
      </c>
      <c r="U11" s="149">
        <v>0.309807891582084</v>
      </c>
      <c r="V11" s="148"/>
      <c r="W11" s="148"/>
      <c r="X11" s="148"/>
      <c r="Y11" s="148"/>
      <c r="Z11" s="148"/>
      <c r="AA11" s="148"/>
      <c r="AB11" s="148"/>
      <c r="AC11" s="148"/>
      <c r="AD11" s="148"/>
      <c r="AE11" s="148"/>
    </row>
    <row r="12">
      <c r="A12" s="149">
        <v>29.0</v>
      </c>
      <c r="B12" s="205">
        <v>4.108232953849725</v>
      </c>
      <c r="C12" s="205">
        <v>4.108232953849725</v>
      </c>
      <c r="D12" s="205">
        <v>4.108232953849725</v>
      </c>
      <c r="E12" s="149">
        <v>12.324698861549175</v>
      </c>
      <c r="F12" s="148"/>
      <c r="G12" s="148"/>
      <c r="H12" s="148"/>
      <c r="I12" s="148">
        <f t="shared" si="1"/>
        <v>0.4966448835</v>
      </c>
      <c r="J12" s="148"/>
      <c r="K12" s="148"/>
      <c r="L12" s="148"/>
      <c r="M12" s="148"/>
      <c r="N12" s="148"/>
      <c r="O12" s="148"/>
      <c r="P12" s="148"/>
      <c r="Q12" s="148"/>
      <c r="R12" s="149">
        <v>0.13769239625870403</v>
      </c>
      <c r="S12" s="149">
        <v>0.1567480403837925</v>
      </c>
      <c r="T12" s="149">
        <v>0.031964306274342</v>
      </c>
      <c r="U12" s="149">
        <v>0.3264047429168385</v>
      </c>
      <c r="V12" s="148"/>
      <c r="W12" s="148"/>
      <c r="X12" s="148"/>
      <c r="Y12" s="148"/>
      <c r="Z12" s="148"/>
      <c r="AA12" s="148"/>
      <c r="AB12" s="148"/>
      <c r="AC12" s="148"/>
      <c r="AD12" s="148"/>
      <c r="AE12" s="148"/>
    </row>
    <row r="13">
      <c r="A13" s="149">
        <v>30.0</v>
      </c>
      <c r="B13" s="205">
        <v>4.222976617398645</v>
      </c>
      <c r="C13" s="205">
        <v>4.222976617398645</v>
      </c>
      <c r="D13" s="205">
        <v>4.222976617398645</v>
      </c>
      <c r="E13" s="149">
        <v>12.668929852195935</v>
      </c>
      <c r="F13" s="149">
        <v>0.29216612535406633</v>
      </c>
      <c r="G13" s="149">
        <v>0.16162275482218716</v>
      </c>
      <c r="H13" s="149">
        <v>0.06262232515419659</v>
      </c>
      <c r="I13" s="149">
        <v>0.5290674063811893</v>
      </c>
      <c r="J13" s="149">
        <v>2.9617142676689165</v>
      </c>
      <c r="K13" s="149">
        <v>3.3783812939189164</v>
      </c>
      <c r="L13" s="149">
        <v>0.6193699038851347</v>
      </c>
      <c r="M13" s="149">
        <v>6.9594654654729675</v>
      </c>
      <c r="N13" s="149">
        <v>1.328829975608107</v>
      </c>
      <c r="O13" s="149">
        <v>1.5090103112837825</v>
      </c>
      <c r="P13" s="149">
        <v>0.23648669057432414</v>
      </c>
      <c r="Q13" s="149">
        <v>3.0743269774662134</v>
      </c>
      <c r="R13" s="149">
        <v>0.146298171024873</v>
      </c>
      <c r="S13" s="149">
        <v>0.165968513347545</v>
      </c>
      <c r="T13" s="149">
        <v>0.034423099064676006</v>
      </c>
      <c r="U13" s="149">
        <v>0.346689783437094</v>
      </c>
      <c r="V13" s="148"/>
      <c r="W13" s="148"/>
      <c r="X13" s="148"/>
      <c r="Y13" s="148"/>
      <c r="Z13" s="148"/>
      <c r="AA13" s="148"/>
      <c r="AB13" s="148"/>
      <c r="AC13" s="148"/>
      <c r="AD13" s="148"/>
      <c r="AE13" s="148"/>
    </row>
    <row r="15">
      <c r="A15" s="204" t="s">
        <v>419</v>
      </c>
      <c r="AB15" s="204"/>
      <c r="AC15" s="204"/>
      <c r="AD15" s="204"/>
      <c r="AE15" s="204"/>
    </row>
    <row r="16">
      <c r="A16" s="148" t="s">
        <v>333</v>
      </c>
      <c r="B16" s="148" t="s">
        <v>36</v>
      </c>
      <c r="C16" s="148" t="s">
        <v>39</v>
      </c>
      <c r="D16" s="148" t="s">
        <v>420</v>
      </c>
      <c r="E16" s="148" t="s">
        <v>421</v>
      </c>
      <c r="F16" s="148" t="s">
        <v>422</v>
      </c>
      <c r="G16" s="148" t="s">
        <v>38</v>
      </c>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row>
    <row r="17">
      <c r="A17" s="206">
        <v>17.0</v>
      </c>
      <c r="B17" s="210">
        <v>15.449558599498799</v>
      </c>
      <c r="C17" s="206">
        <v>3.076953789136471</v>
      </c>
      <c r="D17" s="210">
        <v>3.0877907556508797</v>
      </c>
      <c r="E17" s="210">
        <v>12.901794797141074</v>
      </c>
      <c r="F17" s="206">
        <v>4.955360631427887</v>
      </c>
      <c r="G17" s="210">
        <v>0.41669945118522</v>
      </c>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row>
    <row r="19">
      <c r="A19" s="204" t="s">
        <v>423</v>
      </c>
    </row>
    <row r="20">
      <c r="A20" s="148" t="s">
        <v>333</v>
      </c>
      <c r="B20" s="148" t="s">
        <v>36</v>
      </c>
      <c r="C20" s="148" t="s">
        <v>39</v>
      </c>
      <c r="D20" s="148" t="s">
        <v>420</v>
      </c>
      <c r="E20" s="148" t="s">
        <v>421</v>
      </c>
      <c r="F20" s="148" t="s">
        <v>422</v>
      </c>
      <c r="G20" s="148" t="s">
        <v>38</v>
      </c>
      <c r="H20" s="148"/>
      <c r="I20" s="148"/>
      <c r="J20" s="148"/>
      <c r="K20" s="148"/>
      <c r="L20" s="148"/>
      <c r="M20" s="148"/>
      <c r="N20" s="148"/>
      <c r="O20" s="148"/>
      <c r="P20" s="148"/>
      <c r="Q20" s="148"/>
      <c r="R20" s="148"/>
      <c r="S20" s="148"/>
      <c r="T20" s="148"/>
      <c r="U20" s="148"/>
      <c r="V20" s="148"/>
      <c r="W20" s="148"/>
      <c r="X20" s="148"/>
      <c r="Y20" s="148"/>
      <c r="Z20" s="148"/>
    </row>
    <row r="21">
      <c r="A21" s="206">
        <v>17.0</v>
      </c>
      <c r="B21" s="210">
        <v>5.13219580430068</v>
      </c>
      <c r="C21" s="206">
        <v>0.2562529645298908</v>
      </c>
      <c r="D21" s="210">
        <v>0.2597672055211105</v>
      </c>
      <c r="E21" s="210">
        <v>3.0163071710871443</v>
      </c>
      <c r="F21" s="206">
        <v>0.4619569541304635</v>
      </c>
      <c r="G21" s="210">
        <v>0.46391543416513714</v>
      </c>
      <c r="H21" s="148"/>
      <c r="I21" s="148"/>
      <c r="J21" s="148"/>
      <c r="K21" s="148"/>
      <c r="L21" s="148"/>
      <c r="M21" s="148"/>
      <c r="N21" s="148"/>
      <c r="O21" s="148"/>
      <c r="P21" s="148"/>
      <c r="Q21" s="148"/>
      <c r="R21" s="148"/>
      <c r="S21" s="148"/>
      <c r="T21" s="148"/>
      <c r="U21" s="148"/>
      <c r="V21" s="148"/>
      <c r="W21" s="148"/>
      <c r="X21" s="148"/>
      <c r="Y21" s="148"/>
      <c r="Z21" s="148"/>
    </row>
    <row r="23">
      <c r="A23" s="148" t="s">
        <v>333</v>
      </c>
      <c r="B23" s="148" t="s">
        <v>424</v>
      </c>
      <c r="C23" s="148" t="s">
        <v>425</v>
      </c>
      <c r="D23" s="148" t="s">
        <v>426</v>
      </c>
      <c r="E23" s="148" t="s">
        <v>427</v>
      </c>
      <c r="F23" s="148" t="s">
        <v>428</v>
      </c>
      <c r="G23" s="148" t="s">
        <v>429</v>
      </c>
      <c r="H23" s="148" t="s">
        <v>430</v>
      </c>
      <c r="I23" s="148" t="s">
        <v>431</v>
      </c>
      <c r="J23" s="148" t="s">
        <v>432</v>
      </c>
      <c r="K23" s="148" t="s">
        <v>433</v>
      </c>
      <c r="L23" s="148" t="s">
        <v>434</v>
      </c>
      <c r="M23" s="148" t="s">
        <v>435</v>
      </c>
      <c r="N23" s="148" t="s">
        <v>436</v>
      </c>
      <c r="O23" s="148" t="s">
        <v>437</v>
      </c>
      <c r="P23" s="148" t="s">
        <v>438</v>
      </c>
      <c r="Q23" s="148" t="s">
        <v>439</v>
      </c>
      <c r="R23" s="148" t="s">
        <v>440</v>
      </c>
      <c r="S23" s="148" t="s">
        <v>441</v>
      </c>
      <c r="T23" s="148" t="s">
        <v>442</v>
      </c>
      <c r="U23" s="148" t="s">
        <v>443</v>
      </c>
      <c r="V23" s="148" t="s">
        <v>444</v>
      </c>
      <c r="W23" s="148" t="s">
        <v>445</v>
      </c>
      <c r="X23" s="148" t="s">
        <v>446</v>
      </c>
      <c r="Y23" s="148" t="s">
        <v>447</v>
      </c>
      <c r="Z23" s="148" t="s">
        <v>448</v>
      </c>
      <c r="AA23" s="148" t="s">
        <v>449</v>
      </c>
      <c r="AB23" s="148" t="s">
        <v>450</v>
      </c>
      <c r="AC23" s="148" t="s">
        <v>451</v>
      </c>
      <c r="AD23" s="148" t="s">
        <v>452</v>
      </c>
      <c r="AE23" s="148" t="s">
        <v>453</v>
      </c>
    </row>
    <row r="24">
      <c r="A24" s="206">
        <v>33.0</v>
      </c>
      <c r="B24" s="206">
        <v>2.8566254381004117</v>
      </c>
      <c r="C24" s="206">
        <v>2.8566254381004117</v>
      </c>
      <c r="D24" s="206">
        <v>2.8566254381004117</v>
      </c>
      <c r="E24" s="206">
        <v>2.4890850951091488</v>
      </c>
      <c r="F24" s="206">
        <v>4.499639941670267</v>
      </c>
      <c r="G24" s="206">
        <v>15.558601351080652</v>
      </c>
      <c r="H24" s="206">
        <v>1.4433116428854766</v>
      </c>
      <c r="I24" s="206">
        <v>0.7700723757999016</v>
      </c>
      <c r="J24" s="206">
        <v>1.5368784313067287</v>
      </c>
      <c r="K24" s="206">
        <v>0.3518885370482132</v>
      </c>
      <c r="L24" s="206">
        <v>0.6735213437456824</v>
      </c>
      <c r="M24" s="206">
        <v>5.073330387933362</v>
      </c>
      <c r="N24" s="206">
        <v>0.3981990300180097</v>
      </c>
      <c r="O24" s="206">
        <v>0.6255463857445361</v>
      </c>
      <c r="P24" s="206">
        <v>0.6763106212368937</v>
      </c>
      <c r="Q24" s="206">
        <v>0.20951619057150475</v>
      </c>
      <c r="R24" s="206">
        <v>0.36954180030458195</v>
      </c>
      <c r="S24" s="206">
        <v>2.2790230525431023</v>
      </c>
      <c r="T24" s="208"/>
      <c r="U24" s="208"/>
      <c r="V24" s="208"/>
      <c r="W24" s="208"/>
      <c r="X24" s="208"/>
      <c r="Y24" s="208"/>
      <c r="Z24" s="208"/>
      <c r="AA24" s="208"/>
      <c r="AB24" s="208"/>
      <c r="AC24" s="208"/>
      <c r="AD24" s="208"/>
      <c r="AE24" s="208"/>
    </row>
    <row r="25">
      <c r="B25" s="83"/>
      <c r="C25" s="83"/>
      <c r="D25" s="83"/>
      <c r="E25" s="83"/>
    </row>
    <row r="26">
      <c r="B26" s="83" t="s">
        <v>36</v>
      </c>
      <c r="C26" s="83" t="s">
        <v>39</v>
      </c>
      <c r="D26" s="83" t="s">
        <v>454</v>
      </c>
      <c r="E26" s="83" t="s">
        <v>38</v>
      </c>
    </row>
    <row r="27">
      <c r="A27" s="83" t="s">
        <v>455</v>
      </c>
      <c r="B27" s="210">
        <v>2.8566254381004117</v>
      </c>
      <c r="C27" s="210">
        <f>I24</f>
        <v>0.7700723758</v>
      </c>
      <c r="D27" s="211">
        <f>T36</f>
        <v>2.667989178</v>
      </c>
      <c r="E27" s="211">
        <f>O36</f>
        <v>0.6255463857</v>
      </c>
    </row>
    <row r="28">
      <c r="A28" s="83" t="s">
        <v>456</v>
      </c>
      <c r="B28" s="210">
        <v>2.8566254381004117</v>
      </c>
      <c r="C28" s="211">
        <f>J24</f>
        <v>1.536878431</v>
      </c>
      <c r="D28" s="211">
        <f>U36</f>
        <v>2.837159628</v>
      </c>
      <c r="E28" s="211">
        <f>P36</f>
        <v>0.6763106212</v>
      </c>
    </row>
    <row r="29">
      <c r="A29" s="83" t="s">
        <v>457</v>
      </c>
      <c r="B29" s="210">
        <v>2.8566254381004117</v>
      </c>
      <c r="C29" s="211">
        <f>H24</f>
        <v>1.443311643</v>
      </c>
      <c r="D29" s="211">
        <f>X36</f>
        <v>1.538421983</v>
      </c>
      <c r="E29" s="211">
        <f>N36</f>
        <v>0.39819903</v>
      </c>
    </row>
    <row r="30">
      <c r="A30" s="83" t="s">
        <v>458</v>
      </c>
      <c r="B30" s="210">
        <v>2.4890850951091488</v>
      </c>
      <c r="C30" s="211">
        <f>K24</f>
        <v>0.351888537</v>
      </c>
      <c r="D30" s="211">
        <f>V36</f>
        <v>1.60251083</v>
      </c>
      <c r="E30" s="211">
        <f>Q36</f>
        <v>0.2095161906</v>
      </c>
    </row>
    <row r="31">
      <c r="A31" s="83" t="s">
        <v>459</v>
      </c>
      <c r="B31" s="210">
        <v>4.499639941670267</v>
      </c>
      <c r="C31" s="211">
        <f>L24</f>
        <v>0.6735213437</v>
      </c>
      <c r="D31" s="211">
        <f>W36</f>
        <v>0.7159074527</v>
      </c>
      <c r="E31" s="211">
        <f>R36</f>
        <v>0.3695418003</v>
      </c>
    </row>
    <row r="33">
      <c r="A33" s="149">
        <v>30.0</v>
      </c>
      <c r="B33" s="149">
        <v>2.541850787914825</v>
      </c>
      <c r="C33" s="149">
        <v>2.541850787914825</v>
      </c>
      <c r="D33" s="149">
        <v>2.541850787914825</v>
      </c>
      <c r="E33" s="149">
        <v>2.2079713179202862</v>
      </c>
      <c r="F33" s="149">
        <v>4.143926391894069</v>
      </c>
      <c r="G33" s="149">
        <v>13.977450073558833</v>
      </c>
      <c r="H33" s="149">
        <v>1.119077573231451</v>
      </c>
      <c r="I33" s="149">
        <v>0.5270694154553197</v>
      </c>
      <c r="J33" s="149">
        <v>1.193502947926037</v>
      </c>
      <c r="K33" s="149">
        <v>0.29279036467157626</v>
      </c>
      <c r="L33" s="149">
        <v>0.5154814658758132</v>
      </c>
      <c r="M33" s="149">
        <v>4.109264790240685</v>
      </c>
      <c r="N33" s="149">
        <v>0.35171063514956025</v>
      </c>
      <c r="O33" s="149">
        <v>0.5463978465360215</v>
      </c>
      <c r="P33" s="149">
        <v>0.5936140440638595</v>
      </c>
      <c r="Q33" s="149">
        <v>0.19323160606768391</v>
      </c>
      <c r="R33" s="149">
        <v>0.32505486274945133</v>
      </c>
      <c r="S33" s="149">
        <v>2.0100089945665767</v>
      </c>
      <c r="T33" s="149">
        <v>2.34000199835998</v>
      </c>
      <c r="U33" s="149">
        <v>2.4900021264599785</v>
      </c>
      <c r="V33" s="149">
        <v>1.4216678807699876</v>
      </c>
      <c r="W33" s="149">
        <v>0.6516672231899945</v>
      </c>
      <c r="X33" s="149">
        <v>1.3583344933499883</v>
      </c>
      <c r="Y33" s="149">
        <v>0.8233340364599928</v>
      </c>
      <c r="Z33" s="149">
        <v>0.8883340919699922</v>
      </c>
      <c r="AA33" s="149">
        <v>0.5366671249799954</v>
      </c>
      <c r="AB33" s="149">
        <v>0.30000025619999743</v>
      </c>
      <c r="AC33" s="149">
        <v>0.4983337589099957</v>
      </c>
      <c r="AD33" s="149">
        <v>8.26167372212993</v>
      </c>
      <c r="AE33" s="149">
        <v>3.0466692685199734</v>
      </c>
    </row>
    <row r="34">
      <c r="A34" s="149">
        <v>31.0</v>
      </c>
      <c r="B34" s="149">
        <v>2.6455626668777064</v>
      </c>
      <c r="C34" s="149">
        <v>2.6455626668777064</v>
      </c>
      <c r="D34" s="149">
        <v>2.6455626668777064</v>
      </c>
      <c r="E34" s="149">
        <v>2.300766156992338</v>
      </c>
      <c r="F34" s="149">
        <v>4.2631040773689595</v>
      </c>
      <c r="G34" s="149">
        <v>14.500558234994417</v>
      </c>
      <c r="H34" s="148"/>
      <c r="I34" s="148"/>
      <c r="J34" s="148"/>
      <c r="K34" s="148"/>
      <c r="L34" s="148"/>
      <c r="M34" s="148"/>
      <c r="N34" s="149">
        <v>0.36699449099672177</v>
      </c>
      <c r="O34" s="149">
        <v>0.5730536189361304</v>
      </c>
      <c r="P34" s="149">
        <v>0.621452495785475</v>
      </c>
      <c r="Q34" s="149">
        <v>0.19878110134552232</v>
      </c>
      <c r="R34" s="149">
        <v>0.3396109159372241</v>
      </c>
      <c r="S34" s="149">
        <v>2.0998926230010735</v>
      </c>
      <c r="T34" s="148">
        <f t="shared" ref="T34:T35" si="3">$T$33+((($T$38-$T$33)/($A$38-$A$33))*($A34-$A$33))</f>
        <v>2.449331058</v>
      </c>
      <c r="U34" s="148"/>
      <c r="V34" s="148"/>
      <c r="W34" s="148"/>
      <c r="X34" s="148"/>
      <c r="Y34" s="148"/>
      <c r="Z34" s="148"/>
      <c r="AA34" s="148"/>
      <c r="AB34" s="148"/>
      <c r="AC34" s="148"/>
      <c r="AD34" s="148"/>
      <c r="AE34" s="148"/>
    </row>
    <row r="35">
      <c r="A35" s="149">
        <v>32.0</v>
      </c>
      <c r="B35" s="149">
        <v>2.751094052489059</v>
      </c>
      <c r="C35" s="149">
        <v>2.751094052489059</v>
      </c>
      <c r="D35" s="149">
        <v>2.751094052489059</v>
      </c>
      <c r="E35" s="149">
        <v>2.3944707493886255</v>
      </c>
      <c r="F35" s="149">
        <v>4.381372009519613</v>
      </c>
      <c r="G35" s="149">
        <v>15.029124916375416</v>
      </c>
      <c r="H35" s="148"/>
      <c r="I35" s="148"/>
      <c r="J35" s="148"/>
      <c r="K35" s="148"/>
      <c r="L35" s="148"/>
      <c r="M35" s="148"/>
      <c r="N35" s="149">
        <v>0.38200542084661243</v>
      </c>
      <c r="O35" s="149">
        <v>0.5994364653389685</v>
      </c>
      <c r="P35" s="149">
        <v>0.6491089968422432</v>
      </c>
      <c r="Q35" s="149">
        <v>0.20414864595851354</v>
      </c>
      <c r="R35" s="149">
        <v>0.3540759937925734</v>
      </c>
      <c r="S35" s="149">
        <v>2.1887755227789114</v>
      </c>
      <c r="T35" s="148">
        <f t="shared" si="3"/>
        <v>2.558660118</v>
      </c>
      <c r="U35" s="148"/>
      <c r="V35" s="148"/>
      <c r="W35" s="148"/>
      <c r="X35" s="148"/>
      <c r="Y35" s="148"/>
      <c r="Z35" s="148"/>
      <c r="AA35" s="148"/>
      <c r="AB35" s="148"/>
      <c r="AC35" s="148"/>
      <c r="AD35" s="148"/>
      <c r="AE35" s="148"/>
    </row>
    <row r="36">
      <c r="A36" s="206">
        <v>33.0</v>
      </c>
      <c r="B36" s="206">
        <v>2.8566254381004117</v>
      </c>
      <c r="C36" s="206">
        <v>2.8566254381004117</v>
      </c>
      <c r="D36" s="206">
        <v>2.8566254381004117</v>
      </c>
      <c r="E36" s="206">
        <v>2.4890850951091488</v>
      </c>
      <c r="F36" s="206">
        <v>4.499639941670267</v>
      </c>
      <c r="G36" s="206">
        <v>15.558601351080652</v>
      </c>
      <c r="H36" s="206">
        <v>1.4433116428854766</v>
      </c>
      <c r="I36" s="206">
        <v>0.7700723757999016</v>
      </c>
      <c r="J36" s="206">
        <v>1.5368784313067287</v>
      </c>
      <c r="K36" s="206">
        <v>0.3518885370482132</v>
      </c>
      <c r="L36" s="206">
        <v>0.6735213437456824</v>
      </c>
      <c r="M36" s="206">
        <v>5.073330387933362</v>
      </c>
      <c r="N36" s="206">
        <v>0.3981990300180097</v>
      </c>
      <c r="O36" s="206">
        <v>0.6255463857445361</v>
      </c>
      <c r="P36" s="206">
        <v>0.6763106212368937</v>
      </c>
      <c r="Q36" s="206">
        <v>0.20951619057150475</v>
      </c>
      <c r="R36" s="206">
        <v>0.36954180030458195</v>
      </c>
      <c r="S36" s="206">
        <v>2.2790230525431023</v>
      </c>
      <c r="T36" s="208">
        <f t="shared" ref="T36:Y36" si="4">T$33+(((T$38-T$33)/($A$38-$A$33))*($A36-$A$33))</f>
        <v>2.667989178</v>
      </c>
      <c r="U36" s="208">
        <f t="shared" si="4"/>
        <v>2.837159628</v>
      </c>
      <c r="V36" s="208">
        <f t="shared" si="4"/>
        <v>1.60251083</v>
      </c>
      <c r="W36" s="208">
        <f t="shared" si="4"/>
        <v>0.7159074527</v>
      </c>
      <c r="X36" s="208">
        <f t="shared" si="4"/>
        <v>1.538421983</v>
      </c>
      <c r="Y36" s="208">
        <f t="shared" si="4"/>
        <v>0.8863340903</v>
      </c>
      <c r="Z36" s="208"/>
      <c r="AA36" s="208"/>
      <c r="AB36" s="208"/>
      <c r="AC36" s="208"/>
      <c r="AD36" s="208"/>
      <c r="AE36" s="208"/>
    </row>
    <row r="37">
      <c r="A37" s="149">
        <v>34.0</v>
      </c>
      <c r="B37" s="149">
        <v>2.9630665770360007</v>
      </c>
      <c r="C37" s="149">
        <v>2.9630665770360007</v>
      </c>
      <c r="D37" s="149">
        <v>2.9630665770360007</v>
      </c>
      <c r="E37" s="149">
        <v>2.584609194153908</v>
      </c>
      <c r="F37" s="149">
        <v>4.616998120496684</v>
      </c>
      <c r="G37" s="149">
        <v>16.090807045758595</v>
      </c>
      <c r="H37" s="148"/>
      <c r="I37" s="148"/>
      <c r="J37" s="148"/>
      <c r="K37" s="148"/>
      <c r="L37" s="148"/>
      <c r="M37" s="148"/>
      <c r="N37" s="149">
        <v>0.4141197131921362</v>
      </c>
      <c r="O37" s="149">
        <v>0.6535667881309988</v>
      </c>
      <c r="P37" s="149">
        <v>0.7056956536097101</v>
      </c>
      <c r="Q37" s="149">
        <v>0.21461080918722522</v>
      </c>
      <c r="R37" s="149">
        <v>0.38482565615174336</v>
      </c>
      <c r="S37" s="149">
        <v>2.372909595604237</v>
      </c>
      <c r="T37" s="148">
        <f>$T$33+((($T$38-$T$33)/($A$38-$A$33))*($A37-$A$33))</f>
        <v>2.777318238</v>
      </c>
      <c r="U37" s="148"/>
      <c r="V37" s="148"/>
      <c r="W37" s="148"/>
      <c r="X37" s="148"/>
      <c r="Y37" s="148"/>
      <c r="Z37" s="148"/>
      <c r="AA37" s="148"/>
      <c r="AB37" s="148"/>
      <c r="AC37" s="148"/>
      <c r="AD37" s="148"/>
      <c r="AE37" s="148"/>
    </row>
    <row r="38">
      <c r="A38" s="149">
        <v>35.0</v>
      </c>
      <c r="B38" s="149">
        <v>3.0704174692958253</v>
      </c>
      <c r="C38" s="149">
        <v>3.0704174692958253</v>
      </c>
      <c r="D38" s="149">
        <v>3.0704174692958253</v>
      </c>
      <c r="E38" s="149">
        <v>2.6810430465229027</v>
      </c>
      <c r="F38" s="149">
        <v>4.734356299323103</v>
      </c>
      <c r="G38" s="149">
        <v>16.62665175373348</v>
      </c>
      <c r="H38" s="148"/>
      <c r="I38" s="148"/>
      <c r="J38" s="148"/>
      <c r="K38" s="148"/>
      <c r="L38" s="148"/>
      <c r="M38" s="148"/>
      <c r="N38" s="149">
        <v>0.42985844570141546</v>
      </c>
      <c r="O38" s="149">
        <v>0.6814052398526143</v>
      </c>
      <c r="P38" s="149">
        <v>0.7348077599852556</v>
      </c>
      <c r="Q38" s="149">
        <v>0.2196144524705221</v>
      </c>
      <c r="R38" s="149">
        <v>0.40001853666648124</v>
      </c>
      <c r="S38" s="149">
        <v>2.4657044346762884</v>
      </c>
      <c r="T38" s="149">
        <v>2.886647297800194</v>
      </c>
      <c r="U38" s="149">
        <v>3.0685979626473534</v>
      </c>
      <c r="V38" s="149">
        <v>1.7230727961026053</v>
      </c>
      <c r="W38" s="149">
        <v>0.7587342724126572</v>
      </c>
      <c r="X38" s="149">
        <v>1.6584803100818635</v>
      </c>
      <c r="Y38" s="149">
        <v>0.928334126129992</v>
      </c>
      <c r="Z38" s="149">
        <v>0.9966675178199914</v>
      </c>
      <c r="AA38" s="149">
        <v>0.5966671762199948</v>
      </c>
      <c r="AB38" s="149">
        <v>0.32000027327999725</v>
      </c>
      <c r="AC38" s="149">
        <v>0.5583338101499952</v>
      </c>
      <c r="AD38" s="149">
        <v>10.095532639044674</v>
      </c>
      <c r="AE38" s="149">
        <v>3.4000029035999706</v>
      </c>
    </row>
    <row r="40">
      <c r="A40" s="204" t="s">
        <v>94</v>
      </c>
    </row>
    <row r="41">
      <c r="A41" s="148" t="s">
        <v>333</v>
      </c>
      <c r="B41" s="148" t="s">
        <v>36</v>
      </c>
      <c r="C41" s="148" t="s">
        <v>460</v>
      </c>
      <c r="D41" s="148" t="s">
        <v>39</v>
      </c>
      <c r="E41" s="148" t="s">
        <v>421</v>
      </c>
      <c r="F41" s="148" t="s">
        <v>422</v>
      </c>
      <c r="G41" s="148" t="s">
        <v>38</v>
      </c>
      <c r="H41" s="148"/>
      <c r="I41" s="148"/>
      <c r="J41" s="148"/>
      <c r="K41" s="148"/>
      <c r="L41" s="148"/>
      <c r="M41" s="148"/>
      <c r="N41" s="148"/>
      <c r="O41" s="148"/>
      <c r="P41" s="148"/>
      <c r="Q41" s="148"/>
      <c r="R41" s="148"/>
      <c r="S41" s="148"/>
      <c r="T41" s="148"/>
      <c r="U41" s="148"/>
      <c r="V41" s="148"/>
      <c r="W41" s="148"/>
      <c r="X41" s="148"/>
      <c r="Y41" s="148"/>
      <c r="Z41" s="148"/>
    </row>
    <row r="42">
      <c r="A42" s="206">
        <v>7.0</v>
      </c>
      <c r="B42" s="210">
        <v>119.0230286</v>
      </c>
      <c r="C42" s="206">
        <v>42.613028084</v>
      </c>
      <c r="D42" s="210">
        <v>33.4053166047834</v>
      </c>
      <c r="E42" s="210">
        <v>18.7000161568</v>
      </c>
      <c r="F42" s="206">
        <v>10.00000864</v>
      </c>
      <c r="G42" s="210">
        <v>8.68098731477704</v>
      </c>
      <c r="H42" s="148"/>
      <c r="I42" s="148"/>
      <c r="J42" s="148"/>
      <c r="K42" s="148"/>
      <c r="L42" s="148"/>
      <c r="M42" s="148"/>
      <c r="N42" s="148"/>
      <c r="O42" s="148"/>
      <c r="P42" s="148"/>
      <c r="Q42" s="148"/>
      <c r="R42" s="148"/>
      <c r="S42" s="148"/>
      <c r="T42" s="148"/>
      <c r="U42" s="148"/>
      <c r="V42" s="148"/>
      <c r="W42" s="148"/>
      <c r="X42" s="148"/>
      <c r="Y42" s="148"/>
      <c r="Z42" s="148"/>
    </row>
    <row r="44">
      <c r="A44" s="204" t="s">
        <v>461</v>
      </c>
    </row>
    <row r="45">
      <c r="A45" s="148" t="s">
        <v>333</v>
      </c>
      <c r="B45" s="148" t="s">
        <v>462</v>
      </c>
      <c r="C45" s="148" t="s">
        <v>463</v>
      </c>
      <c r="D45" s="148" t="s">
        <v>464</v>
      </c>
      <c r="E45" s="148" t="s">
        <v>465</v>
      </c>
      <c r="F45" s="148" t="s">
        <v>466</v>
      </c>
      <c r="G45" s="148" t="s">
        <v>467</v>
      </c>
      <c r="H45" s="148" t="s">
        <v>468</v>
      </c>
      <c r="I45" s="148" t="s">
        <v>469</v>
      </c>
      <c r="J45" s="148" t="s">
        <v>470</v>
      </c>
      <c r="K45" s="148" t="s">
        <v>471</v>
      </c>
      <c r="L45" s="148" t="s">
        <v>472</v>
      </c>
      <c r="M45" s="148" t="s">
        <v>473</v>
      </c>
      <c r="N45" s="148" t="s">
        <v>474</v>
      </c>
      <c r="O45" s="148" t="s">
        <v>475</v>
      </c>
      <c r="P45" s="148" t="s">
        <v>476</v>
      </c>
      <c r="Q45" s="148" t="s">
        <v>477</v>
      </c>
      <c r="R45" s="148" t="s">
        <v>478</v>
      </c>
      <c r="S45" s="148" t="s">
        <v>479</v>
      </c>
      <c r="T45" s="148" t="s">
        <v>480</v>
      </c>
      <c r="U45" s="148" t="s">
        <v>481</v>
      </c>
      <c r="V45" s="148" t="s">
        <v>482</v>
      </c>
      <c r="W45" s="148" t="s">
        <v>483</v>
      </c>
      <c r="X45" s="148"/>
      <c r="Y45" s="148"/>
      <c r="Z45" s="148"/>
    </row>
    <row r="46">
      <c r="A46" s="206">
        <v>18.0</v>
      </c>
      <c r="B46" s="206">
        <v>11.520387856981113</v>
      </c>
      <c r="C46" s="206">
        <v>35.48279459950183</v>
      </c>
      <c r="D46" s="206">
        <v>65.43580302765271</v>
      </c>
      <c r="E46" s="206">
        <v>107.37001482706398</v>
      </c>
      <c r="F46" s="206">
        <v>80.5</v>
      </c>
      <c r="G46" s="206">
        <v>24.793999999999997</v>
      </c>
      <c r="H46" s="206">
        <v>45.72399999999999</v>
      </c>
      <c r="I46" s="206">
        <v>75.026</v>
      </c>
      <c r="J46" s="206">
        <v>29.0</v>
      </c>
      <c r="K46" s="206">
        <v>8.931999999999999</v>
      </c>
      <c r="L46" s="206">
        <v>16.471999999999998</v>
      </c>
      <c r="M46" s="206">
        <v>27.028</v>
      </c>
      <c r="N46" s="206">
        <v>15.322052401746724</v>
      </c>
      <c r="O46" s="206">
        <v>4.719192139737991</v>
      </c>
      <c r="P46" s="206">
        <v>8.70292576419214</v>
      </c>
      <c r="Q46" s="206">
        <v>14.280152838427949</v>
      </c>
      <c r="R46" s="206">
        <v>7.34282624721527</v>
      </c>
      <c r="S46" s="206">
        <v>13.11770176887507</v>
      </c>
      <c r="T46" s="206">
        <v>20.64381313323974</v>
      </c>
      <c r="U46" s="206">
        <v>7.39137542247772</v>
      </c>
      <c r="V46" s="206">
        <v>13.219994306564331</v>
      </c>
      <c r="W46" s="206">
        <v>20.88346910476681</v>
      </c>
      <c r="X46" s="148"/>
      <c r="Y46" s="148"/>
      <c r="Z46" s="148"/>
    </row>
    <row r="47">
      <c r="C47" s="83" t="s">
        <v>36</v>
      </c>
      <c r="D47" s="83" t="s">
        <v>39</v>
      </c>
      <c r="E47" s="83" t="s">
        <v>454</v>
      </c>
      <c r="F47" s="83" t="s">
        <v>38</v>
      </c>
    </row>
    <row r="48">
      <c r="B48" s="83" t="s">
        <v>484</v>
      </c>
      <c r="C48" s="211">
        <f>C46</f>
        <v>35.4827946</v>
      </c>
      <c r="D48" s="211">
        <f>R46</f>
        <v>7.342826247</v>
      </c>
      <c r="E48" s="211">
        <f>G46</f>
        <v>24.794</v>
      </c>
      <c r="F48" s="211">
        <f>O46</f>
        <v>4.71919214</v>
      </c>
    </row>
    <row r="49">
      <c r="B49" s="83" t="s">
        <v>485</v>
      </c>
      <c r="C49" s="211">
        <f>D46</f>
        <v>65.43580303</v>
      </c>
      <c r="D49" s="211">
        <f>S46</f>
        <v>13.11770177</v>
      </c>
      <c r="E49" s="211">
        <f>H46</f>
        <v>45.724</v>
      </c>
      <c r="F49" s="211">
        <f>P46</f>
        <v>8.702925764</v>
      </c>
    </row>
    <row r="50">
      <c r="B50" s="83" t="s">
        <v>486</v>
      </c>
      <c r="C50" s="211">
        <f>E46</f>
        <v>107.3700148</v>
      </c>
      <c r="D50" s="211">
        <f>T46</f>
        <v>20.64381313</v>
      </c>
      <c r="E50" s="211">
        <f>I46</f>
        <v>75.026</v>
      </c>
      <c r="F50" s="211">
        <f>Q46</f>
        <v>14.28015284</v>
      </c>
    </row>
    <row r="51">
      <c r="B51" s="83" t="s">
        <v>487</v>
      </c>
      <c r="C51" s="211">
        <v>35.48279459950183</v>
      </c>
      <c r="D51" s="211">
        <f>U46</f>
        <v>7.391375422</v>
      </c>
      <c r="E51" s="211">
        <v>24.793999999999997</v>
      </c>
      <c r="F51" s="211">
        <v>4.719192139737991</v>
      </c>
    </row>
    <row r="52">
      <c r="B52" s="83" t="s">
        <v>488</v>
      </c>
      <c r="C52" s="211">
        <v>65.43580302765271</v>
      </c>
      <c r="D52" s="211">
        <f>V46</f>
        <v>13.21999431</v>
      </c>
      <c r="E52" s="211">
        <v>45.72399999999999</v>
      </c>
      <c r="F52" s="211">
        <v>8.70292576419214</v>
      </c>
    </row>
    <row r="53">
      <c r="B53" s="83" t="s">
        <v>489</v>
      </c>
      <c r="C53" s="211">
        <v>107.37001482706398</v>
      </c>
      <c r="D53" s="211">
        <f>W46</f>
        <v>20.8834691</v>
      </c>
      <c r="E53" s="211">
        <v>75.026</v>
      </c>
      <c r="F53" s="211">
        <v>14.280152838427949</v>
      </c>
    </row>
    <row r="54">
      <c r="A54" s="99"/>
    </row>
    <row r="55">
      <c r="A55" s="204" t="s">
        <v>152</v>
      </c>
    </row>
    <row r="56">
      <c r="A56" s="148" t="s">
        <v>333</v>
      </c>
      <c r="B56" s="148" t="s">
        <v>36</v>
      </c>
      <c r="C56" s="148" t="s">
        <v>490</v>
      </c>
      <c r="D56" s="148" t="s">
        <v>491</v>
      </c>
      <c r="E56" s="148" t="s">
        <v>378</v>
      </c>
      <c r="F56" s="148" t="s">
        <v>39</v>
      </c>
      <c r="G56" s="148"/>
      <c r="H56" s="148"/>
      <c r="I56" s="148"/>
      <c r="J56" s="148"/>
      <c r="K56" s="148"/>
      <c r="L56" s="148"/>
      <c r="M56" s="148"/>
      <c r="N56" s="148"/>
      <c r="O56" s="148"/>
      <c r="P56" s="148"/>
      <c r="Q56" s="148"/>
      <c r="R56" s="148"/>
      <c r="S56" s="148"/>
      <c r="T56" s="148"/>
      <c r="U56" s="148"/>
      <c r="V56" s="148"/>
      <c r="W56" s="148"/>
      <c r="X56" s="148"/>
      <c r="Y56" s="148"/>
      <c r="Z56" s="148"/>
    </row>
    <row r="57">
      <c r="A57" s="206">
        <v>11.0</v>
      </c>
      <c r="B57" s="206">
        <v>81.44458314499892</v>
      </c>
      <c r="C57" s="206">
        <v>4.250012172007344</v>
      </c>
      <c r="D57" s="206">
        <v>1.583337868002736</v>
      </c>
      <c r="E57" s="206">
        <v>0.9739777194149364</v>
      </c>
      <c r="F57" s="206">
        <v>0.0020158337868902273</v>
      </c>
      <c r="G57" s="148"/>
      <c r="H57" s="148"/>
      <c r="I57" s="148"/>
      <c r="J57" s="148"/>
      <c r="K57" s="148"/>
      <c r="L57" s="148"/>
      <c r="M57" s="148"/>
      <c r="N57" s="148"/>
      <c r="O57" s="148"/>
      <c r="P57" s="148"/>
      <c r="Q57" s="148"/>
      <c r="R57" s="148"/>
      <c r="S57" s="148"/>
      <c r="T57" s="148"/>
      <c r="U57" s="148"/>
      <c r="V57" s="148"/>
      <c r="W57" s="148"/>
      <c r="X57" s="148"/>
      <c r="Y57" s="148"/>
      <c r="Z57" s="148"/>
    </row>
    <row r="59">
      <c r="A59" s="204" t="s">
        <v>185</v>
      </c>
    </row>
    <row r="60">
      <c r="A60" s="148" t="s">
        <v>333</v>
      </c>
      <c r="B60" s="148" t="s">
        <v>36</v>
      </c>
      <c r="C60" s="148" t="s">
        <v>490</v>
      </c>
      <c r="D60" s="148" t="s">
        <v>492</v>
      </c>
      <c r="E60" s="148" t="s">
        <v>493</v>
      </c>
      <c r="F60" s="148" t="s">
        <v>39</v>
      </c>
      <c r="G60" s="148"/>
      <c r="H60" s="148"/>
      <c r="I60" s="148"/>
      <c r="J60" s="148"/>
      <c r="K60" s="148"/>
      <c r="L60" s="148"/>
      <c r="M60" s="148"/>
      <c r="N60" s="148"/>
      <c r="O60" s="148"/>
      <c r="P60" s="148"/>
      <c r="Q60" s="148"/>
      <c r="R60" s="148"/>
      <c r="S60" s="148"/>
      <c r="T60" s="148"/>
      <c r="U60" s="148"/>
      <c r="V60" s="148"/>
      <c r="W60" s="148"/>
      <c r="X60" s="148"/>
      <c r="Y60" s="148"/>
      <c r="Z60" s="148"/>
    </row>
    <row r="61">
      <c r="A61" s="206">
        <v>11.0</v>
      </c>
      <c r="B61" s="206">
        <v>6.632553894226798</v>
      </c>
      <c r="C61" s="206">
        <v>4.99999931999568</v>
      </c>
      <c r="D61" s="206">
        <v>1.999999727998272</v>
      </c>
      <c r="E61" s="206">
        <v>36.68824480372253</v>
      </c>
      <c r="F61" s="206">
        <v>0.21569302723916992</v>
      </c>
      <c r="G61" s="148"/>
      <c r="H61" s="148"/>
      <c r="I61" s="148"/>
      <c r="J61" s="148"/>
      <c r="K61" s="148"/>
      <c r="L61" s="148"/>
      <c r="M61" s="148"/>
      <c r="N61" s="148"/>
      <c r="O61" s="148"/>
      <c r="P61" s="148"/>
      <c r="Q61" s="148"/>
      <c r="R61" s="148"/>
      <c r="S61" s="148"/>
      <c r="T61" s="148"/>
      <c r="U61" s="148"/>
      <c r="V61" s="148"/>
      <c r="W61" s="148"/>
      <c r="X61" s="148"/>
      <c r="Y61" s="148"/>
      <c r="Z61" s="148"/>
    </row>
    <row r="63">
      <c r="A63" s="204" t="s">
        <v>221</v>
      </c>
    </row>
    <row r="64">
      <c r="A64" s="148" t="s">
        <v>333</v>
      </c>
      <c r="B64" s="148" t="s">
        <v>494</v>
      </c>
      <c r="C64" s="148" t="s">
        <v>495</v>
      </c>
      <c r="D64" s="148" t="s">
        <v>496</v>
      </c>
      <c r="E64" s="148" t="s">
        <v>497</v>
      </c>
      <c r="F64" s="148" t="s">
        <v>496</v>
      </c>
      <c r="G64" s="148" t="s">
        <v>498</v>
      </c>
      <c r="H64" s="148" t="s">
        <v>499</v>
      </c>
      <c r="I64" s="148" t="s">
        <v>500</v>
      </c>
      <c r="J64" s="148" t="s">
        <v>501</v>
      </c>
      <c r="K64" s="148" t="s">
        <v>502</v>
      </c>
      <c r="L64" s="148"/>
      <c r="M64" s="148"/>
      <c r="N64" s="148"/>
      <c r="O64" s="148"/>
      <c r="P64" s="148"/>
      <c r="Q64" s="148"/>
      <c r="R64" s="148"/>
      <c r="S64" s="148"/>
      <c r="T64" s="148"/>
      <c r="U64" s="148"/>
      <c r="V64" s="148"/>
      <c r="W64" s="148"/>
      <c r="X64" s="148"/>
      <c r="Y64" s="148"/>
      <c r="Z64" s="148"/>
    </row>
    <row r="65">
      <c r="A65" s="206">
        <v>33.0</v>
      </c>
      <c r="B65" s="206">
        <v>82.61744749497547</v>
      </c>
      <c r="C65" s="206">
        <v>41.0500354672</v>
      </c>
      <c r="D65" s="206">
        <v>38.6500333936</v>
      </c>
      <c r="E65" s="206">
        <v>14.400012441600001</v>
      </c>
      <c r="F65" s="206">
        <v>13.4000115776</v>
      </c>
      <c r="G65" s="206">
        <v>9.82455779790842</v>
      </c>
      <c r="H65" s="206">
        <v>9.087120394933361</v>
      </c>
      <c r="I65" s="206">
        <v>28.4512259737594</v>
      </c>
      <c r="J65" s="206">
        <v>14.819438052345859</v>
      </c>
      <c r="K65" s="206">
        <v>41.747124497432</v>
      </c>
      <c r="L65" s="148"/>
      <c r="M65" s="148"/>
      <c r="N65" s="148"/>
      <c r="O65" s="148"/>
      <c r="P65" s="148"/>
      <c r="Q65" s="148"/>
      <c r="R65" s="148"/>
      <c r="S65" s="148"/>
      <c r="T65" s="148"/>
      <c r="U65" s="148"/>
      <c r="V65" s="148"/>
      <c r="W65" s="148"/>
      <c r="X65" s="148"/>
      <c r="Y65" s="148"/>
      <c r="Z65" s="148"/>
    </row>
    <row r="66">
      <c r="A66" s="83" t="s">
        <v>503</v>
      </c>
      <c r="D66" s="74">
        <f>AVERAGE(C65,D65)</f>
        <v>39.85003443</v>
      </c>
      <c r="H66" s="74">
        <f>AVERAGE(G65,H65)</f>
        <v>9.455839096</v>
      </c>
    </row>
    <row r="67">
      <c r="A67" s="204" t="s">
        <v>231</v>
      </c>
    </row>
    <row r="68">
      <c r="A68" s="148" t="s">
        <v>333</v>
      </c>
      <c r="B68" s="148" t="s">
        <v>36</v>
      </c>
      <c r="C68" s="148" t="s">
        <v>490</v>
      </c>
      <c r="D68" s="148" t="s">
        <v>491</v>
      </c>
      <c r="E68" s="148" t="s">
        <v>38</v>
      </c>
      <c r="F68" s="148" t="s">
        <v>39</v>
      </c>
      <c r="G68" s="148"/>
      <c r="H68" s="148"/>
      <c r="I68" s="148"/>
      <c r="J68" s="148"/>
      <c r="K68" s="148"/>
      <c r="L68" s="148"/>
      <c r="M68" s="148"/>
      <c r="N68" s="148"/>
      <c r="O68" s="148"/>
      <c r="P68" s="148"/>
      <c r="Q68" s="148"/>
      <c r="R68" s="148"/>
      <c r="S68" s="148"/>
      <c r="T68" s="148"/>
      <c r="U68" s="148"/>
      <c r="V68" s="148"/>
      <c r="W68" s="148"/>
      <c r="X68" s="148"/>
      <c r="Y68" s="148"/>
      <c r="Z68" s="148"/>
    </row>
    <row r="69">
      <c r="A69" s="206">
        <v>33.0</v>
      </c>
      <c r="B69" s="206">
        <v>32.59733174978482</v>
      </c>
      <c r="C69" s="206">
        <v>17.250014904</v>
      </c>
      <c r="D69" s="206">
        <v>6.050005227200001</v>
      </c>
      <c r="E69" s="206">
        <v>4.020808070045041</v>
      </c>
      <c r="F69" s="206">
        <v>19.03757595718504</v>
      </c>
      <c r="G69" s="148"/>
      <c r="H69" s="148"/>
      <c r="I69" s="148"/>
      <c r="J69" s="148"/>
      <c r="K69" s="148"/>
      <c r="L69" s="148"/>
      <c r="M69" s="148"/>
      <c r="N69" s="148"/>
      <c r="O69" s="148"/>
      <c r="P69" s="148"/>
      <c r="Q69" s="148"/>
      <c r="R69" s="148"/>
      <c r="S69" s="148"/>
      <c r="T69" s="148"/>
      <c r="U69" s="148"/>
      <c r="V69" s="148"/>
      <c r="W69" s="148"/>
      <c r="X69" s="148"/>
      <c r="Y69" s="148"/>
      <c r="Z69" s="148"/>
    </row>
    <row r="71">
      <c r="A71" s="204" t="s">
        <v>250</v>
      </c>
    </row>
    <row r="72">
      <c r="A72" s="148" t="s">
        <v>333</v>
      </c>
      <c r="B72" s="148" t="s">
        <v>36</v>
      </c>
      <c r="C72" s="148" t="s">
        <v>39</v>
      </c>
      <c r="D72" s="148" t="s">
        <v>490</v>
      </c>
      <c r="E72" s="148" t="s">
        <v>491</v>
      </c>
      <c r="F72" s="148" t="s">
        <v>38</v>
      </c>
      <c r="G72" s="148"/>
      <c r="H72" s="148"/>
      <c r="I72" s="148"/>
      <c r="J72" s="148"/>
      <c r="K72" s="148"/>
      <c r="L72" s="148"/>
      <c r="M72" s="148"/>
      <c r="N72" s="148"/>
      <c r="O72" s="148"/>
      <c r="P72" s="148"/>
      <c r="Q72" s="148"/>
      <c r="R72" s="148"/>
      <c r="S72" s="148"/>
      <c r="T72" s="148"/>
      <c r="U72" s="148"/>
      <c r="V72" s="148"/>
      <c r="W72" s="148"/>
      <c r="X72" s="148"/>
      <c r="Y72" s="148"/>
      <c r="Z72" s="148"/>
    </row>
    <row r="73">
      <c r="A73" s="206">
        <v>22.0</v>
      </c>
      <c r="B73" s="206">
        <v>142.07180501660264</v>
      </c>
      <c r="C73" s="206">
        <v>38.06641913659625</v>
      </c>
      <c r="D73" s="206">
        <v>251.0126164697132</v>
      </c>
      <c r="E73" s="206">
        <v>81.81253796097172</v>
      </c>
      <c r="F73" s="206">
        <v>52.06747926299296</v>
      </c>
      <c r="G73" s="148"/>
      <c r="H73" s="148"/>
      <c r="I73" s="148"/>
      <c r="J73" s="148"/>
      <c r="K73" s="148"/>
      <c r="L73" s="148"/>
      <c r="M73" s="148"/>
      <c r="N73" s="148"/>
      <c r="O73" s="148"/>
      <c r="P73" s="148"/>
      <c r="Q73" s="148"/>
      <c r="R73" s="148"/>
      <c r="S73" s="148"/>
      <c r="T73" s="148"/>
      <c r="U73" s="148"/>
      <c r="V73" s="148"/>
      <c r="W73" s="148"/>
      <c r="X73" s="148"/>
      <c r="Y73" s="148"/>
      <c r="Z73" s="148"/>
    </row>
    <row r="75">
      <c r="A75" s="204" t="s">
        <v>504</v>
      </c>
    </row>
    <row r="76">
      <c r="A76" s="148" t="s">
        <v>333</v>
      </c>
      <c r="B76" s="148" t="s">
        <v>505</v>
      </c>
      <c r="C76" s="148" t="s">
        <v>506</v>
      </c>
      <c r="D76" s="148" t="s">
        <v>507</v>
      </c>
      <c r="E76" s="148" t="s">
        <v>508</v>
      </c>
      <c r="F76" s="148" t="s">
        <v>509</v>
      </c>
      <c r="G76" s="148" t="s">
        <v>510</v>
      </c>
      <c r="H76" s="148" t="s">
        <v>511</v>
      </c>
      <c r="I76" s="148" t="s">
        <v>512</v>
      </c>
      <c r="J76" s="148" t="s">
        <v>513</v>
      </c>
      <c r="K76" s="148" t="s">
        <v>514</v>
      </c>
      <c r="L76" s="148" t="s">
        <v>515</v>
      </c>
      <c r="M76" s="148" t="s">
        <v>516</v>
      </c>
      <c r="N76" s="148" t="s">
        <v>517</v>
      </c>
      <c r="O76" s="148" t="s">
        <v>518</v>
      </c>
      <c r="P76" s="148" t="s">
        <v>519</v>
      </c>
      <c r="Q76" s="148" t="s">
        <v>520</v>
      </c>
      <c r="R76" s="148"/>
      <c r="S76" s="148"/>
      <c r="T76" s="148"/>
      <c r="U76" s="148"/>
      <c r="V76" s="148"/>
      <c r="W76" s="148"/>
      <c r="X76" s="148"/>
      <c r="Y76" s="148"/>
      <c r="Z76" s="148"/>
    </row>
    <row r="77">
      <c r="A77" s="206">
        <v>48.0</v>
      </c>
      <c r="B77" s="206">
        <v>115.67313401053003</v>
      </c>
      <c r="C77" s="206">
        <v>50.330828762111445</v>
      </c>
      <c r="D77" s="206">
        <v>23.0052057981195</v>
      </c>
      <c r="E77" s="206">
        <v>52.7439464907304</v>
      </c>
      <c r="F77" s="206">
        <v>12.614339803780174</v>
      </c>
      <c r="G77" s="206">
        <v>10.746960195365586</v>
      </c>
      <c r="H77" s="206">
        <v>22.0655672096336</v>
      </c>
      <c r="I77" s="206">
        <v>4.801833278780369</v>
      </c>
      <c r="J77" s="206">
        <v>4.420735399512085</v>
      </c>
      <c r="K77" s="206">
        <v>15.698465179175487</v>
      </c>
      <c r="L77" s="206">
        <v>3.216599678743314</v>
      </c>
      <c r="M77" s="206">
        <v>3.0089634792912547</v>
      </c>
      <c r="N77" s="206">
        <v>91.27340476919873</v>
      </c>
      <c r="O77" s="206">
        <v>27.181549205764654</v>
      </c>
      <c r="P77" s="206">
        <v>4.245757074950089</v>
      </c>
      <c r="Q77" s="210">
        <v>121.86314270139945</v>
      </c>
      <c r="R77" s="148"/>
      <c r="S77" s="148"/>
      <c r="T77" s="148"/>
      <c r="U77" s="148"/>
      <c r="V77" s="148"/>
      <c r="W77" s="148"/>
      <c r="X77" s="148"/>
      <c r="Y77" s="148"/>
      <c r="Z77" s="148"/>
    </row>
    <row r="78">
      <c r="A78" s="83" t="s">
        <v>521</v>
      </c>
      <c r="D78" s="74">
        <f>SUM(B77:D77)</f>
        <v>189.0091686</v>
      </c>
      <c r="G78" s="74">
        <f>SUM(E77:G77)</f>
        <v>76.10524649</v>
      </c>
      <c r="M78" s="74">
        <f>SUM(K77:M77)</f>
        <v>21.92402834</v>
      </c>
    </row>
  </sheetData>
  <mergeCells count="11">
    <mergeCell ref="A63:AE63"/>
    <mergeCell ref="A67:AE67"/>
    <mergeCell ref="A71:AE71"/>
    <mergeCell ref="A75:AE75"/>
    <mergeCell ref="A1:AA1"/>
    <mergeCell ref="A15:AA15"/>
    <mergeCell ref="A19:AE19"/>
    <mergeCell ref="A40:AE40"/>
    <mergeCell ref="A44:AE44"/>
    <mergeCell ref="A55:AE55"/>
    <mergeCell ref="A59:AE59"/>
  </mergeCells>
  <drawing r:id="rId1"/>
</worksheet>
</file>