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9 Nærings-PhD\07 Resultater\PFOA sorption experiment\"/>
    </mc:Choice>
  </mc:AlternateContent>
  <xr:revisionPtr revIDLastSave="0" documentId="13_ncr:1_{802561D4-FEE2-4FE3-8DF4-7672F32EF902}" xr6:coauthVersionLast="47" xr6:coauthVersionMax="47" xr10:uidLastSave="{00000000-0000-0000-0000-000000000000}"/>
  <bookViews>
    <workbookView xWindow="-110" yWindow="-110" windowWidth="19420" windowHeight="10420" activeTab="3" xr2:uid="{5BEF3B2B-3708-42B9-B6BB-97940BCB03F6}"/>
  </bookViews>
  <sheets>
    <sheet name="Lab notes" sheetId="1" r:id="rId1"/>
    <sheet name="STD" sheetId="3" r:id="rId2"/>
    <sheet name="Data" sheetId="2" r:id="rId3"/>
    <sheet name="Data blank corrected" sheetId="5" r:id="rId4"/>
    <sheet name="Triplicates" sheetId="6" r:id="rId5"/>
    <sheet name="Blank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Q28" i="6"/>
  <c r="Q27" i="6"/>
  <c r="Q26" i="6"/>
  <c r="Q22" i="6"/>
  <c r="Q21" i="6"/>
  <c r="Q20" i="6"/>
  <c r="Q16" i="6"/>
  <c r="Q15" i="6"/>
  <c r="Q14" i="6"/>
  <c r="Q18" i="6" s="1"/>
  <c r="Q10" i="6"/>
  <c r="Q9" i="6"/>
  <c r="Q11" i="6" s="1"/>
  <c r="Q8" i="6"/>
  <c r="Q3" i="6"/>
  <c r="Q4" i="6"/>
  <c r="Q2" i="6"/>
  <c r="Q62" i="5"/>
  <c r="M28" i="6"/>
  <c r="M27" i="6"/>
  <c r="M26" i="6"/>
  <c r="M30" i="6" s="1"/>
  <c r="M22" i="6"/>
  <c r="M21" i="6"/>
  <c r="M20" i="6"/>
  <c r="M24" i="6" s="1"/>
  <c r="M16" i="6"/>
  <c r="M15" i="6"/>
  <c r="M14" i="6"/>
  <c r="M10" i="6"/>
  <c r="M9" i="6"/>
  <c r="M11" i="6" s="1"/>
  <c r="M8" i="6"/>
  <c r="M4" i="6"/>
  <c r="M3" i="6"/>
  <c r="M2" i="6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31" i="5"/>
  <c r="M32" i="5"/>
  <c r="M33" i="5"/>
  <c r="M34" i="5"/>
  <c r="M35" i="5"/>
  <c r="M36" i="5"/>
  <c r="M37" i="5"/>
  <c r="M38" i="5"/>
  <c r="M39" i="5"/>
  <c r="M40" i="5"/>
  <c r="M4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" i="5"/>
  <c r="M4" i="5"/>
  <c r="M5" i="5"/>
  <c r="M6" i="5"/>
  <c r="M7" i="5"/>
  <c r="M8" i="5"/>
  <c r="M9" i="5"/>
  <c r="M10" i="5"/>
  <c r="M11" i="5"/>
  <c r="M2" i="5"/>
  <c r="K2" i="5"/>
  <c r="E34" i="6"/>
  <c r="Q30" i="6"/>
  <c r="P30" i="6"/>
  <c r="O30" i="6"/>
  <c r="N30" i="6"/>
  <c r="L30" i="6"/>
  <c r="K30" i="6"/>
  <c r="J30" i="6"/>
  <c r="I30" i="6"/>
  <c r="H30" i="6"/>
  <c r="Q29" i="6"/>
  <c r="P29" i="6"/>
  <c r="O29" i="6"/>
  <c r="N29" i="6"/>
  <c r="L29" i="6"/>
  <c r="K29" i="6"/>
  <c r="J29" i="6"/>
  <c r="I29" i="6"/>
  <c r="H29" i="6"/>
  <c r="Q24" i="6"/>
  <c r="P24" i="6"/>
  <c r="O24" i="6"/>
  <c r="N24" i="6"/>
  <c r="L24" i="6"/>
  <c r="K24" i="6"/>
  <c r="J24" i="6"/>
  <c r="I24" i="6"/>
  <c r="H24" i="6"/>
  <c r="Q23" i="6"/>
  <c r="P23" i="6"/>
  <c r="O23" i="6"/>
  <c r="N23" i="6"/>
  <c r="M23" i="6"/>
  <c r="L23" i="6"/>
  <c r="K23" i="6"/>
  <c r="J23" i="6"/>
  <c r="I23" i="6"/>
  <c r="H23" i="6"/>
  <c r="P18" i="6"/>
  <c r="O18" i="6"/>
  <c r="N18" i="6"/>
  <c r="M18" i="6"/>
  <c r="L18" i="6"/>
  <c r="K18" i="6"/>
  <c r="J18" i="6"/>
  <c r="I18" i="6"/>
  <c r="H18" i="6"/>
  <c r="Q17" i="6"/>
  <c r="P17" i="6"/>
  <c r="O17" i="6"/>
  <c r="N17" i="6"/>
  <c r="M17" i="6"/>
  <c r="L17" i="6"/>
  <c r="K17" i="6"/>
  <c r="J17" i="6"/>
  <c r="I17" i="6"/>
  <c r="H17" i="6"/>
  <c r="Q12" i="6"/>
  <c r="P12" i="6"/>
  <c r="O12" i="6"/>
  <c r="N12" i="6"/>
  <c r="L12" i="6"/>
  <c r="K12" i="6"/>
  <c r="J12" i="6"/>
  <c r="I12" i="6"/>
  <c r="H12" i="6"/>
  <c r="P11" i="6"/>
  <c r="O11" i="6"/>
  <c r="N11" i="6"/>
  <c r="L11" i="6"/>
  <c r="K11" i="6"/>
  <c r="J11" i="6"/>
  <c r="I11" i="6"/>
  <c r="H11" i="6"/>
  <c r="I5" i="6"/>
  <c r="J5" i="6"/>
  <c r="K5" i="6"/>
  <c r="L5" i="6"/>
  <c r="M5" i="6"/>
  <c r="N5" i="6"/>
  <c r="O5" i="6"/>
  <c r="P5" i="6"/>
  <c r="I6" i="6"/>
  <c r="J6" i="6"/>
  <c r="K6" i="6"/>
  <c r="L6" i="6"/>
  <c r="M6" i="6"/>
  <c r="N6" i="6"/>
  <c r="O6" i="6"/>
  <c r="P6" i="6"/>
  <c r="H6" i="6"/>
  <c r="H5" i="6"/>
  <c r="L7" i="5"/>
  <c r="L8" i="5"/>
  <c r="L9" i="5"/>
  <c r="L10" i="5"/>
  <c r="P10" i="5" s="1"/>
  <c r="L11" i="5"/>
  <c r="L12" i="5"/>
  <c r="P12" i="5" s="1"/>
  <c r="L13" i="5"/>
  <c r="P13" i="5" s="1"/>
  <c r="L14" i="5"/>
  <c r="P14" i="5" s="1"/>
  <c r="L15" i="5"/>
  <c r="L16" i="5"/>
  <c r="L17" i="5"/>
  <c r="L18" i="5"/>
  <c r="P18" i="5" s="1"/>
  <c r="L19" i="5"/>
  <c r="L20" i="5"/>
  <c r="P20" i="5" s="1"/>
  <c r="L21" i="5"/>
  <c r="P21" i="5" s="1"/>
  <c r="L22" i="5"/>
  <c r="P22" i="5" s="1"/>
  <c r="L23" i="5"/>
  <c r="L24" i="5"/>
  <c r="L25" i="5"/>
  <c r="L26" i="5"/>
  <c r="P26" i="5" s="1"/>
  <c r="L27" i="5"/>
  <c r="L28" i="5"/>
  <c r="P28" i="5" s="1"/>
  <c r="L29" i="5"/>
  <c r="P29" i="5" s="1"/>
  <c r="L30" i="5"/>
  <c r="P30" i="5" s="1"/>
  <c r="L31" i="5"/>
  <c r="L32" i="5"/>
  <c r="L33" i="5"/>
  <c r="L34" i="5"/>
  <c r="L35" i="5"/>
  <c r="P35" i="5" s="1"/>
  <c r="L36" i="5"/>
  <c r="P36" i="5" s="1"/>
  <c r="L37" i="5"/>
  <c r="P37" i="5" s="1"/>
  <c r="L38" i="5"/>
  <c r="L39" i="5"/>
  <c r="L40" i="5"/>
  <c r="L41" i="5"/>
  <c r="L42" i="5"/>
  <c r="P42" i="5" s="1"/>
  <c r="L43" i="5"/>
  <c r="P43" i="5" s="1"/>
  <c r="L44" i="5"/>
  <c r="P44" i="5" s="1"/>
  <c r="L45" i="5"/>
  <c r="P45" i="5" s="1"/>
  <c r="L46" i="5"/>
  <c r="P46" i="5" s="1"/>
  <c r="L47" i="5"/>
  <c r="L48" i="5"/>
  <c r="L49" i="5"/>
  <c r="L50" i="5"/>
  <c r="P50" i="5" s="1"/>
  <c r="L51" i="5"/>
  <c r="P51" i="5" s="1"/>
  <c r="L52" i="5"/>
  <c r="P52" i="5" s="1"/>
  <c r="L53" i="5"/>
  <c r="P53" i="5" s="1"/>
  <c r="L54" i="5"/>
  <c r="P54" i="5" s="1"/>
  <c r="L55" i="5"/>
  <c r="L56" i="5"/>
  <c r="L57" i="5"/>
  <c r="L58" i="5"/>
  <c r="L59" i="5"/>
  <c r="L60" i="5"/>
  <c r="P60" i="5" s="1"/>
  <c r="L61" i="5"/>
  <c r="P61" i="5" s="1"/>
  <c r="L62" i="5"/>
  <c r="P62" i="5" s="1"/>
  <c r="L63" i="5"/>
  <c r="L64" i="5"/>
  <c r="L65" i="5"/>
  <c r="P65" i="5" s="1"/>
  <c r="L66" i="5"/>
  <c r="P66" i="5" s="1"/>
  <c r="L67" i="5"/>
  <c r="P67" i="5" s="1"/>
  <c r="L68" i="5"/>
  <c r="P68" i="5" s="1"/>
  <c r="L69" i="5"/>
  <c r="P69" i="5" s="1"/>
  <c r="L70" i="5"/>
  <c r="P70" i="5" s="1"/>
  <c r="L71" i="5"/>
  <c r="L72" i="5"/>
  <c r="L73" i="5"/>
  <c r="P73" i="5" s="1"/>
  <c r="L74" i="5"/>
  <c r="P74" i="5" s="1"/>
  <c r="L75" i="5"/>
  <c r="P75" i="5" s="1"/>
  <c r="L76" i="5"/>
  <c r="P76" i="5" s="1"/>
  <c r="L77" i="5"/>
  <c r="P77" i="5" s="1"/>
  <c r="L78" i="5"/>
  <c r="P78" i="5" s="1"/>
  <c r="L79" i="5"/>
  <c r="L80" i="5"/>
  <c r="L81" i="5"/>
  <c r="L82" i="5"/>
  <c r="P82" i="5" s="1"/>
  <c r="L83" i="5"/>
  <c r="P83" i="5" s="1"/>
  <c r="L84" i="5"/>
  <c r="P84" i="5" s="1"/>
  <c r="L85" i="5"/>
  <c r="P85" i="5" s="1"/>
  <c r="L86" i="5"/>
  <c r="P86" i="5" s="1"/>
  <c r="L87" i="5"/>
  <c r="L88" i="5"/>
  <c r="L89" i="5"/>
  <c r="L90" i="5"/>
  <c r="P90" i="5" s="1"/>
  <c r="L91" i="5"/>
  <c r="P91" i="5" s="1"/>
  <c r="L92" i="5"/>
  <c r="P92" i="5" s="1"/>
  <c r="L93" i="5"/>
  <c r="P93" i="5" s="1"/>
  <c r="L94" i="5"/>
  <c r="P94" i="5" s="1"/>
  <c r="L95" i="5"/>
  <c r="L96" i="5"/>
  <c r="L97" i="5"/>
  <c r="L98" i="5"/>
  <c r="P98" i="5" s="1"/>
  <c r="L99" i="5"/>
  <c r="L100" i="5"/>
  <c r="P100" i="5" s="1"/>
  <c r="L101" i="5"/>
  <c r="P101" i="5" s="1"/>
  <c r="L102" i="5"/>
  <c r="P102" i="5" s="1"/>
  <c r="L103" i="5"/>
  <c r="L104" i="5"/>
  <c r="L105" i="5"/>
  <c r="P105" i="5" s="1"/>
  <c r="L106" i="5"/>
  <c r="P106" i="5" s="1"/>
  <c r="L107" i="5"/>
  <c r="P107" i="5" s="1"/>
  <c r="L108" i="5"/>
  <c r="P108" i="5" s="1"/>
  <c r="L109" i="5"/>
  <c r="L110" i="5"/>
  <c r="P110" i="5" s="1"/>
  <c r="L111" i="5"/>
  <c r="L112" i="5"/>
  <c r="L113" i="5"/>
  <c r="P113" i="5" s="1"/>
  <c r="L114" i="5"/>
  <c r="L115" i="5"/>
  <c r="L116" i="5"/>
  <c r="P116" i="5" s="1"/>
  <c r="L117" i="5"/>
  <c r="P117" i="5" s="1"/>
  <c r="L118" i="5"/>
  <c r="P118" i="5" s="1"/>
  <c r="L119" i="5"/>
  <c r="L120" i="5"/>
  <c r="P120" i="5" s="1"/>
  <c r="L121" i="5"/>
  <c r="P121" i="5" s="1"/>
  <c r="L122" i="5"/>
  <c r="P122" i="5" s="1"/>
  <c r="L123" i="5"/>
  <c r="P123" i="5" s="1"/>
  <c r="L124" i="5"/>
  <c r="P124" i="5" s="1"/>
  <c r="L125" i="5"/>
  <c r="P125" i="5" s="1"/>
  <c r="L126" i="5"/>
  <c r="P126" i="5" s="1"/>
  <c r="L127" i="5"/>
  <c r="L128" i="5"/>
  <c r="L129" i="5"/>
  <c r="L130" i="5"/>
  <c r="L131" i="5"/>
  <c r="L132" i="5"/>
  <c r="L133" i="5"/>
  <c r="L134" i="5"/>
  <c r="L135" i="5"/>
  <c r="L136" i="5"/>
  <c r="L3" i="5"/>
  <c r="L4" i="5"/>
  <c r="P4" i="5" s="1"/>
  <c r="L5" i="5"/>
  <c r="P5" i="5" s="1"/>
  <c r="L6" i="5"/>
  <c r="P6" i="5" s="1"/>
  <c r="L2" i="5"/>
  <c r="P2" i="5" s="1"/>
  <c r="K75" i="5"/>
  <c r="K76" i="5"/>
  <c r="K74" i="5"/>
  <c r="K69" i="5"/>
  <c r="K70" i="5"/>
  <c r="K68" i="5"/>
  <c r="K133" i="5"/>
  <c r="K131" i="5"/>
  <c r="K126" i="5"/>
  <c r="K124" i="5"/>
  <c r="K121" i="5"/>
  <c r="K119" i="5"/>
  <c r="Q119" i="5" s="1"/>
  <c r="K116" i="5"/>
  <c r="K114" i="5"/>
  <c r="K111" i="5"/>
  <c r="K109" i="5"/>
  <c r="K106" i="5"/>
  <c r="K104" i="5"/>
  <c r="K101" i="5"/>
  <c r="K99" i="5"/>
  <c r="K96" i="5"/>
  <c r="K94" i="5"/>
  <c r="K91" i="5"/>
  <c r="K89" i="5"/>
  <c r="K86" i="5"/>
  <c r="K84" i="5"/>
  <c r="K81" i="5"/>
  <c r="K79" i="5"/>
  <c r="K61" i="5"/>
  <c r="K59" i="5"/>
  <c r="K56" i="5"/>
  <c r="K54" i="5"/>
  <c r="K51" i="5"/>
  <c r="K49" i="5"/>
  <c r="K46" i="5"/>
  <c r="K44" i="5"/>
  <c r="K41" i="5"/>
  <c r="K39" i="5"/>
  <c r="K36" i="5"/>
  <c r="K34" i="5"/>
  <c r="K31" i="5"/>
  <c r="K29" i="5"/>
  <c r="K26" i="5"/>
  <c r="K24" i="5"/>
  <c r="K21" i="5"/>
  <c r="K19" i="5"/>
  <c r="K16" i="5"/>
  <c r="K14" i="5"/>
  <c r="K11" i="5"/>
  <c r="K9" i="5"/>
  <c r="K6" i="5"/>
  <c r="K4" i="5"/>
  <c r="J132" i="5"/>
  <c r="K132" i="5" s="1"/>
  <c r="J130" i="5"/>
  <c r="K130" i="5" s="1"/>
  <c r="J129" i="5"/>
  <c r="K129" i="5" s="1"/>
  <c r="J128" i="5"/>
  <c r="K128" i="5" s="1"/>
  <c r="J127" i="5"/>
  <c r="K127" i="5" s="1"/>
  <c r="J125" i="5"/>
  <c r="K125" i="5" s="1"/>
  <c r="J123" i="5"/>
  <c r="J122" i="5"/>
  <c r="K122" i="5" s="1"/>
  <c r="J120" i="5"/>
  <c r="K120" i="5" s="1"/>
  <c r="P119" i="5"/>
  <c r="J118" i="5"/>
  <c r="K118" i="5" s="1"/>
  <c r="J117" i="5"/>
  <c r="K117" i="5" s="1"/>
  <c r="P115" i="5"/>
  <c r="J115" i="5"/>
  <c r="K115" i="5" s="1"/>
  <c r="P114" i="5"/>
  <c r="J113" i="5"/>
  <c r="K113" i="5" s="1"/>
  <c r="P112" i="5"/>
  <c r="J112" i="5"/>
  <c r="K112" i="5" s="1"/>
  <c r="P111" i="5"/>
  <c r="J110" i="5"/>
  <c r="K110" i="5" s="1"/>
  <c r="J108" i="5"/>
  <c r="K108" i="5" s="1"/>
  <c r="J107" i="5"/>
  <c r="K107" i="5" s="1"/>
  <c r="N107" i="5" s="1"/>
  <c r="O107" i="5" s="1"/>
  <c r="J105" i="5"/>
  <c r="K105" i="5" s="1"/>
  <c r="P104" i="5"/>
  <c r="P103" i="5"/>
  <c r="J103" i="5"/>
  <c r="K103" i="5" s="1"/>
  <c r="J102" i="5"/>
  <c r="K102" i="5" s="1"/>
  <c r="J100" i="5"/>
  <c r="P99" i="5"/>
  <c r="J98" i="5"/>
  <c r="P97" i="5"/>
  <c r="J97" i="5"/>
  <c r="K97" i="5" s="1"/>
  <c r="P96" i="5"/>
  <c r="P95" i="5"/>
  <c r="J95" i="5"/>
  <c r="K95" i="5" s="1"/>
  <c r="J93" i="5"/>
  <c r="K93" i="5" s="1"/>
  <c r="J92" i="5"/>
  <c r="K92" i="5" s="1"/>
  <c r="J90" i="5"/>
  <c r="P89" i="5"/>
  <c r="P88" i="5"/>
  <c r="J88" i="5"/>
  <c r="K88" i="5" s="1"/>
  <c r="P87" i="5"/>
  <c r="J87" i="5"/>
  <c r="K87" i="5" s="1"/>
  <c r="J85" i="5"/>
  <c r="K85" i="5" s="1"/>
  <c r="J83" i="5"/>
  <c r="K83" i="5" s="1"/>
  <c r="J82" i="5"/>
  <c r="P81" i="5"/>
  <c r="P80" i="5"/>
  <c r="J80" i="5"/>
  <c r="K80" i="5" s="1"/>
  <c r="P79" i="5"/>
  <c r="J78" i="5"/>
  <c r="K78" i="5" s="1"/>
  <c r="J77" i="5"/>
  <c r="K77" i="5" s="1"/>
  <c r="J73" i="5"/>
  <c r="K73" i="5" s="1"/>
  <c r="P72" i="5"/>
  <c r="J72" i="5"/>
  <c r="K72" i="5" s="1"/>
  <c r="P71" i="5"/>
  <c r="J71" i="5"/>
  <c r="K71" i="5" s="1"/>
  <c r="J67" i="5"/>
  <c r="K67" i="5" s="1"/>
  <c r="J66" i="5"/>
  <c r="K66" i="5" s="1"/>
  <c r="J65" i="5"/>
  <c r="K65" i="5" s="1"/>
  <c r="P64" i="5"/>
  <c r="J64" i="5"/>
  <c r="K64" i="5" s="1"/>
  <c r="P63" i="5"/>
  <c r="J63" i="5"/>
  <c r="K63" i="5" s="1"/>
  <c r="J62" i="5"/>
  <c r="K62" i="5" s="1"/>
  <c r="J60" i="5"/>
  <c r="K60" i="5" s="1"/>
  <c r="P59" i="5"/>
  <c r="P58" i="5"/>
  <c r="J58" i="5"/>
  <c r="P57" i="5"/>
  <c r="J57" i="5"/>
  <c r="K57" i="5" s="1"/>
  <c r="P56" i="5"/>
  <c r="P55" i="5"/>
  <c r="J55" i="5"/>
  <c r="K55" i="5" s="1"/>
  <c r="J53" i="5"/>
  <c r="J52" i="5"/>
  <c r="J50" i="5"/>
  <c r="K50" i="5" s="1"/>
  <c r="P49" i="5"/>
  <c r="P48" i="5"/>
  <c r="J48" i="5"/>
  <c r="K48" i="5" s="1"/>
  <c r="P47" i="5"/>
  <c r="J47" i="5"/>
  <c r="K47" i="5" s="1"/>
  <c r="J45" i="5"/>
  <c r="K45" i="5" s="1"/>
  <c r="J43" i="5"/>
  <c r="J42" i="5"/>
  <c r="K42" i="5" s="1"/>
  <c r="P41" i="5"/>
  <c r="P40" i="5"/>
  <c r="J40" i="5"/>
  <c r="K40" i="5" s="1"/>
  <c r="P39" i="5"/>
  <c r="J38" i="5"/>
  <c r="K38" i="5" s="1"/>
  <c r="J37" i="5"/>
  <c r="K37" i="5" s="1"/>
  <c r="J35" i="5"/>
  <c r="K35" i="5" s="1"/>
  <c r="P34" i="5"/>
  <c r="P33" i="5"/>
  <c r="J33" i="5"/>
  <c r="K33" i="5" s="1"/>
  <c r="P32" i="5"/>
  <c r="J32" i="5"/>
  <c r="K32" i="5" s="1"/>
  <c r="P31" i="5"/>
  <c r="J30" i="5"/>
  <c r="K30" i="5" s="1"/>
  <c r="J28" i="5"/>
  <c r="P27" i="5"/>
  <c r="J27" i="5"/>
  <c r="P25" i="5"/>
  <c r="J25" i="5"/>
  <c r="K25" i="5" s="1"/>
  <c r="P24" i="5"/>
  <c r="P23" i="5"/>
  <c r="J23" i="5"/>
  <c r="K23" i="5" s="1"/>
  <c r="J22" i="5"/>
  <c r="K22" i="5" s="1"/>
  <c r="J20" i="5"/>
  <c r="K20" i="5" s="1"/>
  <c r="P19" i="5"/>
  <c r="J18" i="5"/>
  <c r="P17" i="5"/>
  <c r="J17" i="5"/>
  <c r="K17" i="5" s="1"/>
  <c r="P16" i="5"/>
  <c r="P15" i="5"/>
  <c r="J15" i="5"/>
  <c r="K15" i="5" s="1"/>
  <c r="J13" i="5"/>
  <c r="K13" i="5" s="1"/>
  <c r="J12" i="5"/>
  <c r="K12" i="5" s="1"/>
  <c r="P11" i="5"/>
  <c r="J10" i="5"/>
  <c r="K10" i="5" s="1"/>
  <c r="P9" i="5"/>
  <c r="P8" i="5"/>
  <c r="J8" i="5"/>
  <c r="P7" i="5"/>
  <c r="J7" i="5"/>
  <c r="K7" i="5" s="1"/>
  <c r="J5" i="5"/>
  <c r="K5" i="5" s="1"/>
  <c r="P3" i="5"/>
  <c r="J3" i="5"/>
  <c r="K3" i="5" s="1"/>
  <c r="J2" i="5"/>
  <c r="G22" i="3"/>
  <c r="H6" i="3"/>
  <c r="H5" i="3"/>
  <c r="F6" i="3"/>
  <c r="J2" i="4"/>
  <c r="I2" i="4"/>
  <c r="P2" i="4"/>
  <c r="P11" i="4"/>
  <c r="P10" i="4"/>
  <c r="P3" i="4"/>
  <c r="P4" i="4"/>
  <c r="P5" i="4"/>
  <c r="M6" i="4"/>
  <c r="M7" i="4"/>
  <c r="M8" i="4"/>
  <c r="M2" i="4"/>
  <c r="M3" i="4"/>
  <c r="M4" i="4"/>
  <c r="M5" i="4"/>
  <c r="F5" i="3"/>
  <c r="E5" i="3"/>
  <c r="J6" i="2"/>
  <c r="L8" i="4"/>
  <c r="P8" i="4" s="1"/>
  <c r="I8" i="4"/>
  <c r="J8" i="4" s="1"/>
  <c r="L7" i="4"/>
  <c r="H7" i="4"/>
  <c r="I7" i="4" s="1"/>
  <c r="J7" i="4" s="1"/>
  <c r="L6" i="4"/>
  <c r="I6" i="4"/>
  <c r="J6" i="4" s="1"/>
  <c r="L5" i="4"/>
  <c r="H5" i="4"/>
  <c r="I5" i="4" s="1"/>
  <c r="J5" i="4" s="1"/>
  <c r="L4" i="4"/>
  <c r="H4" i="4"/>
  <c r="I4" i="4" s="1"/>
  <c r="J4" i="4" s="1"/>
  <c r="L3" i="4"/>
  <c r="H3" i="4"/>
  <c r="I3" i="4" s="1"/>
  <c r="J3" i="4" s="1"/>
  <c r="L2" i="4"/>
  <c r="H2" i="4"/>
  <c r="P28" i="2"/>
  <c r="P44" i="2"/>
  <c r="P60" i="2"/>
  <c r="P92" i="2"/>
  <c r="P124" i="2"/>
  <c r="L3" i="2"/>
  <c r="P3" i="2" s="1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1" i="2"/>
  <c r="P11" i="2" s="1"/>
  <c r="L12" i="2"/>
  <c r="P12" i="2" s="1"/>
  <c r="L13" i="2"/>
  <c r="P13" i="2" s="1"/>
  <c r="L14" i="2"/>
  <c r="P14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L22" i="2"/>
  <c r="P22" i="2" s="1"/>
  <c r="L23" i="2"/>
  <c r="P23" i="2" s="1"/>
  <c r="L24" i="2"/>
  <c r="P24" i="2" s="1"/>
  <c r="L25" i="2"/>
  <c r="P25" i="2" s="1"/>
  <c r="L26" i="2"/>
  <c r="P26" i="2" s="1"/>
  <c r="L27" i="2"/>
  <c r="P27" i="2" s="1"/>
  <c r="L28" i="2"/>
  <c r="L29" i="2"/>
  <c r="P29" i="2" s="1"/>
  <c r="L30" i="2"/>
  <c r="P30" i="2" s="1"/>
  <c r="L31" i="2"/>
  <c r="P31" i="2" s="1"/>
  <c r="L32" i="2"/>
  <c r="P32" i="2" s="1"/>
  <c r="L33" i="2"/>
  <c r="P33" i="2" s="1"/>
  <c r="L34" i="2"/>
  <c r="P34" i="2" s="1"/>
  <c r="L35" i="2"/>
  <c r="P35" i="2" s="1"/>
  <c r="L36" i="2"/>
  <c r="P36" i="2" s="1"/>
  <c r="L37" i="2"/>
  <c r="P37" i="2" s="1"/>
  <c r="L38" i="2"/>
  <c r="P38" i="2" s="1"/>
  <c r="L39" i="2"/>
  <c r="P39" i="2" s="1"/>
  <c r="L40" i="2"/>
  <c r="P40" i="2" s="1"/>
  <c r="L41" i="2"/>
  <c r="P41" i="2" s="1"/>
  <c r="L42" i="2"/>
  <c r="P42" i="2" s="1"/>
  <c r="L43" i="2"/>
  <c r="P43" i="2" s="1"/>
  <c r="L44" i="2"/>
  <c r="L45" i="2"/>
  <c r="P45" i="2" s="1"/>
  <c r="L46" i="2"/>
  <c r="P46" i="2" s="1"/>
  <c r="L47" i="2"/>
  <c r="P47" i="2" s="1"/>
  <c r="L48" i="2"/>
  <c r="P48" i="2" s="1"/>
  <c r="L49" i="2"/>
  <c r="P49" i="2" s="1"/>
  <c r="L50" i="2"/>
  <c r="P50" i="2" s="1"/>
  <c r="L51" i="2"/>
  <c r="P51" i="2" s="1"/>
  <c r="L52" i="2"/>
  <c r="P52" i="2" s="1"/>
  <c r="L53" i="2"/>
  <c r="P53" i="2" s="1"/>
  <c r="L54" i="2"/>
  <c r="P54" i="2" s="1"/>
  <c r="L55" i="2"/>
  <c r="P55" i="2" s="1"/>
  <c r="L56" i="2"/>
  <c r="P56" i="2" s="1"/>
  <c r="L57" i="2"/>
  <c r="P57" i="2" s="1"/>
  <c r="L58" i="2"/>
  <c r="P58" i="2" s="1"/>
  <c r="L59" i="2"/>
  <c r="P59" i="2" s="1"/>
  <c r="L60" i="2"/>
  <c r="L61" i="2"/>
  <c r="P61" i="2" s="1"/>
  <c r="L62" i="2"/>
  <c r="P62" i="2" s="1"/>
  <c r="L63" i="2"/>
  <c r="P63" i="2" s="1"/>
  <c r="L64" i="2"/>
  <c r="P64" i="2" s="1"/>
  <c r="L65" i="2"/>
  <c r="P65" i="2" s="1"/>
  <c r="L66" i="2"/>
  <c r="P66" i="2" s="1"/>
  <c r="L67" i="2"/>
  <c r="P67" i="2" s="1"/>
  <c r="L68" i="2"/>
  <c r="P68" i="2" s="1"/>
  <c r="L69" i="2"/>
  <c r="P69" i="2" s="1"/>
  <c r="L70" i="2"/>
  <c r="P70" i="2" s="1"/>
  <c r="L71" i="2"/>
  <c r="P71" i="2" s="1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L125" i="2"/>
  <c r="P125" i="2" s="1"/>
  <c r="L126" i="2"/>
  <c r="P126" i="2" s="1"/>
  <c r="L127" i="2"/>
  <c r="L128" i="2"/>
  <c r="L129" i="2"/>
  <c r="L130" i="2"/>
  <c r="L131" i="2"/>
  <c r="L132" i="2"/>
  <c r="L133" i="2"/>
  <c r="L134" i="2"/>
  <c r="L135" i="2"/>
  <c r="L136" i="2"/>
  <c r="L2" i="2"/>
  <c r="P2" i="2" s="1"/>
  <c r="O3" i="3"/>
  <c r="I34" i="2"/>
  <c r="J34" i="2" s="1"/>
  <c r="I36" i="2"/>
  <c r="J36" i="2" s="1"/>
  <c r="M36" i="2" s="1"/>
  <c r="Q36" i="2" s="1"/>
  <c r="I39" i="2"/>
  <c r="J39" i="2" s="1"/>
  <c r="M39" i="2" s="1"/>
  <c r="Q39" i="2" s="1"/>
  <c r="I41" i="2"/>
  <c r="J41" i="2" s="1"/>
  <c r="I44" i="2"/>
  <c r="J44" i="2" s="1"/>
  <c r="I46" i="2"/>
  <c r="J46" i="2" s="1"/>
  <c r="I49" i="2"/>
  <c r="J49" i="2" s="1"/>
  <c r="I51" i="2"/>
  <c r="J51" i="2" s="1"/>
  <c r="M51" i="2" s="1"/>
  <c r="Q51" i="2" s="1"/>
  <c r="I54" i="2"/>
  <c r="J54" i="2" s="1"/>
  <c r="I56" i="2"/>
  <c r="J56" i="2" s="1"/>
  <c r="I59" i="2"/>
  <c r="J59" i="2" s="1"/>
  <c r="M59" i="2" s="1"/>
  <c r="Q59" i="2" s="1"/>
  <c r="I61" i="2"/>
  <c r="J61" i="2" s="1"/>
  <c r="I68" i="2"/>
  <c r="J68" i="2" s="1"/>
  <c r="I69" i="2"/>
  <c r="J69" i="2" s="1"/>
  <c r="I70" i="2"/>
  <c r="J70" i="2" s="1"/>
  <c r="I74" i="2"/>
  <c r="J74" i="2" s="1"/>
  <c r="I75" i="2"/>
  <c r="J75" i="2" s="1"/>
  <c r="I76" i="2"/>
  <c r="J76" i="2" s="1"/>
  <c r="M76" i="2" s="1"/>
  <c r="Q76" i="2" s="1"/>
  <c r="I79" i="2"/>
  <c r="J79" i="2" s="1"/>
  <c r="M79" i="2" s="1"/>
  <c r="Q79" i="2" s="1"/>
  <c r="I81" i="2"/>
  <c r="J81" i="2" s="1"/>
  <c r="I84" i="2"/>
  <c r="J84" i="2" s="1"/>
  <c r="I86" i="2"/>
  <c r="J86" i="2" s="1"/>
  <c r="I89" i="2"/>
  <c r="J89" i="2" s="1"/>
  <c r="I91" i="2"/>
  <c r="J91" i="2" s="1"/>
  <c r="M91" i="2" s="1"/>
  <c r="Q91" i="2" s="1"/>
  <c r="I94" i="2"/>
  <c r="J94" i="2" s="1"/>
  <c r="I96" i="2"/>
  <c r="J96" i="2" s="1"/>
  <c r="I99" i="2"/>
  <c r="J99" i="2" s="1"/>
  <c r="M99" i="2" s="1"/>
  <c r="Q99" i="2" s="1"/>
  <c r="I101" i="2"/>
  <c r="J101" i="2" s="1"/>
  <c r="I104" i="2"/>
  <c r="J104" i="2" s="1"/>
  <c r="I106" i="2"/>
  <c r="J106" i="2" s="1"/>
  <c r="M106" i="2" s="1"/>
  <c r="Q106" i="2" s="1"/>
  <c r="I109" i="2"/>
  <c r="J109" i="2" s="1"/>
  <c r="I111" i="2"/>
  <c r="J111" i="2" s="1"/>
  <c r="M111" i="2" s="1"/>
  <c r="Q111" i="2" s="1"/>
  <c r="I114" i="2"/>
  <c r="J114" i="2" s="1"/>
  <c r="I116" i="2"/>
  <c r="J116" i="2" s="1"/>
  <c r="M116" i="2" s="1"/>
  <c r="Q116" i="2" s="1"/>
  <c r="I119" i="2"/>
  <c r="J119" i="2" s="1"/>
  <c r="M119" i="2" s="1"/>
  <c r="Q119" i="2" s="1"/>
  <c r="I121" i="2"/>
  <c r="J121" i="2" s="1"/>
  <c r="I124" i="2"/>
  <c r="J124" i="2" s="1"/>
  <c r="I126" i="2"/>
  <c r="J126" i="2" s="1"/>
  <c r="I131" i="2"/>
  <c r="J131" i="2" s="1"/>
  <c r="I133" i="2"/>
  <c r="J133" i="2" s="1"/>
  <c r="I4" i="2"/>
  <c r="J4" i="2" s="1"/>
  <c r="M4" i="2" s="1"/>
  <c r="Q4" i="2" s="1"/>
  <c r="I6" i="2"/>
  <c r="I9" i="2"/>
  <c r="J9" i="2" s="1"/>
  <c r="I11" i="2"/>
  <c r="J11" i="2" s="1"/>
  <c r="I14" i="2"/>
  <c r="J14" i="2" s="1"/>
  <c r="I16" i="2"/>
  <c r="J16" i="2" s="1"/>
  <c r="I19" i="2"/>
  <c r="J19" i="2" s="1"/>
  <c r="I21" i="2"/>
  <c r="J21" i="2" s="1"/>
  <c r="I24" i="2"/>
  <c r="J24" i="2" s="1"/>
  <c r="I26" i="2"/>
  <c r="J26" i="2" s="1"/>
  <c r="I29" i="2"/>
  <c r="J29" i="2" s="1"/>
  <c r="M29" i="2" s="1"/>
  <c r="Q29" i="2" s="1"/>
  <c r="I31" i="2"/>
  <c r="J31" i="2" s="1"/>
  <c r="M31" i="2" s="1"/>
  <c r="Q31" i="2" s="1"/>
  <c r="D34" i="6" l="1"/>
  <c r="Q5" i="6"/>
  <c r="Q6" i="6"/>
  <c r="M29" i="6"/>
  <c r="M12" i="6"/>
  <c r="Q19" i="5"/>
  <c r="N109" i="5"/>
  <c r="O109" i="5" s="1"/>
  <c r="Q108" i="5"/>
  <c r="Q4" i="5"/>
  <c r="N122" i="5"/>
  <c r="O122" i="5" s="1"/>
  <c r="Q42" i="5"/>
  <c r="N66" i="5"/>
  <c r="O66" i="5" s="1"/>
  <c r="N92" i="5"/>
  <c r="O92" i="5" s="1"/>
  <c r="Q38" i="5"/>
  <c r="Q93" i="5"/>
  <c r="Q12" i="5"/>
  <c r="Q78" i="5"/>
  <c r="N89" i="5"/>
  <c r="O89" i="5" s="1"/>
  <c r="N13" i="5"/>
  <c r="O13" i="5" s="1"/>
  <c r="P38" i="5"/>
  <c r="Q30" i="5"/>
  <c r="P109" i="5"/>
  <c r="Q111" i="5"/>
  <c r="Q125" i="5"/>
  <c r="Q120" i="5"/>
  <c r="Q40" i="5"/>
  <c r="Q56" i="5"/>
  <c r="Q112" i="5"/>
  <c r="N46" i="5"/>
  <c r="O46" i="5" s="1"/>
  <c r="N14" i="5"/>
  <c r="O14" i="5" s="1"/>
  <c r="Q39" i="5"/>
  <c r="Q86" i="5"/>
  <c r="N126" i="5"/>
  <c r="O126" i="5" s="1"/>
  <c r="Q69" i="5"/>
  <c r="K8" i="5"/>
  <c r="Q96" i="5"/>
  <c r="Q47" i="5"/>
  <c r="K18" i="5"/>
  <c r="N18" i="5" s="1"/>
  <c r="O18" i="5" s="1"/>
  <c r="Q34" i="5"/>
  <c r="K58" i="5"/>
  <c r="Q121" i="5"/>
  <c r="Q32" i="5"/>
  <c r="Q102" i="5"/>
  <c r="N11" i="5"/>
  <c r="O11" i="5" s="1"/>
  <c r="K27" i="5"/>
  <c r="K43" i="5"/>
  <c r="Q43" i="5" s="1"/>
  <c r="K82" i="5"/>
  <c r="K90" i="5"/>
  <c r="K98" i="5"/>
  <c r="N74" i="5"/>
  <c r="O74" i="5" s="1"/>
  <c r="N79" i="5"/>
  <c r="O79" i="5" s="1"/>
  <c r="Q57" i="5"/>
  <c r="S57" i="5" s="1"/>
  <c r="N22" i="5"/>
  <c r="O22" i="5" s="1"/>
  <c r="K28" i="5"/>
  <c r="K52" i="5"/>
  <c r="N52" i="5" s="1"/>
  <c r="O52" i="5" s="1"/>
  <c r="N91" i="5"/>
  <c r="O91" i="5" s="1"/>
  <c r="K123" i="5"/>
  <c r="Q83" i="5"/>
  <c r="N113" i="5"/>
  <c r="O113" i="5" s="1"/>
  <c r="N6" i="5"/>
  <c r="O6" i="5" s="1"/>
  <c r="Q29" i="5"/>
  <c r="K53" i="5"/>
  <c r="N53" i="5" s="1"/>
  <c r="O53" i="5" s="1"/>
  <c r="K100" i="5"/>
  <c r="N100" i="5" s="1"/>
  <c r="O100" i="5" s="1"/>
  <c r="Q68" i="5"/>
  <c r="N72" i="5"/>
  <c r="O72" i="5" s="1"/>
  <c r="N105" i="5"/>
  <c r="O105" i="5" s="1"/>
  <c r="N99" i="5"/>
  <c r="O99" i="5" s="1"/>
  <c r="Q80" i="5"/>
  <c r="Q60" i="5"/>
  <c r="N36" i="5"/>
  <c r="O36" i="5" s="1"/>
  <c r="Q26" i="5"/>
  <c r="Q21" i="5"/>
  <c r="Q5" i="5"/>
  <c r="Q3" i="5"/>
  <c r="Q37" i="5"/>
  <c r="Q76" i="5"/>
  <c r="Q75" i="5"/>
  <c r="N71" i="5"/>
  <c r="O71" i="5" s="1"/>
  <c r="N70" i="5"/>
  <c r="O70" i="5" s="1"/>
  <c r="N65" i="5"/>
  <c r="O65" i="5" s="1"/>
  <c r="Q67" i="5"/>
  <c r="N64" i="5"/>
  <c r="O64" i="5" s="1"/>
  <c r="N62" i="5"/>
  <c r="O62" i="5" s="1"/>
  <c r="N124" i="5"/>
  <c r="O124" i="5" s="1"/>
  <c r="N116" i="5"/>
  <c r="O116" i="5" s="1"/>
  <c r="Q114" i="5"/>
  <c r="N115" i="5"/>
  <c r="O115" i="5" s="1"/>
  <c r="Q109" i="5"/>
  <c r="Q110" i="5"/>
  <c r="Q104" i="5"/>
  <c r="Q94" i="5"/>
  <c r="Q95" i="5"/>
  <c r="Q85" i="5"/>
  <c r="Q61" i="5"/>
  <c r="N54" i="5"/>
  <c r="O54" i="5" s="1"/>
  <c r="Q51" i="5"/>
  <c r="Q44" i="5"/>
  <c r="Q45" i="5"/>
  <c r="N38" i="5"/>
  <c r="O38" i="5" s="1"/>
  <c r="N31" i="5"/>
  <c r="O31" i="5" s="1"/>
  <c r="N24" i="5"/>
  <c r="O24" i="5" s="1"/>
  <c r="N25" i="5"/>
  <c r="O25" i="5" s="1"/>
  <c r="Q10" i="5"/>
  <c r="Q9" i="5"/>
  <c r="Q20" i="5"/>
  <c r="N20" i="5"/>
  <c r="O20" i="5" s="1"/>
  <c r="Q13" i="5"/>
  <c r="Q23" i="5"/>
  <c r="N23" i="5"/>
  <c r="O23" i="5" s="1"/>
  <c r="N45" i="5"/>
  <c r="O45" i="5" s="1"/>
  <c r="Q55" i="5"/>
  <c r="N55" i="5"/>
  <c r="O55" i="5" s="1"/>
  <c r="N73" i="5"/>
  <c r="O73" i="5" s="1"/>
  <c r="Q73" i="5"/>
  <c r="Q97" i="5"/>
  <c r="N97" i="5"/>
  <c r="O97" i="5" s="1"/>
  <c r="N15" i="5"/>
  <c r="O15" i="5" s="1"/>
  <c r="Q15" i="5"/>
  <c r="Q50" i="5"/>
  <c r="N50" i="5"/>
  <c r="O50" i="5" s="1"/>
  <c r="Q103" i="5"/>
  <c r="N103" i="5"/>
  <c r="O103" i="5" s="1"/>
  <c r="N7" i="5"/>
  <c r="O7" i="5" s="1"/>
  <c r="Q7" i="5"/>
  <c r="N16" i="5"/>
  <c r="O16" i="5" s="1"/>
  <c r="Q16" i="5"/>
  <c r="Q48" i="5"/>
  <c r="N48" i="5"/>
  <c r="O48" i="5" s="1"/>
  <c r="N42" i="5"/>
  <c r="O42" i="5" s="1"/>
  <c r="Q87" i="5"/>
  <c r="N87" i="5"/>
  <c r="O87" i="5" s="1"/>
  <c r="Q66" i="5"/>
  <c r="Q81" i="5"/>
  <c r="N81" i="5"/>
  <c r="O81" i="5" s="1"/>
  <c r="N86" i="5"/>
  <c r="O86" i="5" s="1"/>
  <c r="Q41" i="5"/>
  <c r="N41" i="5"/>
  <c r="O41" i="5" s="1"/>
  <c r="N56" i="5"/>
  <c r="O56" i="5" s="1"/>
  <c r="Q33" i="5"/>
  <c r="N33" i="5"/>
  <c r="O33" i="5" s="1"/>
  <c r="N49" i="5"/>
  <c r="O49" i="5" s="1"/>
  <c r="Q49" i="5"/>
  <c r="Q79" i="5"/>
  <c r="Q105" i="5"/>
  <c r="Q17" i="5"/>
  <c r="N17" i="5"/>
  <c r="O17" i="5" s="1"/>
  <c r="N35" i="5"/>
  <c r="O35" i="5" s="1"/>
  <c r="Q35" i="5"/>
  <c r="Q118" i="5"/>
  <c r="N118" i="5"/>
  <c r="O118" i="5" s="1"/>
  <c r="N93" i="5"/>
  <c r="O93" i="5" s="1"/>
  <c r="N108" i="5"/>
  <c r="O108" i="5" s="1"/>
  <c r="N119" i="5"/>
  <c r="O119" i="5" s="1"/>
  <c r="N125" i="5"/>
  <c r="O125" i="5" s="1"/>
  <c r="Q74" i="5"/>
  <c r="R57" i="5"/>
  <c r="Q107" i="5"/>
  <c r="P7" i="4"/>
  <c r="P6" i="4"/>
  <c r="M6" i="2"/>
  <c r="Q6" i="2" s="1"/>
  <c r="M94" i="2"/>
  <c r="Q94" i="2" s="1"/>
  <c r="M54" i="2"/>
  <c r="Q54" i="2" s="1"/>
  <c r="M21" i="2"/>
  <c r="Q21" i="2" s="1"/>
  <c r="M16" i="2"/>
  <c r="Q16" i="2" s="1"/>
  <c r="M126" i="2"/>
  <c r="Q126" i="2" s="1"/>
  <c r="M86" i="2"/>
  <c r="Q86" i="2" s="1"/>
  <c r="M69" i="2"/>
  <c r="Q69" i="2" s="1"/>
  <c r="M46" i="2"/>
  <c r="Q46" i="2" s="1"/>
  <c r="M84" i="2"/>
  <c r="Q84" i="2" s="1"/>
  <c r="M44" i="2"/>
  <c r="Q44" i="2" s="1"/>
  <c r="M26" i="2"/>
  <c r="Q26" i="2" s="1"/>
  <c r="M96" i="2"/>
  <c r="Q96" i="2" s="1"/>
  <c r="M56" i="2"/>
  <c r="Q56" i="2" s="1"/>
  <c r="M24" i="2"/>
  <c r="Q24" i="2" s="1"/>
  <c r="M114" i="2"/>
  <c r="Q114" i="2" s="1"/>
  <c r="M75" i="2"/>
  <c r="Q75" i="2" s="1"/>
  <c r="M34" i="2"/>
  <c r="Q34" i="2" s="1"/>
  <c r="M74" i="2"/>
  <c r="Q74" i="2" s="1"/>
  <c r="M89" i="2"/>
  <c r="Q89" i="2" s="1"/>
  <c r="M70" i="2"/>
  <c r="Q70" i="2" s="1"/>
  <c r="M49" i="2"/>
  <c r="Q49" i="2" s="1"/>
  <c r="M14" i="2"/>
  <c r="Q14" i="2" s="1"/>
  <c r="M104" i="2"/>
  <c r="Q104" i="2" s="1"/>
  <c r="M121" i="2"/>
  <c r="Q121" i="2" s="1"/>
  <c r="M41" i="2"/>
  <c r="Q41" i="2" s="1"/>
  <c r="M9" i="2"/>
  <c r="Q9" i="2" s="1"/>
  <c r="M81" i="2"/>
  <c r="Q81" i="2" s="1"/>
  <c r="M124" i="2"/>
  <c r="M68" i="2"/>
  <c r="Q68" i="2" s="1"/>
  <c r="M101" i="2"/>
  <c r="Q101" i="2" s="1"/>
  <c r="M19" i="2"/>
  <c r="Q19" i="2" s="1"/>
  <c r="M109" i="2"/>
  <c r="N4" i="2"/>
  <c r="O4" i="2" s="1"/>
  <c r="N81" i="2"/>
  <c r="O81" i="2" s="1"/>
  <c r="N111" i="2"/>
  <c r="O111" i="2" s="1"/>
  <c r="N51" i="2"/>
  <c r="O51" i="2" s="1"/>
  <c r="N86" i="2"/>
  <c r="O86" i="2" s="1"/>
  <c r="N16" i="2"/>
  <c r="O16" i="2" s="1"/>
  <c r="N106" i="2"/>
  <c r="O106" i="2" s="1"/>
  <c r="N6" i="2"/>
  <c r="O6" i="2" s="1"/>
  <c r="N54" i="2"/>
  <c r="O54" i="2" s="1"/>
  <c r="N94" i="2"/>
  <c r="O94" i="2" s="1"/>
  <c r="N21" i="2"/>
  <c r="O21" i="2" s="1"/>
  <c r="N91" i="2"/>
  <c r="O91" i="2" s="1"/>
  <c r="N31" i="2"/>
  <c r="O31" i="2" s="1"/>
  <c r="N29" i="2"/>
  <c r="O29" i="2" s="1"/>
  <c r="N119" i="2"/>
  <c r="O119" i="2" s="1"/>
  <c r="N99" i="2"/>
  <c r="O99" i="2" s="1"/>
  <c r="N79" i="2"/>
  <c r="O79" i="2" s="1"/>
  <c r="N39" i="2"/>
  <c r="O39" i="2" s="1"/>
  <c r="N59" i="2"/>
  <c r="O59" i="2" s="1"/>
  <c r="M61" i="2"/>
  <c r="Q61" i="2" s="1"/>
  <c r="M11" i="2"/>
  <c r="Q11" i="2" s="1"/>
  <c r="N41" i="2"/>
  <c r="O41" i="2" s="1"/>
  <c r="N116" i="2"/>
  <c r="O116" i="2" s="1"/>
  <c r="N76" i="2"/>
  <c r="O76" i="2" s="1"/>
  <c r="N36" i="2"/>
  <c r="O36" i="2" s="1"/>
  <c r="L11" i="3"/>
  <c r="J11" i="3"/>
  <c r="K11" i="3"/>
  <c r="S112" i="5" l="1"/>
  <c r="S37" i="5"/>
  <c r="R37" i="5"/>
  <c r="Q89" i="5"/>
  <c r="Q31" i="5"/>
  <c r="N19" i="5"/>
  <c r="O19" i="5" s="1"/>
  <c r="N40" i="5"/>
  <c r="O40" i="5" s="1"/>
  <c r="Q126" i="5"/>
  <c r="N114" i="5"/>
  <c r="O114" i="5" s="1"/>
  <c r="N47" i="5"/>
  <c r="O47" i="5" s="1"/>
  <c r="Q113" i="5"/>
  <c r="R112" i="5" s="1"/>
  <c r="N120" i="5"/>
  <c r="O120" i="5" s="1"/>
  <c r="Q11" i="5"/>
  <c r="N12" i="5"/>
  <c r="O12" i="5" s="1"/>
  <c r="N4" i="5"/>
  <c r="O4" i="5" s="1"/>
  <c r="N78" i="5"/>
  <c r="O78" i="5" s="1"/>
  <c r="Q122" i="5"/>
  <c r="N57" i="5"/>
  <c r="O57" i="5" s="1"/>
  <c r="Q36" i="5"/>
  <c r="S32" i="5" s="1"/>
  <c r="N102" i="5"/>
  <c r="O102" i="5" s="1"/>
  <c r="Q92" i="5"/>
  <c r="Q91" i="5"/>
  <c r="N21" i="5"/>
  <c r="O21" i="5" s="1"/>
  <c r="N68" i="5"/>
  <c r="O68" i="5" s="1"/>
  <c r="N67" i="5"/>
  <c r="O67" i="5" s="1"/>
  <c r="N112" i="5"/>
  <c r="O112" i="5" s="1"/>
  <c r="N34" i="5"/>
  <c r="O34" i="5" s="1"/>
  <c r="Q53" i="5"/>
  <c r="N75" i="5"/>
  <c r="O75" i="5" s="1"/>
  <c r="Q124" i="5"/>
  <c r="Q14" i="5"/>
  <c r="S12" i="5" s="1"/>
  <c r="Q18" i="5"/>
  <c r="R17" i="5" s="1"/>
  <c r="Q46" i="5"/>
  <c r="Q25" i="5"/>
  <c r="N110" i="5"/>
  <c r="O110" i="5" s="1"/>
  <c r="N29" i="5"/>
  <c r="O29" i="5" s="1"/>
  <c r="N111" i="5"/>
  <c r="O111" i="5" s="1"/>
  <c r="N51" i="5"/>
  <c r="O51" i="5" s="1"/>
  <c r="N69" i="5"/>
  <c r="O69" i="5" s="1"/>
  <c r="N30" i="5"/>
  <c r="O30" i="5" s="1"/>
  <c r="N8" i="5"/>
  <c r="O8" i="5" s="1"/>
  <c r="Q8" i="5"/>
  <c r="S7" i="5" s="1"/>
  <c r="N58" i="5"/>
  <c r="O58" i="5" s="1"/>
  <c r="Q58" i="5"/>
  <c r="Q27" i="5"/>
  <c r="N27" i="5"/>
  <c r="O27" i="5" s="1"/>
  <c r="N98" i="5"/>
  <c r="O98" i="5" s="1"/>
  <c r="Q98" i="5"/>
  <c r="N82" i="5"/>
  <c r="O82" i="5" s="1"/>
  <c r="Q82" i="5"/>
  <c r="Q28" i="5"/>
  <c r="N28" i="5"/>
  <c r="O28" i="5" s="1"/>
  <c r="Q90" i="5"/>
  <c r="N90" i="5"/>
  <c r="O90" i="5" s="1"/>
  <c r="N39" i="5"/>
  <c r="O39" i="5" s="1"/>
  <c r="N60" i="5"/>
  <c r="O60" i="5" s="1"/>
  <c r="N96" i="5"/>
  <c r="O96" i="5" s="1"/>
  <c r="N123" i="5"/>
  <c r="O123" i="5" s="1"/>
  <c r="Q123" i="5"/>
  <c r="N121" i="5"/>
  <c r="O121" i="5" s="1"/>
  <c r="Q6" i="5"/>
  <c r="S117" i="5"/>
  <c r="N83" i="5"/>
  <c r="O83" i="5" s="1"/>
  <c r="N43" i="5"/>
  <c r="O43" i="5" s="1"/>
  <c r="N117" i="5"/>
  <c r="O117" i="5" s="1"/>
  <c r="Q117" i="5"/>
  <c r="N32" i="5"/>
  <c r="O32" i="5" s="1"/>
  <c r="Q100" i="5"/>
  <c r="Q52" i="5"/>
  <c r="Q22" i="5"/>
  <c r="S47" i="5"/>
  <c r="Q72" i="5"/>
  <c r="Q115" i="5"/>
  <c r="N104" i="5"/>
  <c r="O104" i="5" s="1"/>
  <c r="Q99" i="5"/>
  <c r="N95" i="5"/>
  <c r="O95" i="5" s="1"/>
  <c r="N80" i="5"/>
  <c r="O80" i="5" s="1"/>
  <c r="N37" i="5"/>
  <c r="O37" i="5" s="1"/>
  <c r="N26" i="5"/>
  <c r="O26" i="5" s="1"/>
  <c r="N10" i="5"/>
  <c r="O10" i="5" s="1"/>
  <c r="N3" i="5"/>
  <c r="O3" i="5" s="1"/>
  <c r="N5" i="5"/>
  <c r="O5" i="5" s="1"/>
  <c r="N76" i="5"/>
  <c r="O76" i="5" s="1"/>
  <c r="Q71" i="5"/>
  <c r="Q70" i="5"/>
  <c r="Q65" i="5"/>
  <c r="Q64" i="5"/>
  <c r="Q116" i="5"/>
  <c r="N94" i="5"/>
  <c r="O94" i="5" s="1"/>
  <c r="Q84" i="5"/>
  <c r="N84" i="5"/>
  <c r="O84" i="5" s="1"/>
  <c r="N85" i="5"/>
  <c r="O85" i="5" s="1"/>
  <c r="N61" i="5"/>
  <c r="O61" i="5" s="1"/>
  <c r="Q54" i="5"/>
  <c r="R47" i="5"/>
  <c r="N44" i="5"/>
  <c r="O44" i="5" s="1"/>
  <c r="Q24" i="5"/>
  <c r="N9" i="5"/>
  <c r="O9" i="5" s="1"/>
  <c r="N2" i="5"/>
  <c r="O2" i="5" s="1"/>
  <c r="Q2" i="5"/>
  <c r="R2" i="5" s="1"/>
  <c r="R117" i="5"/>
  <c r="S42" i="5"/>
  <c r="R42" i="5"/>
  <c r="R107" i="5"/>
  <c r="S107" i="5"/>
  <c r="N106" i="5"/>
  <c r="O106" i="5" s="1"/>
  <c r="Q106" i="5"/>
  <c r="S102" i="5" s="1"/>
  <c r="N101" i="5"/>
  <c r="O101" i="5" s="1"/>
  <c r="Q101" i="5"/>
  <c r="Q63" i="5"/>
  <c r="N63" i="5"/>
  <c r="O63" i="5" s="1"/>
  <c r="N88" i="5"/>
  <c r="O88" i="5" s="1"/>
  <c r="Q88" i="5"/>
  <c r="S82" i="5"/>
  <c r="N59" i="5"/>
  <c r="O59" i="5" s="1"/>
  <c r="Q59" i="5"/>
  <c r="N77" i="5"/>
  <c r="O77" i="5" s="1"/>
  <c r="Q77" i="5"/>
  <c r="N24" i="2"/>
  <c r="O24" i="2" s="1"/>
  <c r="N126" i="2"/>
  <c r="O126" i="2" s="1"/>
  <c r="N114" i="2"/>
  <c r="O114" i="2" s="1"/>
  <c r="N46" i="2"/>
  <c r="O46" i="2" s="1"/>
  <c r="N56" i="2"/>
  <c r="O56" i="2" s="1"/>
  <c r="N84" i="2"/>
  <c r="O84" i="2" s="1"/>
  <c r="N104" i="2"/>
  <c r="O104" i="2" s="1"/>
  <c r="N34" i="2"/>
  <c r="O34" i="2" s="1"/>
  <c r="N19" i="2"/>
  <c r="O19" i="2" s="1"/>
  <c r="N44" i="2"/>
  <c r="O44" i="2" s="1"/>
  <c r="N69" i="2"/>
  <c r="O69" i="2" s="1"/>
  <c r="N121" i="2"/>
  <c r="O121" i="2" s="1"/>
  <c r="N74" i="2"/>
  <c r="O74" i="2" s="1"/>
  <c r="N75" i="2"/>
  <c r="O75" i="2" s="1"/>
  <c r="N68" i="2"/>
  <c r="O68" i="2" s="1"/>
  <c r="N96" i="2"/>
  <c r="O96" i="2" s="1"/>
  <c r="N26" i="2"/>
  <c r="O26" i="2" s="1"/>
  <c r="N9" i="2"/>
  <c r="O9" i="2" s="1"/>
  <c r="N49" i="2"/>
  <c r="O49" i="2" s="1"/>
  <c r="N101" i="2"/>
  <c r="O101" i="2" s="1"/>
  <c r="N70" i="2"/>
  <c r="O70" i="2" s="1"/>
  <c r="N14" i="2"/>
  <c r="O14" i="2" s="1"/>
  <c r="N109" i="2"/>
  <c r="O109" i="2" s="1"/>
  <c r="Q109" i="2"/>
  <c r="N124" i="2"/>
  <c r="O124" i="2" s="1"/>
  <c r="Q124" i="2"/>
  <c r="N89" i="2"/>
  <c r="O89" i="2" s="1"/>
  <c r="N61" i="2"/>
  <c r="O61" i="2" s="1"/>
  <c r="N11" i="2"/>
  <c r="O11" i="2" s="1"/>
  <c r="L12" i="3"/>
  <c r="R11" i="3"/>
  <c r="I11" i="3"/>
  <c r="H11" i="3"/>
  <c r="J12" i="3"/>
  <c r="P11" i="3"/>
  <c r="K12" i="3"/>
  <c r="K3" i="3"/>
  <c r="Q11" i="3"/>
  <c r="S122" i="5" l="1"/>
  <c r="R92" i="5"/>
  <c r="S92" i="5"/>
  <c r="S22" i="5"/>
  <c r="R22" i="5"/>
  <c r="R32" i="5"/>
  <c r="R27" i="5"/>
  <c r="S27" i="5"/>
  <c r="S52" i="5"/>
  <c r="R97" i="5"/>
  <c r="R82" i="5"/>
  <c r="R122" i="5"/>
  <c r="S87" i="5"/>
  <c r="R7" i="5"/>
  <c r="R102" i="5"/>
  <c r="S17" i="5"/>
  <c r="R12" i="5"/>
  <c r="S97" i="5"/>
  <c r="R52" i="5"/>
  <c r="S2" i="5"/>
  <c r="S77" i="5"/>
  <c r="R77" i="5"/>
  <c r="R87" i="5"/>
  <c r="K4" i="3"/>
  <c r="H12" i="3"/>
  <c r="N11" i="3"/>
  <c r="I12" i="3"/>
  <c r="O11" i="3"/>
  <c r="H77" i="2" l="1"/>
  <c r="I77" i="2" s="1"/>
  <c r="J77" i="2" s="1"/>
  <c r="M77" i="2" s="1"/>
  <c r="Q77" i="2" s="1"/>
  <c r="H73" i="2"/>
  <c r="I73" i="2" s="1"/>
  <c r="J73" i="2" s="1"/>
  <c r="M73" i="2" s="1"/>
  <c r="Q73" i="2" s="1"/>
  <c r="H72" i="2"/>
  <c r="I72" i="2" s="1"/>
  <c r="J72" i="2" s="1"/>
  <c r="M72" i="2" s="1"/>
  <c r="Q72" i="2" s="1"/>
  <c r="H71" i="2"/>
  <c r="I71" i="2" s="1"/>
  <c r="J71" i="2" s="1"/>
  <c r="M71" i="2" s="1"/>
  <c r="Q71" i="2" s="1"/>
  <c r="H67" i="2"/>
  <c r="I67" i="2" s="1"/>
  <c r="J67" i="2" s="1"/>
  <c r="M67" i="2" s="1"/>
  <c r="Q67" i="2" s="1"/>
  <c r="H66" i="2"/>
  <c r="I66" i="2" s="1"/>
  <c r="J66" i="2" s="1"/>
  <c r="M66" i="2" s="1"/>
  <c r="Q66" i="2" s="1"/>
  <c r="H65" i="2"/>
  <c r="I65" i="2" s="1"/>
  <c r="J65" i="2" s="1"/>
  <c r="M65" i="2" s="1"/>
  <c r="Q65" i="2" s="1"/>
  <c r="H64" i="2"/>
  <c r="I64" i="2" s="1"/>
  <c r="J64" i="2" s="1"/>
  <c r="M64" i="2" s="1"/>
  <c r="Q64" i="2" s="1"/>
  <c r="H63" i="2"/>
  <c r="I63" i="2" s="1"/>
  <c r="J63" i="2" s="1"/>
  <c r="M63" i="2" s="1"/>
  <c r="Q63" i="2" s="1"/>
  <c r="H62" i="2"/>
  <c r="I62" i="2" s="1"/>
  <c r="J62" i="2" s="1"/>
  <c r="M62" i="2" s="1"/>
  <c r="Q62" i="2" s="1"/>
  <c r="H127" i="2"/>
  <c r="I127" i="2" s="1"/>
  <c r="J127" i="2" s="1"/>
  <c r="H128" i="2"/>
  <c r="I128" i="2" s="1"/>
  <c r="J128" i="2" s="1"/>
  <c r="H132" i="2"/>
  <c r="I132" i="2" s="1"/>
  <c r="J132" i="2" s="1"/>
  <c r="H130" i="2"/>
  <c r="I130" i="2" s="1"/>
  <c r="J130" i="2" s="1"/>
  <c r="H129" i="2"/>
  <c r="I129" i="2" s="1"/>
  <c r="J129" i="2" s="1"/>
  <c r="H125" i="2"/>
  <c r="I125" i="2" s="1"/>
  <c r="J125" i="2" s="1"/>
  <c r="M125" i="2" s="1"/>
  <c r="Q125" i="2" s="1"/>
  <c r="H123" i="2"/>
  <c r="I123" i="2" s="1"/>
  <c r="J123" i="2" s="1"/>
  <c r="M123" i="2" s="1"/>
  <c r="Q123" i="2" s="1"/>
  <c r="H122" i="2"/>
  <c r="I122" i="2" s="1"/>
  <c r="J122" i="2" s="1"/>
  <c r="M122" i="2" s="1"/>
  <c r="Q122" i="2" s="1"/>
  <c r="H120" i="2"/>
  <c r="I120" i="2" s="1"/>
  <c r="J120" i="2" s="1"/>
  <c r="M120" i="2" s="1"/>
  <c r="Q120" i="2" s="1"/>
  <c r="H118" i="2"/>
  <c r="I118" i="2" s="1"/>
  <c r="J118" i="2" s="1"/>
  <c r="M118" i="2" s="1"/>
  <c r="Q118" i="2" s="1"/>
  <c r="H117" i="2"/>
  <c r="I117" i="2" s="1"/>
  <c r="J117" i="2" s="1"/>
  <c r="M117" i="2" s="1"/>
  <c r="Q117" i="2" s="1"/>
  <c r="H115" i="2"/>
  <c r="I115" i="2" s="1"/>
  <c r="J115" i="2" s="1"/>
  <c r="M115" i="2" s="1"/>
  <c r="Q115" i="2" s="1"/>
  <c r="H113" i="2"/>
  <c r="I113" i="2" s="1"/>
  <c r="J113" i="2" s="1"/>
  <c r="M113" i="2" s="1"/>
  <c r="Q113" i="2" s="1"/>
  <c r="H112" i="2"/>
  <c r="I112" i="2" s="1"/>
  <c r="J112" i="2" s="1"/>
  <c r="M112" i="2" s="1"/>
  <c r="Q112" i="2" s="1"/>
  <c r="H110" i="2"/>
  <c r="I110" i="2" s="1"/>
  <c r="J110" i="2" s="1"/>
  <c r="M110" i="2" s="1"/>
  <c r="Q110" i="2" s="1"/>
  <c r="H108" i="2"/>
  <c r="I108" i="2" s="1"/>
  <c r="J108" i="2" s="1"/>
  <c r="M108" i="2" s="1"/>
  <c r="Q108" i="2" s="1"/>
  <c r="H107" i="2"/>
  <c r="I107" i="2" s="1"/>
  <c r="J107" i="2" s="1"/>
  <c r="M107" i="2" s="1"/>
  <c r="Q107" i="2" s="1"/>
  <c r="H105" i="2"/>
  <c r="I105" i="2" s="1"/>
  <c r="J105" i="2" s="1"/>
  <c r="M105" i="2" s="1"/>
  <c r="Q105" i="2" s="1"/>
  <c r="H103" i="2"/>
  <c r="I103" i="2" s="1"/>
  <c r="J103" i="2" s="1"/>
  <c r="M103" i="2" s="1"/>
  <c r="Q103" i="2" s="1"/>
  <c r="H102" i="2"/>
  <c r="I102" i="2" s="1"/>
  <c r="J102" i="2" s="1"/>
  <c r="M102" i="2" s="1"/>
  <c r="Q102" i="2" s="1"/>
  <c r="H100" i="2"/>
  <c r="I100" i="2" s="1"/>
  <c r="J100" i="2" s="1"/>
  <c r="M100" i="2" s="1"/>
  <c r="Q100" i="2" s="1"/>
  <c r="H98" i="2"/>
  <c r="I98" i="2" s="1"/>
  <c r="J98" i="2" s="1"/>
  <c r="M98" i="2" s="1"/>
  <c r="Q98" i="2" s="1"/>
  <c r="H97" i="2"/>
  <c r="I97" i="2" s="1"/>
  <c r="J97" i="2" s="1"/>
  <c r="M97" i="2" s="1"/>
  <c r="Q97" i="2" s="1"/>
  <c r="H95" i="2"/>
  <c r="I95" i="2" s="1"/>
  <c r="J95" i="2" s="1"/>
  <c r="M95" i="2" s="1"/>
  <c r="Q95" i="2" s="1"/>
  <c r="H93" i="2"/>
  <c r="I93" i="2" s="1"/>
  <c r="J93" i="2" s="1"/>
  <c r="M93" i="2" s="1"/>
  <c r="Q93" i="2" s="1"/>
  <c r="H92" i="2"/>
  <c r="I92" i="2" s="1"/>
  <c r="J92" i="2" s="1"/>
  <c r="M92" i="2" s="1"/>
  <c r="Q92" i="2" s="1"/>
  <c r="H90" i="2"/>
  <c r="I90" i="2" s="1"/>
  <c r="J90" i="2" s="1"/>
  <c r="M90" i="2" s="1"/>
  <c r="Q90" i="2" s="1"/>
  <c r="H88" i="2"/>
  <c r="I88" i="2" s="1"/>
  <c r="J88" i="2" s="1"/>
  <c r="M88" i="2" s="1"/>
  <c r="Q88" i="2" s="1"/>
  <c r="H87" i="2"/>
  <c r="I87" i="2" s="1"/>
  <c r="J87" i="2" s="1"/>
  <c r="M87" i="2" s="1"/>
  <c r="Q87" i="2" s="1"/>
  <c r="H85" i="2"/>
  <c r="I85" i="2" s="1"/>
  <c r="J85" i="2" s="1"/>
  <c r="M85" i="2" s="1"/>
  <c r="Q85" i="2" s="1"/>
  <c r="H83" i="2"/>
  <c r="I83" i="2" s="1"/>
  <c r="J83" i="2" s="1"/>
  <c r="M83" i="2" s="1"/>
  <c r="Q83" i="2" s="1"/>
  <c r="H82" i="2"/>
  <c r="I82" i="2" s="1"/>
  <c r="J82" i="2" s="1"/>
  <c r="M82" i="2" s="1"/>
  <c r="Q82" i="2" s="1"/>
  <c r="H80" i="2"/>
  <c r="I80" i="2" s="1"/>
  <c r="J80" i="2" s="1"/>
  <c r="M80" i="2" s="1"/>
  <c r="Q80" i="2" s="1"/>
  <c r="H78" i="2"/>
  <c r="I78" i="2" s="1"/>
  <c r="J78" i="2" s="1"/>
  <c r="M78" i="2" s="1"/>
  <c r="Q78" i="2" s="1"/>
  <c r="H60" i="2"/>
  <c r="I60" i="2" s="1"/>
  <c r="J60" i="2" s="1"/>
  <c r="M60" i="2" s="1"/>
  <c r="Q60" i="2" s="1"/>
  <c r="H58" i="2"/>
  <c r="I58" i="2" s="1"/>
  <c r="J58" i="2" s="1"/>
  <c r="M58" i="2" s="1"/>
  <c r="Q58" i="2" s="1"/>
  <c r="H57" i="2"/>
  <c r="I57" i="2" s="1"/>
  <c r="J57" i="2" s="1"/>
  <c r="M57" i="2" s="1"/>
  <c r="Q57" i="2" s="1"/>
  <c r="H55" i="2"/>
  <c r="I55" i="2" s="1"/>
  <c r="J55" i="2" s="1"/>
  <c r="M55" i="2" s="1"/>
  <c r="Q55" i="2" s="1"/>
  <c r="H53" i="2"/>
  <c r="I53" i="2" s="1"/>
  <c r="J53" i="2" s="1"/>
  <c r="M53" i="2" s="1"/>
  <c r="Q53" i="2" s="1"/>
  <c r="H52" i="2"/>
  <c r="I52" i="2" s="1"/>
  <c r="J52" i="2" s="1"/>
  <c r="M52" i="2" s="1"/>
  <c r="Q52" i="2" s="1"/>
  <c r="H50" i="2"/>
  <c r="I50" i="2" s="1"/>
  <c r="J50" i="2" s="1"/>
  <c r="M50" i="2" s="1"/>
  <c r="Q50" i="2" s="1"/>
  <c r="H48" i="2"/>
  <c r="I48" i="2" s="1"/>
  <c r="J48" i="2" s="1"/>
  <c r="M48" i="2" s="1"/>
  <c r="Q48" i="2" s="1"/>
  <c r="H47" i="2"/>
  <c r="I47" i="2" s="1"/>
  <c r="J47" i="2" s="1"/>
  <c r="M47" i="2" s="1"/>
  <c r="Q47" i="2" s="1"/>
  <c r="H45" i="2"/>
  <c r="I45" i="2" s="1"/>
  <c r="J45" i="2" s="1"/>
  <c r="M45" i="2" s="1"/>
  <c r="Q45" i="2" s="1"/>
  <c r="H43" i="2"/>
  <c r="I43" i="2" s="1"/>
  <c r="J43" i="2" s="1"/>
  <c r="M43" i="2" s="1"/>
  <c r="Q43" i="2" s="1"/>
  <c r="H42" i="2"/>
  <c r="I42" i="2" s="1"/>
  <c r="J42" i="2" s="1"/>
  <c r="M42" i="2" s="1"/>
  <c r="Q42" i="2" s="1"/>
  <c r="H40" i="2"/>
  <c r="I40" i="2" s="1"/>
  <c r="J40" i="2" s="1"/>
  <c r="M40" i="2" s="1"/>
  <c r="Q40" i="2" s="1"/>
  <c r="H38" i="2"/>
  <c r="I38" i="2" s="1"/>
  <c r="J38" i="2" s="1"/>
  <c r="M38" i="2" s="1"/>
  <c r="Q38" i="2" s="1"/>
  <c r="H37" i="2"/>
  <c r="I37" i="2" s="1"/>
  <c r="J37" i="2" s="1"/>
  <c r="M37" i="2" s="1"/>
  <c r="Q37" i="2" s="1"/>
  <c r="H35" i="2"/>
  <c r="I35" i="2" s="1"/>
  <c r="J35" i="2" s="1"/>
  <c r="M35" i="2" s="1"/>
  <c r="Q35" i="2" s="1"/>
  <c r="H33" i="2"/>
  <c r="I33" i="2" s="1"/>
  <c r="J33" i="2" s="1"/>
  <c r="M33" i="2" s="1"/>
  <c r="Q33" i="2" s="1"/>
  <c r="H32" i="2"/>
  <c r="I32" i="2" s="1"/>
  <c r="J32" i="2" s="1"/>
  <c r="M32" i="2" s="1"/>
  <c r="Q32" i="2" s="1"/>
  <c r="H30" i="2"/>
  <c r="I30" i="2" s="1"/>
  <c r="J30" i="2" s="1"/>
  <c r="M30" i="2" s="1"/>
  <c r="Q30" i="2" s="1"/>
  <c r="H28" i="2"/>
  <c r="I28" i="2" s="1"/>
  <c r="J28" i="2" s="1"/>
  <c r="M28" i="2" s="1"/>
  <c r="Q28" i="2" s="1"/>
  <c r="H27" i="2"/>
  <c r="I27" i="2" s="1"/>
  <c r="J27" i="2" s="1"/>
  <c r="M27" i="2" s="1"/>
  <c r="Q27" i="2" s="1"/>
  <c r="H25" i="2"/>
  <c r="I25" i="2" s="1"/>
  <c r="J25" i="2" s="1"/>
  <c r="M25" i="2" s="1"/>
  <c r="Q25" i="2" s="1"/>
  <c r="H23" i="2"/>
  <c r="I23" i="2" s="1"/>
  <c r="J23" i="2" s="1"/>
  <c r="M23" i="2" s="1"/>
  <c r="Q23" i="2" s="1"/>
  <c r="H22" i="2"/>
  <c r="I22" i="2" s="1"/>
  <c r="J22" i="2" s="1"/>
  <c r="M22" i="2" s="1"/>
  <c r="Q22" i="2" s="1"/>
  <c r="H20" i="2"/>
  <c r="I20" i="2" s="1"/>
  <c r="J20" i="2" s="1"/>
  <c r="M20" i="2" s="1"/>
  <c r="Q20" i="2" s="1"/>
  <c r="H18" i="2"/>
  <c r="I18" i="2" s="1"/>
  <c r="J18" i="2" s="1"/>
  <c r="M18" i="2" s="1"/>
  <c r="Q18" i="2" s="1"/>
  <c r="H17" i="2"/>
  <c r="I17" i="2" s="1"/>
  <c r="J17" i="2" s="1"/>
  <c r="M17" i="2" s="1"/>
  <c r="Q17" i="2" s="1"/>
  <c r="H15" i="2"/>
  <c r="I15" i="2" s="1"/>
  <c r="J15" i="2" s="1"/>
  <c r="M15" i="2" s="1"/>
  <c r="Q15" i="2" s="1"/>
  <c r="H13" i="2"/>
  <c r="I13" i="2" s="1"/>
  <c r="J13" i="2" s="1"/>
  <c r="M13" i="2" s="1"/>
  <c r="Q13" i="2" s="1"/>
  <c r="H12" i="2"/>
  <c r="I12" i="2" s="1"/>
  <c r="J12" i="2" s="1"/>
  <c r="M12" i="2" s="1"/>
  <c r="Q12" i="2" s="1"/>
  <c r="H10" i="2"/>
  <c r="I10" i="2" s="1"/>
  <c r="J10" i="2" s="1"/>
  <c r="M10" i="2" s="1"/>
  <c r="Q10" i="2" s="1"/>
  <c r="H8" i="2"/>
  <c r="I8" i="2" s="1"/>
  <c r="J8" i="2" s="1"/>
  <c r="M8" i="2" s="1"/>
  <c r="Q8" i="2" s="1"/>
  <c r="H7" i="2"/>
  <c r="I7" i="2" s="1"/>
  <c r="J7" i="2" s="1"/>
  <c r="M7" i="2" s="1"/>
  <c r="Q7" i="2" s="1"/>
  <c r="H5" i="2"/>
  <c r="I5" i="2" s="1"/>
  <c r="J5" i="2" s="1"/>
  <c r="M5" i="2" s="1"/>
  <c r="Q5" i="2" s="1"/>
  <c r="H3" i="2"/>
  <c r="I3" i="2" s="1"/>
  <c r="J3" i="2" s="1"/>
  <c r="M3" i="2" s="1"/>
  <c r="Q3" i="2" s="1"/>
  <c r="H2" i="2"/>
  <c r="I2" i="2" s="1"/>
  <c r="S7" i="2" l="1"/>
  <c r="R7" i="2"/>
  <c r="S47" i="2"/>
  <c r="R47" i="2"/>
  <c r="R117" i="2"/>
  <c r="S117" i="2"/>
  <c r="J2" i="2"/>
  <c r="M2" i="2" s="1"/>
  <c r="N2" i="2" s="1"/>
  <c r="O2" i="2" s="1"/>
  <c r="R42" i="2"/>
  <c r="S42" i="2"/>
  <c r="S57" i="2"/>
  <c r="R57" i="2"/>
  <c r="S22" i="2"/>
  <c r="R22" i="2"/>
  <c r="S92" i="2"/>
  <c r="R92" i="2"/>
  <c r="R87" i="2"/>
  <c r="S87" i="2"/>
  <c r="R32" i="2"/>
  <c r="S32" i="2"/>
  <c r="S102" i="2"/>
  <c r="R102" i="2"/>
  <c r="S37" i="2"/>
  <c r="R37" i="2"/>
  <c r="R107" i="2"/>
  <c r="S107" i="2"/>
  <c r="S112" i="2"/>
  <c r="R112" i="2"/>
  <c r="R17" i="2"/>
  <c r="S17" i="2"/>
  <c r="R12" i="2"/>
  <c r="S12" i="2"/>
  <c r="R52" i="2"/>
  <c r="S52" i="2"/>
  <c r="S82" i="2"/>
  <c r="R82" i="2"/>
  <c r="S122" i="2"/>
  <c r="R122" i="2"/>
  <c r="S27" i="2"/>
  <c r="R27" i="2"/>
  <c r="R97" i="2"/>
  <c r="S97" i="2"/>
  <c r="R77" i="2"/>
  <c r="S77" i="2"/>
  <c r="N55" i="2"/>
  <c r="O55" i="2" s="1"/>
  <c r="N125" i="2"/>
  <c r="O125" i="2" s="1"/>
  <c r="N64" i="2"/>
  <c r="O64" i="2" s="1"/>
  <c r="N3" i="2"/>
  <c r="O3" i="2" s="1"/>
  <c r="N17" i="2"/>
  <c r="O17" i="2" s="1"/>
  <c r="N30" i="2"/>
  <c r="O30" i="2" s="1"/>
  <c r="N43" i="2"/>
  <c r="O43" i="2" s="1"/>
  <c r="N57" i="2"/>
  <c r="O57" i="2" s="1"/>
  <c r="N87" i="2"/>
  <c r="O87" i="2" s="1"/>
  <c r="N100" i="2"/>
  <c r="O100" i="2" s="1"/>
  <c r="N113" i="2"/>
  <c r="O113" i="2" s="1"/>
  <c r="N65" i="2"/>
  <c r="O65" i="2" s="1"/>
  <c r="N112" i="2"/>
  <c r="O112" i="2" s="1"/>
  <c r="N18" i="2"/>
  <c r="O18" i="2" s="1"/>
  <c r="N32" i="2"/>
  <c r="O32" i="2" s="1"/>
  <c r="N45" i="2"/>
  <c r="O45" i="2" s="1"/>
  <c r="N58" i="2"/>
  <c r="O58" i="2" s="1"/>
  <c r="N88" i="2"/>
  <c r="O88" i="2" s="1"/>
  <c r="N102" i="2"/>
  <c r="O102" i="2" s="1"/>
  <c r="N115" i="2"/>
  <c r="O115" i="2" s="1"/>
  <c r="N66" i="2"/>
  <c r="O66" i="2" s="1"/>
  <c r="N28" i="2"/>
  <c r="O28" i="2" s="1"/>
  <c r="N7" i="2"/>
  <c r="O7" i="2" s="1"/>
  <c r="N47" i="2"/>
  <c r="O47" i="2" s="1"/>
  <c r="N90" i="2"/>
  <c r="O90" i="2" s="1"/>
  <c r="N103" i="2"/>
  <c r="O103" i="2" s="1"/>
  <c r="N117" i="2"/>
  <c r="O117" i="2" s="1"/>
  <c r="N67" i="2"/>
  <c r="O67" i="2" s="1"/>
  <c r="N15" i="2"/>
  <c r="O15" i="2" s="1"/>
  <c r="N85" i="2"/>
  <c r="O85" i="2" s="1"/>
  <c r="N5" i="2"/>
  <c r="O5" i="2" s="1"/>
  <c r="N33" i="2"/>
  <c r="O33" i="2" s="1"/>
  <c r="N60" i="2"/>
  <c r="O60" i="2" s="1"/>
  <c r="N22" i="2"/>
  <c r="O22" i="2" s="1"/>
  <c r="N35" i="2"/>
  <c r="O35" i="2" s="1"/>
  <c r="N48" i="2"/>
  <c r="O48" i="2" s="1"/>
  <c r="N78" i="2"/>
  <c r="O78" i="2" s="1"/>
  <c r="N92" i="2"/>
  <c r="O92" i="2" s="1"/>
  <c r="N105" i="2"/>
  <c r="O105" i="2" s="1"/>
  <c r="N118" i="2"/>
  <c r="O118" i="2" s="1"/>
  <c r="N71" i="2"/>
  <c r="O71" i="2" s="1"/>
  <c r="N98" i="2"/>
  <c r="O98" i="2" s="1"/>
  <c r="N20" i="2"/>
  <c r="O20" i="2" s="1"/>
  <c r="N8" i="2"/>
  <c r="O8" i="2" s="1"/>
  <c r="N10" i="2"/>
  <c r="O10" i="2" s="1"/>
  <c r="N23" i="2"/>
  <c r="O23" i="2" s="1"/>
  <c r="N37" i="2"/>
  <c r="O37" i="2" s="1"/>
  <c r="N50" i="2"/>
  <c r="O50" i="2" s="1"/>
  <c r="N80" i="2"/>
  <c r="O80" i="2" s="1"/>
  <c r="N93" i="2"/>
  <c r="O93" i="2" s="1"/>
  <c r="N107" i="2"/>
  <c r="O107" i="2" s="1"/>
  <c r="N120" i="2"/>
  <c r="O120" i="2" s="1"/>
  <c r="N72" i="2"/>
  <c r="O72" i="2" s="1"/>
  <c r="N42" i="2"/>
  <c r="O42" i="2" s="1"/>
  <c r="N12" i="2"/>
  <c r="O12" i="2" s="1"/>
  <c r="N25" i="2"/>
  <c r="O25" i="2" s="1"/>
  <c r="N38" i="2"/>
  <c r="O38" i="2" s="1"/>
  <c r="N52" i="2"/>
  <c r="O52" i="2" s="1"/>
  <c r="N82" i="2"/>
  <c r="O82" i="2" s="1"/>
  <c r="N95" i="2"/>
  <c r="O95" i="2" s="1"/>
  <c r="N108" i="2"/>
  <c r="O108" i="2" s="1"/>
  <c r="N122" i="2"/>
  <c r="O122" i="2" s="1"/>
  <c r="N62" i="2"/>
  <c r="O62" i="2" s="1"/>
  <c r="N73" i="2"/>
  <c r="O73" i="2" s="1"/>
  <c r="N13" i="2"/>
  <c r="O13" i="2" s="1"/>
  <c r="N27" i="2"/>
  <c r="O27" i="2" s="1"/>
  <c r="N40" i="2"/>
  <c r="O40" i="2" s="1"/>
  <c r="N53" i="2"/>
  <c r="O53" i="2" s="1"/>
  <c r="N83" i="2"/>
  <c r="O83" i="2" s="1"/>
  <c r="N97" i="2"/>
  <c r="O97" i="2" s="1"/>
  <c r="N110" i="2"/>
  <c r="O110" i="2" s="1"/>
  <c r="N123" i="2"/>
  <c r="O123" i="2" s="1"/>
  <c r="N63" i="2"/>
  <c r="O63" i="2" s="1"/>
  <c r="N77" i="2"/>
  <c r="O77" i="2" s="1"/>
  <c r="B135" i="1"/>
  <c r="Q2" i="2" l="1"/>
  <c r="S2" i="2" l="1"/>
  <c r="R2" i="2"/>
</calcChain>
</file>

<file path=xl/sharedStrings.xml><?xml version="1.0" encoding="utf-8"?>
<sst xmlns="http://schemas.openxmlformats.org/spreadsheetml/2006/main" count="1038" uniqueCount="139">
  <si>
    <t>Start shaking: 22/9/22, 14h</t>
  </si>
  <si>
    <t>Sample</t>
  </si>
  <si>
    <t>Number</t>
  </si>
  <si>
    <t>Name</t>
  </si>
  <si>
    <t>Concentration (ug/L)</t>
  </si>
  <si>
    <t>Biochar (g)</t>
  </si>
  <si>
    <t>MQ-water (g)</t>
  </si>
  <si>
    <t>Standard solution (uL)</t>
  </si>
  <si>
    <t>GW-BC-500</t>
  </si>
  <si>
    <t>50 + 40,5</t>
  </si>
  <si>
    <t>900 + 7,4</t>
  </si>
  <si>
    <t>GW-BC-600</t>
  </si>
  <si>
    <t>GW-BC-800</t>
  </si>
  <si>
    <t>DMFR-BC-800</t>
  </si>
  <si>
    <t>50+40,5</t>
  </si>
  <si>
    <t>VS-BC-600</t>
  </si>
  <si>
    <t>ULS-BC-600-40</t>
  </si>
  <si>
    <t>obsobs. Mye væske. Helte i for mye fra begerglasset</t>
  </si>
  <si>
    <t>ULS-BC-700-40</t>
  </si>
  <si>
    <t>ULS-BC-800-40</t>
  </si>
  <si>
    <t>CWC-BC-600</t>
  </si>
  <si>
    <t>Obsobs. Mye væske. Noen snakka til meg på lab - og jeg skvatt :-o</t>
  </si>
  <si>
    <t>CWC-BC-700</t>
  </si>
  <si>
    <t>CWC-BC-750</t>
  </si>
  <si>
    <t>WT-BC-600</t>
  </si>
  <si>
    <t>1a</t>
  </si>
  <si>
    <t>WT-BC-700</t>
  </si>
  <si>
    <t>Oppdager at BC "elektrostatisk" svever over på pipettespiss. Heretter: Bytter etter hver runde.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</si>
  <si>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</si>
  <si>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</si>
  <si>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</si>
  <si>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</si>
  <si>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</si>
  <si>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</si>
  <si>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</si>
  <si>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</si>
  <si>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</si>
  <si>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</si>
  <si>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</si>
  <si>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</si>
  <si>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</si>
  <si>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</si>
  <si>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WT-BC-800</t>
  </si>
  <si>
    <t>DSL-BC-600</t>
  </si>
  <si>
    <t>DSL-BC-700</t>
  </si>
  <si>
    <t>MS-BC-500</t>
  </si>
  <si>
    <t>MS-BC-600</t>
  </si>
  <si>
    <t>En person kom innom labben under spikingen, men er 95% sikker på at jeg spiket prøven</t>
  </si>
  <si>
    <t>MS-BC-700</t>
  </si>
  <si>
    <t>MS-BC-800</t>
  </si>
  <si>
    <t>WT-MAP-A</t>
  </si>
  <si>
    <t>DSL-MAP</t>
  </si>
  <si>
    <t xml:space="preserve">helte for mye vann </t>
  </si>
  <si>
    <t>GW-MAP</t>
  </si>
  <si>
    <t>Blanks</t>
  </si>
  <si>
    <t>Spiked blank (SB)</t>
  </si>
  <si>
    <t>Tidlig</t>
  </si>
  <si>
    <t>Midten</t>
  </si>
  <si>
    <t>Til slutt</t>
  </si>
  <si>
    <t>Til slutt av spike runde 3</t>
  </si>
  <si>
    <t>Til slutt av spike runde 4</t>
  </si>
  <si>
    <t>Helt til slutt</t>
  </si>
  <si>
    <t>End shaking: /11/22, 8h</t>
  </si>
  <si>
    <t>Percent methanol in spike solution</t>
  </si>
  <si>
    <r>
      <t>Weighed PFCA (</t>
    </r>
    <r>
      <rPr>
        <b/>
        <sz val="12"/>
        <color theme="1"/>
        <rFont val="Calibri (Brødtekst)"/>
      </rPr>
      <t>g</t>
    </r>
    <r>
      <rPr>
        <b/>
        <sz val="12"/>
        <color theme="1"/>
        <rFont val="Calibri"/>
        <family val="2"/>
        <scheme val="minor"/>
      </rPr>
      <t>)</t>
    </r>
  </si>
  <si>
    <t>Purity (%)</t>
  </si>
  <si>
    <t>PFCA (g) accounted for purity</t>
  </si>
  <si>
    <t>STD-0 (ug/L) in 25 mL MeOH</t>
  </si>
  <si>
    <t>V STD-1 (mL)</t>
  </si>
  <si>
    <t>Conc. STD-1 in 50 mL milli Q (ug/L)</t>
  </si>
  <si>
    <t>Volume needed of standards (mL)</t>
  </si>
  <si>
    <t xml:space="preserve">STD-0 </t>
  </si>
  <si>
    <t>STD-1</t>
  </si>
  <si>
    <t>STD-1 (dilution from STD-0)</t>
  </si>
  <si>
    <t>PFOA</t>
  </si>
  <si>
    <t>Compound</t>
  </si>
  <si>
    <t>[PFCA] (ug/L) spiked</t>
  </si>
  <si>
    <t xml:space="preserve">spike volume (mL) </t>
  </si>
  <si>
    <t>Percent methanol in final solution (50 mL falcon tubes)</t>
  </si>
  <si>
    <t>C1</t>
  </si>
  <si>
    <t>C2</t>
  </si>
  <si>
    <t>C3</t>
  </si>
  <si>
    <t>C4</t>
  </si>
  <si>
    <t>C5</t>
  </si>
  <si>
    <t>V1</t>
  </si>
  <si>
    <t>V2</t>
  </si>
  <si>
    <t>V3</t>
  </si>
  <si>
    <t>V4</t>
  </si>
  <si>
    <t>V5</t>
  </si>
  <si>
    <t>* oppdatert med  25 prøver.</t>
  </si>
  <si>
    <t>&lt;0,30</t>
  </si>
  <si>
    <t>Vw_g</t>
  </si>
  <si>
    <t>Theoretical_Ci_ugL</t>
  </si>
  <si>
    <t>Mass_BC_g</t>
  </si>
  <si>
    <t>Spiked volume standard solution_uL</t>
  </si>
  <si>
    <t>Spiked volume standard solution_mL</t>
  </si>
  <si>
    <t>Cw_ngL</t>
  </si>
  <si>
    <t>Ci_ugL</t>
  </si>
  <si>
    <t>Cw_ugL</t>
  </si>
  <si>
    <t>Cs_ugkg</t>
  </si>
  <si>
    <t>Kbc_Lkg</t>
  </si>
  <si>
    <t xml:space="preserve">log_Kbc </t>
  </si>
  <si>
    <t>log_Cw</t>
  </si>
  <si>
    <t>log_Cs</t>
  </si>
  <si>
    <t>Kf</t>
  </si>
  <si>
    <t>n</t>
  </si>
  <si>
    <t>NB</t>
  </si>
  <si>
    <t>sample</t>
  </si>
  <si>
    <t>sample_type</t>
  </si>
  <si>
    <t>spiked blank</t>
  </si>
  <si>
    <t>negative blank</t>
  </si>
  <si>
    <t>SB</t>
  </si>
  <si>
    <t>number</t>
  </si>
  <si>
    <t>replicate</t>
  </si>
  <si>
    <t>theoretical_Ci_ugL</t>
  </si>
  <si>
    <t>mass_BC_g</t>
  </si>
  <si>
    <t>C_std_ugL</t>
  </si>
  <si>
    <t>C_std_ugL_theoretical_spiked</t>
  </si>
  <si>
    <t>C_std_ugL_theoretical_stock</t>
  </si>
  <si>
    <t>average</t>
  </si>
  <si>
    <t>sd</t>
  </si>
  <si>
    <t>C_std-0_ugL</t>
  </si>
  <si>
    <t>Theoretical</t>
  </si>
  <si>
    <t>Eurofins</t>
  </si>
  <si>
    <t>Volume STD_uL</t>
  </si>
  <si>
    <t>BC_temp</t>
  </si>
  <si>
    <t>GW</t>
  </si>
  <si>
    <t>DMFR</t>
  </si>
  <si>
    <t>VS</t>
  </si>
  <si>
    <t>ULS</t>
  </si>
  <si>
    <t>CWC</t>
  </si>
  <si>
    <t>WT</t>
  </si>
  <si>
    <t>BC_feedstock</t>
  </si>
  <si>
    <t>DSL</t>
  </si>
  <si>
    <t>MS</t>
  </si>
  <si>
    <t>Average</t>
  </si>
  <si>
    <t>St.dev</t>
  </si>
  <si>
    <t>Average_Kf</t>
  </si>
  <si>
    <t>Average_n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</si>
</sst>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00"/>
    <numFmt numFmtId="166" formatCode="0.000000"/>
    <numFmt numFmtId="167" formatCode="_-* #,##0.0000_-;\-* #,##0.0000_-;_-* &quot;-&quot;??????_-;_-@_-"/>
    <numFmt numFmtId="168" formatCode="_-* #,##0_-;\-* #,##0_-;_-* &quot;-&quot;??????_-;_-@_-"/>
    <numFmt numFmtId="169" formatCode="0.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rødtekst)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5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2" xfId="0" applyBorder="1" applyAlignment="1">
      <alignment wrapText="1"/>
    </xf>
    <xf numFmtId="0" fontId="4" fillId="3" borderId="4" xfId="0" applyFont="1" applyFill="1" applyBorder="1"/>
    <xf numFmtId="0" fontId="4" fillId="4" borderId="4" xfId="0" applyFont="1" applyFill="1" applyBorder="1"/>
    <xf numFmtId="0" fontId="6" fillId="6" borderId="4" xfId="0" applyFont="1" applyFill="1" applyBorder="1"/>
    <xf numFmtId="1" fontId="6" fillId="6" borderId="4" xfId="0" applyNumberFormat="1" applyFont="1" applyFill="1" applyBorder="1"/>
    <xf numFmtId="43" fontId="0" fillId="0" borderId="0" xfId="0" applyNumberFormat="1"/>
    <xf numFmtId="0" fontId="4" fillId="0" borderId="7" xfId="0" applyFont="1" applyBorder="1"/>
    <xf numFmtId="164" fontId="7" fillId="0" borderId="4" xfId="2" applyNumberFormat="1" applyFont="1" applyFill="1" applyBorder="1"/>
    <xf numFmtId="1" fontId="7" fillId="0" borderId="4" xfId="2" applyNumberFormat="1" applyFont="1" applyFill="1" applyBorder="1"/>
    <xf numFmtId="43" fontId="7" fillId="0" borderId="4" xfId="2" applyNumberFormat="1" applyFont="1" applyFill="1" applyBorder="1"/>
    <xf numFmtId="3" fontId="0" fillId="8" borderId="4" xfId="0" applyNumberFormat="1" applyFill="1" applyBorder="1"/>
    <xf numFmtId="0" fontId="4" fillId="0" borderId="0" xfId="0" applyFont="1"/>
    <xf numFmtId="164" fontId="7" fillId="0" borderId="0" xfId="2" applyNumberFormat="1" applyFont="1" applyFill="1" applyBorder="1"/>
    <xf numFmtId="1" fontId="7" fillId="0" borderId="0" xfId="2" applyNumberFormat="1" applyFont="1" applyFill="1" applyBorder="1"/>
    <xf numFmtId="0" fontId="4" fillId="9" borderId="4" xfId="0" applyFont="1" applyFill="1" applyBorder="1"/>
    <xf numFmtId="0" fontId="4" fillId="0" borderId="4" xfId="0" applyFont="1" applyBorder="1"/>
    <xf numFmtId="3" fontId="0" fillId="11" borderId="4" xfId="0" applyNumberFormat="1" applyFill="1" applyBorder="1"/>
    <xf numFmtId="166" fontId="0" fillId="8" borderId="4" xfId="0" applyNumberFormat="1" applyFill="1" applyBorder="1"/>
    <xf numFmtId="166" fontId="0" fillId="7" borderId="4" xfId="0" applyNumberFormat="1" applyFill="1" applyBorder="1"/>
    <xf numFmtId="167" fontId="0" fillId="0" borderId="0" xfId="0" applyNumberFormat="1"/>
    <xf numFmtId="2" fontId="0" fillId="0" borderId="0" xfId="0" applyNumberFormat="1"/>
    <xf numFmtId="41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2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69" fontId="0" fillId="0" borderId="0" xfId="0" applyNumberFormat="1" applyBorder="1"/>
    <xf numFmtId="0" fontId="0" fillId="0" borderId="2" xfId="0" applyFill="1" applyBorder="1"/>
    <xf numFmtId="169" fontId="0" fillId="0" borderId="2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0" fontId="0" fillId="12" borderId="0" xfId="0" applyFill="1"/>
    <xf numFmtId="0" fontId="0" fillId="12" borderId="0" xfId="0" applyFill="1" applyAlignment="1">
      <alignment horizontal="right"/>
    </xf>
    <xf numFmtId="164" fontId="0" fillId="12" borderId="0" xfId="0" applyNumberFormat="1" applyFill="1"/>
    <xf numFmtId="2" fontId="0" fillId="12" borderId="0" xfId="0" applyNumberFormat="1" applyFill="1" applyBorder="1"/>
    <xf numFmtId="169" fontId="0" fillId="12" borderId="0" xfId="0" applyNumberFormat="1" applyFill="1"/>
    <xf numFmtId="0" fontId="0" fillId="12" borderId="0" xfId="0" applyFill="1" applyBorder="1"/>
    <xf numFmtId="1" fontId="0" fillId="12" borderId="0" xfId="0" applyNumberFormat="1" applyFill="1" applyBorder="1"/>
    <xf numFmtId="169" fontId="0" fillId="12" borderId="0" xfId="0" applyNumberFormat="1" applyFill="1" applyBorder="1"/>
    <xf numFmtId="2" fontId="0" fillId="12" borderId="0" xfId="0" applyNumberFormat="1" applyFill="1"/>
    <xf numFmtId="0" fontId="0" fillId="12" borderId="2" xfId="0" applyFill="1" applyBorder="1"/>
    <xf numFmtId="0" fontId="0" fillId="12" borderId="2" xfId="0" applyFill="1" applyBorder="1" applyAlignment="1">
      <alignment horizontal="right"/>
    </xf>
    <xf numFmtId="164" fontId="0" fillId="12" borderId="2" xfId="0" applyNumberFormat="1" applyFill="1" applyBorder="1"/>
    <xf numFmtId="2" fontId="0" fillId="12" borderId="2" xfId="0" applyNumberFormat="1" applyFill="1" applyBorder="1"/>
    <xf numFmtId="169" fontId="0" fillId="12" borderId="2" xfId="0" applyNumberFormat="1" applyFill="1" applyBorder="1"/>
    <xf numFmtId="1" fontId="0" fillId="12" borderId="2" xfId="0" applyNumberFormat="1" applyFill="1" applyBorder="1"/>
    <xf numFmtId="1" fontId="0" fillId="0" borderId="0" xfId="0" applyNumberFormat="1"/>
    <xf numFmtId="41" fontId="0" fillId="7" borderId="4" xfId="1" applyNumberFormat="1" applyFont="1" applyFill="1" applyBorder="1"/>
    <xf numFmtId="1" fontId="0" fillId="0" borderId="0" xfId="0" applyNumberFormat="1" applyAlignment="1">
      <alignment wrapText="1"/>
    </xf>
    <xf numFmtId="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5" fontId="0" fillId="0" borderId="2" xfId="0" applyNumberFormat="1" applyBorder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 applyBorder="1"/>
    <xf numFmtId="1" fontId="0" fillId="0" borderId="0" xfId="0" applyNumberFormat="1" applyFill="1" applyBorder="1"/>
    <xf numFmtId="169" fontId="0" fillId="0" borderId="0" xfId="0" applyNumberFormat="1" applyFill="1" applyBorder="1"/>
    <xf numFmtId="165" fontId="0" fillId="0" borderId="0" xfId="0" applyNumberFormat="1" applyFill="1"/>
    <xf numFmtId="2" fontId="0" fillId="0" borderId="0" xfId="0" applyNumberFormat="1" applyFill="1"/>
    <xf numFmtId="0" fontId="0" fillId="12" borderId="1" xfId="0" applyFill="1" applyBorder="1"/>
    <xf numFmtId="0" fontId="0" fillId="12" borderId="1" xfId="0" applyFill="1" applyBorder="1" applyAlignment="1">
      <alignment horizontal="right"/>
    </xf>
    <xf numFmtId="164" fontId="0" fillId="12" borderId="1" xfId="0" applyNumberFormat="1" applyFill="1" applyBorder="1"/>
    <xf numFmtId="2" fontId="0" fillId="12" borderId="1" xfId="0" applyNumberFormat="1" applyFill="1" applyBorder="1"/>
    <xf numFmtId="1" fontId="0" fillId="12" borderId="1" xfId="0" applyNumberFormat="1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1" fontId="0" fillId="0" borderId="2" xfId="0" applyNumberFormat="1" applyFill="1" applyBorder="1"/>
    <xf numFmtId="169" fontId="0" fillId="0" borderId="2" xfId="0" applyNumberFormat="1" applyFill="1" applyBorder="1"/>
    <xf numFmtId="165" fontId="0" fillId="0" borderId="2" xfId="0" applyNumberFormat="1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3">
    <cellStyle name="Dårlig" xfId="2" builtinId="27"/>
    <cellStyle name="Normal" xfId="0" builtinId="0"/>
    <cellStyle name="Tusenskille [0]" xfId="1" builtinId="6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 Freundlish isotherm</a:t>
            </a:r>
            <a:r>
              <a:rPr lang="nb-NO" baseline="0"/>
              <a:t> </a:t>
            </a:r>
            <a:r>
              <a:rPr lang="nb-NO"/>
              <a:t>GW-BC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GW-BC-500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423650082413732E-2"/>
                  <c:y val="0.15692891885233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(Data!$P$2,Data!$P$4:$P$6)</c:f>
              <c:numCache>
                <c:formatCode>0.000</c:formatCode>
                <c:ptCount val="4"/>
                <c:pt idx="0">
                  <c:v>-1.7728766960431602E-2</c:v>
                </c:pt>
                <c:pt idx="1">
                  <c:v>1.9395192526186185</c:v>
                </c:pt>
                <c:pt idx="2">
                  <c:v>2.9822712330395684</c:v>
                </c:pt>
                <c:pt idx="3">
                  <c:v>3.6232492903979003</c:v>
                </c:pt>
              </c:numCache>
            </c:numRef>
          </c:xVal>
          <c:yVal>
            <c:numRef>
              <c:f>(Data!$Q$2,Data!$Q$4:$Q$6)</c:f>
              <c:numCache>
                <c:formatCode>0.00</c:formatCode>
                <c:ptCount val="4"/>
                <c:pt idx="0">
                  <c:v>4.2671161004523102</c:v>
                </c:pt>
                <c:pt idx="1">
                  <c:v>6.8236908869779382</c:v>
                </c:pt>
                <c:pt idx="2">
                  <c:v>7.2682581383767229</c:v>
                </c:pt>
                <c:pt idx="3">
                  <c:v>8.6067482213475639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13A-9083-F51E5C6D9297}"/>
            </c:ext>
          </c:extLst>
        </c:ser>
        <c:ser>
          <c:idx val="1"/>
          <c:order val="1"/>
          <c:tx>
            <c:strRef>
              <c:f>Data!$A$7</c:f>
              <c:strCache>
                <c:ptCount val="1"/>
                <c:pt idx="0">
                  <c:v>GW-BC-600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90897753802875"/>
                  <c:y val="6.975650994945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Data!$P$7:$P$10</c:f>
              <c:numCache>
                <c:formatCode>0.000</c:formatCode>
                <c:ptCount val="4"/>
                <c:pt idx="0">
                  <c:v>-0.24412514432750865</c:v>
                </c:pt>
                <c:pt idx="1">
                  <c:v>0.91907809237607396</c:v>
                </c:pt>
                <c:pt idx="2">
                  <c:v>1.9395192526186185</c:v>
                </c:pt>
                <c:pt idx="3">
                  <c:v>2.9777236052888476</c:v>
                </c:pt>
              </c:numCache>
            </c:numRef>
          </c:xVal>
          <c:yVal>
            <c:numRef>
              <c:f>Data!$Q$7:$Q$10</c:f>
              <c:numCache>
                <c:formatCode>0.00</c:formatCode>
                <c:ptCount val="4"/>
                <c:pt idx="0">
                  <c:v>5.3258531764672306</c:v>
                </c:pt>
                <c:pt idx="1">
                  <c:v>5.9249793848697552</c:v>
                </c:pt>
                <c:pt idx="2">
                  <c:v>6.8209673146717202</c:v>
                </c:pt>
                <c:pt idx="3">
                  <c:v>7.3782276830527174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A-413A-9083-F51E5C6D9297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GW-BC-800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3858219380038E-2"/>
                  <c:y val="-1.552644110130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Data!$P$12:$P$16</c:f>
              <c:numCache>
                <c:formatCode>0.000</c:formatCode>
                <c:ptCount val="5"/>
                <c:pt idx="0">
                  <c:v>-2.1674910872937638</c:v>
                </c:pt>
                <c:pt idx="1">
                  <c:v>-1.7212463990471711</c:v>
                </c:pt>
                <c:pt idx="2">
                  <c:v>-0.53760200210104392</c:v>
                </c:pt>
                <c:pt idx="3">
                  <c:v>1.4771212547196624</c:v>
                </c:pt>
                <c:pt idx="4">
                  <c:v>3.3010299956639813</c:v>
                </c:pt>
              </c:numCache>
            </c:numRef>
          </c:xVal>
          <c:yVal>
            <c:numRef>
              <c:f>Data!$Q$12:$Q$16</c:f>
              <c:numCache>
                <c:formatCode>0.00</c:formatCode>
                <c:ptCount val="5"/>
                <c:pt idx="0">
                  <c:v>5.6642312279008431</c:v>
                </c:pt>
                <c:pt idx="1">
                  <c:v>6.7060127074426497</c:v>
                </c:pt>
                <c:pt idx="2">
                  <c:v>7.6627049545296133</c:v>
                </c:pt>
                <c:pt idx="3">
                  <c:v>8.7104877691921825</c:v>
                </c:pt>
                <c:pt idx="4">
                  <c:v>9.1842645785648092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0A-413A-9083-F51E5C6D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03984"/>
        <c:axId val="449899720"/>
      </c:scatterChart>
      <c:valAx>
        <c:axId val="4499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 Cw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899720"/>
        <c:crosses val="autoZero"/>
        <c:crossBetween val="midCat"/>
      </c:valAx>
      <c:valAx>
        <c:axId val="4498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0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 Freundlish isotherm</a:t>
            </a:r>
            <a:r>
              <a:rPr lang="nb-NO" baseline="0"/>
              <a:t> </a:t>
            </a:r>
            <a:r>
              <a:rPr lang="nb-NO"/>
              <a:t>GW-BC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GW-BC-500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423650082413732E-2"/>
                  <c:y val="0.15692891885233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(Data!$P$2,Data!$P$4:$P$6)</c:f>
              <c:numCache>
                <c:formatCode>0.000</c:formatCode>
                <c:ptCount val="4"/>
                <c:pt idx="0">
                  <c:v>-1.7728766960431602E-2</c:v>
                </c:pt>
                <c:pt idx="1">
                  <c:v>1.9395192526186185</c:v>
                </c:pt>
                <c:pt idx="2">
                  <c:v>2.9822712330395684</c:v>
                </c:pt>
                <c:pt idx="3">
                  <c:v>3.6232492903979003</c:v>
                </c:pt>
              </c:numCache>
            </c:numRef>
          </c:xVal>
          <c:yVal>
            <c:numRef>
              <c:f>(Data!$Q$2,Data!$Q$4:$Q$6)</c:f>
              <c:numCache>
                <c:formatCode>0.00</c:formatCode>
                <c:ptCount val="4"/>
                <c:pt idx="0">
                  <c:v>4.2671161004523102</c:v>
                </c:pt>
                <c:pt idx="1">
                  <c:v>6.8236908869779382</c:v>
                </c:pt>
                <c:pt idx="2">
                  <c:v>7.2682581383767229</c:v>
                </c:pt>
                <c:pt idx="3">
                  <c:v>8.6067482213475639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F-43D1-B1D8-2B55CBFC7566}"/>
            </c:ext>
          </c:extLst>
        </c:ser>
        <c:ser>
          <c:idx val="1"/>
          <c:order val="1"/>
          <c:tx>
            <c:strRef>
              <c:f>Data!$A$7</c:f>
              <c:strCache>
                <c:ptCount val="1"/>
                <c:pt idx="0">
                  <c:v>GW-BC-600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90897753802875"/>
                  <c:y val="6.975650994945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Data!$P$7:$P$10</c:f>
              <c:numCache>
                <c:formatCode>0.000</c:formatCode>
                <c:ptCount val="4"/>
                <c:pt idx="0">
                  <c:v>-0.24412514432750865</c:v>
                </c:pt>
                <c:pt idx="1">
                  <c:v>0.91907809237607396</c:v>
                </c:pt>
                <c:pt idx="2">
                  <c:v>1.9395192526186185</c:v>
                </c:pt>
                <c:pt idx="3">
                  <c:v>2.9777236052888476</c:v>
                </c:pt>
              </c:numCache>
            </c:numRef>
          </c:xVal>
          <c:yVal>
            <c:numRef>
              <c:f>Data!$Q$7:$Q$10</c:f>
              <c:numCache>
                <c:formatCode>0.00</c:formatCode>
                <c:ptCount val="4"/>
                <c:pt idx="0">
                  <c:v>5.3258531764672306</c:v>
                </c:pt>
                <c:pt idx="1">
                  <c:v>5.9249793848697552</c:v>
                </c:pt>
                <c:pt idx="2">
                  <c:v>6.8209673146717202</c:v>
                </c:pt>
                <c:pt idx="3">
                  <c:v>7.3782276830527174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F-43D1-B1D8-2B55CBFC7566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GW-BC-800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3858219380038E-2"/>
                  <c:y val="-1.5526441101301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Data!$P$12:$P$16</c:f>
              <c:numCache>
                <c:formatCode>0.000</c:formatCode>
                <c:ptCount val="5"/>
                <c:pt idx="0">
                  <c:v>-2.1674910872937638</c:v>
                </c:pt>
                <c:pt idx="1">
                  <c:v>-1.7212463990471711</c:v>
                </c:pt>
                <c:pt idx="2">
                  <c:v>-0.53760200210104392</c:v>
                </c:pt>
                <c:pt idx="3">
                  <c:v>1.4771212547196624</c:v>
                </c:pt>
                <c:pt idx="4">
                  <c:v>3.3010299956639813</c:v>
                </c:pt>
              </c:numCache>
            </c:numRef>
          </c:xVal>
          <c:yVal>
            <c:numRef>
              <c:f>Data!$Q$12:$Q$16</c:f>
              <c:numCache>
                <c:formatCode>0.00</c:formatCode>
                <c:ptCount val="5"/>
                <c:pt idx="0">
                  <c:v>5.6642312279008431</c:v>
                </c:pt>
                <c:pt idx="1">
                  <c:v>6.7060127074426497</c:v>
                </c:pt>
                <c:pt idx="2">
                  <c:v>7.6627049545296133</c:v>
                </c:pt>
                <c:pt idx="3">
                  <c:v>8.7104877691921825</c:v>
                </c:pt>
                <c:pt idx="4">
                  <c:v>9.1842645785648092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7F-43D1-B1D8-2B55CBFC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03984"/>
        <c:axId val="449899720"/>
      </c:scatterChart>
      <c:valAx>
        <c:axId val="4499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 Cw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899720"/>
        <c:crosses val="autoZero"/>
        <c:crossBetween val="midCat"/>
      </c:valAx>
      <c:valAx>
        <c:axId val="4498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0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447675</xdr:colOff>
      <xdr:row>0</xdr:row>
      <xdr:rowOff>576262</xdr:rowOff>
    </xdr:from>
    <xdr:to>
      <xdr:col>28</xdr:col>
      <xdr:colOff>295275</xdr:colOff>
      <xdr:row>16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D199FE7-90B6-2027-A374-68027EA7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447675</xdr:colOff>
      <xdr:row>0</xdr:row>
      <xdr:rowOff>576262</xdr:rowOff>
    </xdr:from>
    <xdr:to>
      <xdr:col>28</xdr:col>
      <xdr:colOff>295275</xdr:colOff>
      <xdr:row>16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200BC9-F663-40D6-AD80-139490C2E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8287-D486-4D02-B0D9-6C77E99B9431}">
  <dimension ref="A1:J135"/>
  <sheetViews>
    <sheetView zoomScale="80" zoomScaleNormal="80" workbookViewId="0">
      <selection activeCell="O13" sqref="O13"/>
    </sheetView>
  </sheetViews>
  <sheetFormatPr baseColWidth="10" defaultColWidth="11.453125" defaultRowHeight="14.5"/>
  <cols>
    <col min="3" max="3" width="18.26953125" customWidth="1"/>
    <col min="4" max="4" width="22.453125" customWidth="1"/>
    <col min="5" max="5" width="15.54296875" style="7" customWidth="1"/>
    <col min="6" max="6" width="16.81640625" customWidth="1"/>
  </cols>
  <sheetData>
    <row r="1" spans="1:10">
      <c r="J1" t="s">
        <v>0</v>
      </c>
    </row>
    <row r="2" spans="1:10">
      <c r="A2" s="2" t="s">
        <v>1</v>
      </c>
      <c r="B2" s="2" t="s">
        <v>2</v>
      </c>
      <c r="C2" t="s">
        <v>3</v>
      </c>
      <c r="D2" t="s">
        <v>4</v>
      </c>
      <c r="E2" s="7" t="s">
        <v>5</v>
      </c>
      <c r="F2" t="s">
        <v>6</v>
      </c>
      <c r="H2" t="s">
        <v>7</v>
      </c>
      <c r="J2" t="s">
        <v>62</v>
      </c>
    </row>
    <row r="3" spans="1:10" s="1" customFormat="1">
      <c r="A3">
        <v>1</v>
      </c>
      <c r="B3">
        <v>1</v>
      </c>
      <c r="C3" s="1" t="s">
        <v>8</v>
      </c>
      <c r="D3" s="1">
        <v>1</v>
      </c>
      <c r="E3" s="10">
        <v>9.9599999999999994E-2</v>
      </c>
      <c r="F3" s="1">
        <v>50.024099999999997</v>
      </c>
      <c r="H3" s="1" t="s">
        <v>9</v>
      </c>
    </row>
    <row r="4" spans="1:10">
      <c r="B4">
        <v>2</v>
      </c>
      <c r="C4" t="s">
        <v>8</v>
      </c>
      <c r="D4">
        <v>10</v>
      </c>
      <c r="E4" s="7">
        <v>0.1008</v>
      </c>
      <c r="F4">
        <v>50.005800000000001</v>
      </c>
      <c r="H4" t="s">
        <v>10</v>
      </c>
    </row>
    <row r="5" spans="1:10">
      <c r="B5">
        <v>3</v>
      </c>
      <c r="C5" t="s">
        <v>8</v>
      </c>
      <c r="D5">
        <v>100</v>
      </c>
      <c r="E5" s="7">
        <v>9.9900000000000003E-2</v>
      </c>
      <c r="F5">
        <v>49.981999999999999</v>
      </c>
      <c r="H5">
        <v>9.1</v>
      </c>
    </row>
    <row r="6" spans="1:10">
      <c r="B6">
        <v>4</v>
      </c>
      <c r="C6" t="s">
        <v>8</v>
      </c>
      <c r="D6">
        <v>1000</v>
      </c>
      <c r="E6" s="7">
        <v>0.10100000000000001</v>
      </c>
      <c r="F6">
        <v>49.991999999999997</v>
      </c>
      <c r="H6" t="s">
        <v>9</v>
      </c>
    </row>
    <row r="7" spans="1:10" s="2" customFormat="1">
      <c r="B7" s="2">
        <v>5</v>
      </c>
      <c r="C7" s="2" t="s">
        <v>8</v>
      </c>
      <c r="D7" s="2">
        <v>5000</v>
      </c>
      <c r="E7" s="8">
        <v>0.1007</v>
      </c>
      <c r="F7" s="2">
        <v>49.997100000000003</v>
      </c>
      <c r="H7" s="2">
        <v>455</v>
      </c>
    </row>
    <row r="8" spans="1:10">
      <c r="A8">
        <v>2</v>
      </c>
      <c r="B8">
        <v>1</v>
      </c>
      <c r="C8" t="s">
        <v>11</v>
      </c>
      <c r="D8">
        <v>1</v>
      </c>
      <c r="E8" s="7">
        <v>0.1009</v>
      </c>
      <c r="F8">
        <v>49.997300000000003</v>
      </c>
    </row>
    <row r="9" spans="1:10">
      <c r="B9">
        <v>2</v>
      </c>
      <c r="C9" t="s">
        <v>11</v>
      </c>
      <c r="D9">
        <v>10</v>
      </c>
      <c r="E9" s="7">
        <v>0.1009</v>
      </c>
      <c r="F9">
        <v>50.010199999999998</v>
      </c>
    </row>
    <row r="10" spans="1:10">
      <c r="B10">
        <v>3</v>
      </c>
      <c r="C10" t="s">
        <v>11</v>
      </c>
      <c r="D10">
        <v>100</v>
      </c>
      <c r="E10" s="7">
        <v>0.1002</v>
      </c>
      <c r="F10">
        <v>50.006999999999998</v>
      </c>
    </row>
    <row r="11" spans="1:10">
      <c r="B11">
        <v>4</v>
      </c>
      <c r="C11" t="s">
        <v>11</v>
      </c>
      <c r="D11">
        <v>1000</v>
      </c>
      <c r="E11" s="7">
        <v>9.9299999999999999E-2</v>
      </c>
      <c r="F11">
        <v>49.992800000000003</v>
      </c>
    </row>
    <row r="12" spans="1:10" s="2" customFormat="1">
      <c r="B12" s="2">
        <v>5</v>
      </c>
      <c r="C12" s="2" t="s">
        <v>11</v>
      </c>
      <c r="D12" s="2">
        <v>5000</v>
      </c>
      <c r="E12" s="8">
        <v>9.9400000000000002E-2</v>
      </c>
      <c r="F12" s="2">
        <v>50.006900000000002</v>
      </c>
    </row>
    <row r="13" spans="1:10">
      <c r="A13">
        <v>3</v>
      </c>
      <c r="B13">
        <v>1</v>
      </c>
      <c r="C13" t="s">
        <v>12</v>
      </c>
      <c r="D13">
        <v>1</v>
      </c>
      <c r="E13" s="7">
        <v>0.10730000000000001</v>
      </c>
      <c r="F13">
        <v>49.9651</v>
      </c>
    </row>
    <row r="14" spans="1:10">
      <c r="B14">
        <v>2</v>
      </c>
      <c r="C14" t="s">
        <v>12</v>
      </c>
      <c r="D14">
        <v>10</v>
      </c>
      <c r="E14" s="7">
        <v>9.8199999999999996E-2</v>
      </c>
      <c r="F14">
        <v>50.011899999999997</v>
      </c>
    </row>
    <row r="15" spans="1:10">
      <c r="B15">
        <v>3</v>
      </c>
      <c r="C15" t="s">
        <v>12</v>
      </c>
      <c r="D15">
        <v>100</v>
      </c>
      <c r="E15" s="7">
        <v>0.1087</v>
      </c>
      <c r="F15">
        <v>50.030200000000001</v>
      </c>
    </row>
    <row r="16" spans="1:10">
      <c r="B16">
        <v>4</v>
      </c>
      <c r="C16" t="s">
        <v>12</v>
      </c>
      <c r="D16">
        <v>1000</v>
      </c>
      <c r="E16" s="7">
        <v>9.4200000000000006E-2</v>
      </c>
      <c r="F16">
        <v>49.988900000000001</v>
      </c>
    </row>
    <row r="17" spans="1:9" s="2" customFormat="1">
      <c r="B17" s="2">
        <v>5</v>
      </c>
      <c r="C17" s="2" t="s">
        <v>12</v>
      </c>
      <c r="D17" s="2">
        <v>5000</v>
      </c>
      <c r="E17" s="8">
        <v>9.8599999999999993E-2</v>
      </c>
      <c r="F17" s="2">
        <v>49.997599999999998</v>
      </c>
    </row>
    <row r="18" spans="1:9">
      <c r="A18">
        <v>4</v>
      </c>
      <c r="B18">
        <v>1</v>
      </c>
      <c r="C18" t="s">
        <v>13</v>
      </c>
      <c r="D18">
        <v>1</v>
      </c>
      <c r="E18" s="7">
        <v>9.4899999999999998E-2</v>
      </c>
      <c r="F18">
        <v>50.018500000000003</v>
      </c>
    </row>
    <row r="19" spans="1:9">
      <c r="B19">
        <v>2</v>
      </c>
      <c r="C19" t="s">
        <v>13</v>
      </c>
      <c r="D19">
        <v>10</v>
      </c>
      <c r="E19" s="7">
        <v>0.10920000000000001</v>
      </c>
      <c r="F19">
        <v>49.990900000000003</v>
      </c>
    </row>
    <row r="20" spans="1:9">
      <c r="B20">
        <v>3</v>
      </c>
      <c r="C20" t="s">
        <v>13</v>
      </c>
      <c r="D20">
        <v>100</v>
      </c>
      <c r="E20" s="7">
        <v>9.5500000000000002E-2</v>
      </c>
      <c r="F20">
        <v>50.003999999999998</v>
      </c>
    </row>
    <row r="21" spans="1:9">
      <c r="B21">
        <v>4</v>
      </c>
      <c r="C21" t="s">
        <v>13</v>
      </c>
      <c r="D21">
        <v>1000</v>
      </c>
      <c r="E21" s="7">
        <v>9.6600000000000005E-2</v>
      </c>
      <c r="F21">
        <v>50.007399999999997</v>
      </c>
      <c r="H21" t="s">
        <v>14</v>
      </c>
    </row>
    <row r="22" spans="1:9" s="2" customFormat="1">
      <c r="B22" s="2">
        <v>5</v>
      </c>
      <c r="C22" s="2" t="s">
        <v>13</v>
      </c>
      <c r="D22" s="2">
        <v>5000</v>
      </c>
      <c r="E22" s="8">
        <v>0.10929999999999999</v>
      </c>
      <c r="F22" s="2">
        <v>50.016399999999997</v>
      </c>
    </row>
    <row r="23" spans="1:9">
      <c r="A23">
        <v>5</v>
      </c>
      <c r="B23">
        <v>1</v>
      </c>
      <c r="C23" t="s">
        <v>15</v>
      </c>
      <c r="D23">
        <v>1</v>
      </c>
      <c r="E23" s="7">
        <v>0.1069</v>
      </c>
      <c r="F23">
        <v>49.989699999999999</v>
      </c>
      <c r="H23" s="1" t="s">
        <v>9</v>
      </c>
    </row>
    <row r="24" spans="1:9">
      <c r="B24">
        <v>2</v>
      </c>
      <c r="C24" t="s">
        <v>15</v>
      </c>
      <c r="D24">
        <v>10</v>
      </c>
      <c r="E24" s="7">
        <v>9.4100000000000003E-2</v>
      </c>
      <c r="F24">
        <v>50.017899999999997</v>
      </c>
      <c r="H24" t="s">
        <v>10</v>
      </c>
    </row>
    <row r="25" spans="1:9">
      <c r="B25">
        <v>3</v>
      </c>
      <c r="C25" t="s">
        <v>15</v>
      </c>
      <c r="D25">
        <v>100</v>
      </c>
      <c r="E25" s="7">
        <v>0.1002</v>
      </c>
      <c r="F25">
        <v>50.002600000000001</v>
      </c>
    </row>
    <row r="26" spans="1:9">
      <c r="B26">
        <v>4</v>
      </c>
      <c r="C26" t="s">
        <v>15</v>
      </c>
      <c r="D26">
        <v>1000</v>
      </c>
      <c r="E26" s="6">
        <v>0.1</v>
      </c>
      <c r="F26">
        <v>49.994</v>
      </c>
    </row>
    <row r="27" spans="1:9" s="2" customFormat="1">
      <c r="B27" s="2">
        <v>5</v>
      </c>
      <c r="C27" s="2" t="s">
        <v>15</v>
      </c>
      <c r="D27" s="2">
        <v>5000</v>
      </c>
      <c r="E27" s="8">
        <v>9.7699999999999995E-2</v>
      </c>
      <c r="F27" s="2">
        <v>49.990400000000001</v>
      </c>
    </row>
    <row r="28" spans="1:9">
      <c r="A28">
        <v>6</v>
      </c>
      <c r="B28">
        <v>1</v>
      </c>
      <c r="C28" t="s">
        <v>16</v>
      </c>
      <c r="D28">
        <v>1</v>
      </c>
      <c r="E28" s="7">
        <v>0.1</v>
      </c>
      <c r="F28">
        <v>50.000500000000002</v>
      </c>
    </row>
    <row r="29" spans="1:9">
      <c r="B29">
        <v>2</v>
      </c>
      <c r="C29" t="s">
        <v>16</v>
      </c>
      <c r="D29">
        <v>10</v>
      </c>
      <c r="E29" s="7">
        <v>0.1017</v>
      </c>
      <c r="F29">
        <v>50.011099999999999</v>
      </c>
    </row>
    <row r="30" spans="1:9">
      <c r="B30">
        <v>3</v>
      </c>
      <c r="C30" t="s">
        <v>16</v>
      </c>
      <c r="D30">
        <v>100</v>
      </c>
      <c r="E30" s="7">
        <v>9.9699999999999997E-2</v>
      </c>
      <c r="F30">
        <v>51.193600000000004</v>
      </c>
      <c r="I30" t="s">
        <v>17</v>
      </c>
    </row>
    <row r="31" spans="1:9">
      <c r="B31">
        <v>4</v>
      </c>
      <c r="C31" t="s">
        <v>16</v>
      </c>
      <c r="D31">
        <v>1000</v>
      </c>
      <c r="E31" s="7">
        <v>0.1</v>
      </c>
      <c r="F31">
        <v>50.011499999999998</v>
      </c>
    </row>
    <row r="32" spans="1:9" s="2" customFormat="1">
      <c r="B32" s="2">
        <v>5</v>
      </c>
      <c r="C32" s="2" t="s">
        <v>16</v>
      </c>
      <c r="D32" s="2">
        <v>5000</v>
      </c>
      <c r="E32" s="8">
        <v>9.74E-2</v>
      </c>
      <c r="F32" s="2">
        <v>50.007599999999996</v>
      </c>
    </row>
    <row r="33" spans="1:9">
      <c r="A33">
        <v>7</v>
      </c>
      <c r="B33">
        <v>1</v>
      </c>
      <c r="C33" t="s">
        <v>18</v>
      </c>
      <c r="D33">
        <v>1</v>
      </c>
      <c r="E33" s="7">
        <v>9.6699999999999994E-2</v>
      </c>
      <c r="F33" s="7">
        <v>49.997</v>
      </c>
    </row>
    <row r="34" spans="1:9">
      <c r="B34">
        <v>2</v>
      </c>
      <c r="C34" t="s">
        <v>18</v>
      </c>
      <c r="D34">
        <v>10</v>
      </c>
      <c r="E34" s="7">
        <v>0.10100000000000001</v>
      </c>
      <c r="F34" s="7">
        <v>49.994799999999998</v>
      </c>
    </row>
    <row r="35" spans="1:9">
      <c r="B35">
        <v>3</v>
      </c>
      <c r="C35" t="s">
        <v>18</v>
      </c>
      <c r="D35">
        <v>100</v>
      </c>
      <c r="E35" s="7">
        <v>9.8900000000000002E-2</v>
      </c>
      <c r="F35">
        <v>49.995800000000003</v>
      </c>
    </row>
    <row r="36" spans="1:9">
      <c r="B36">
        <v>4</v>
      </c>
      <c r="C36" t="s">
        <v>18</v>
      </c>
      <c r="D36">
        <v>1000</v>
      </c>
      <c r="E36" s="7">
        <v>9.9099999999999994E-2</v>
      </c>
      <c r="F36">
        <v>50.0167</v>
      </c>
    </row>
    <row r="37" spans="1:9" s="2" customFormat="1">
      <c r="B37" s="2">
        <v>5</v>
      </c>
      <c r="C37" s="2" t="s">
        <v>18</v>
      </c>
      <c r="D37" s="2">
        <v>5000</v>
      </c>
      <c r="E37" s="8">
        <v>0.1016</v>
      </c>
      <c r="F37" s="2">
        <v>50.011000000000003</v>
      </c>
    </row>
    <row r="38" spans="1:9">
      <c r="A38">
        <v>8</v>
      </c>
      <c r="B38">
        <v>1</v>
      </c>
      <c r="C38" t="s">
        <v>19</v>
      </c>
      <c r="D38">
        <v>1</v>
      </c>
      <c r="E38" s="7">
        <v>0.10349999999999999</v>
      </c>
      <c r="F38">
        <v>50.0092</v>
      </c>
    </row>
    <row r="39" spans="1:9">
      <c r="B39">
        <v>2</v>
      </c>
      <c r="C39" t="s">
        <v>19</v>
      </c>
      <c r="D39">
        <v>10</v>
      </c>
      <c r="E39" s="7">
        <v>0.1026</v>
      </c>
      <c r="F39">
        <v>50.014099999999999</v>
      </c>
    </row>
    <row r="40" spans="1:9">
      <c r="B40">
        <v>3</v>
      </c>
      <c r="C40" t="s">
        <v>19</v>
      </c>
      <c r="D40">
        <v>100</v>
      </c>
      <c r="E40" s="7">
        <v>0.1031</v>
      </c>
      <c r="F40">
        <v>50.005400000000002</v>
      </c>
    </row>
    <row r="41" spans="1:9">
      <c r="B41">
        <v>4</v>
      </c>
      <c r="C41" t="s">
        <v>19</v>
      </c>
      <c r="D41">
        <v>1000</v>
      </c>
      <c r="E41" s="7">
        <v>9.9099999999999994E-2</v>
      </c>
      <c r="F41">
        <v>50.014899999999997</v>
      </c>
    </row>
    <row r="42" spans="1:9" s="2" customFormat="1">
      <c r="B42" s="2">
        <v>5</v>
      </c>
      <c r="C42" s="2" t="s">
        <v>19</v>
      </c>
      <c r="D42" s="2">
        <v>5000</v>
      </c>
      <c r="E42" s="8">
        <v>9.7900000000000001E-2</v>
      </c>
      <c r="F42" s="2">
        <v>50.003799999999998</v>
      </c>
    </row>
    <row r="43" spans="1:9">
      <c r="A43">
        <v>9</v>
      </c>
      <c r="B43">
        <v>1</v>
      </c>
      <c r="C43" t="s">
        <v>20</v>
      </c>
      <c r="D43">
        <v>1</v>
      </c>
      <c r="E43" s="7">
        <v>0.1019</v>
      </c>
      <c r="F43">
        <v>49.9985</v>
      </c>
      <c r="H43" s="1" t="s">
        <v>9</v>
      </c>
    </row>
    <row r="44" spans="1:9">
      <c r="B44">
        <v>2</v>
      </c>
      <c r="C44" t="s">
        <v>20</v>
      </c>
      <c r="D44">
        <v>10</v>
      </c>
      <c r="E44" s="7">
        <v>0.1022</v>
      </c>
      <c r="F44">
        <v>50.035200000000003</v>
      </c>
      <c r="H44" t="s">
        <v>10</v>
      </c>
      <c r="I44" t="s">
        <v>21</v>
      </c>
    </row>
    <row r="45" spans="1:9">
      <c r="B45">
        <v>3</v>
      </c>
      <c r="C45" t="s">
        <v>20</v>
      </c>
      <c r="D45">
        <v>100</v>
      </c>
      <c r="E45" s="7">
        <v>0.1018</v>
      </c>
      <c r="F45">
        <v>50.004399999999997</v>
      </c>
    </row>
    <row r="46" spans="1:9">
      <c r="B46">
        <v>4</v>
      </c>
      <c r="C46" t="s">
        <v>20</v>
      </c>
      <c r="D46">
        <v>1000</v>
      </c>
      <c r="E46" s="6">
        <v>9.8799999999999999E-2</v>
      </c>
      <c r="F46">
        <v>50.011099999999999</v>
      </c>
    </row>
    <row r="47" spans="1:9" s="2" customFormat="1">
      <c r="B47" s="2">
        <v>5</v>
      </c>
      <c r="C47" s="2" t="s">
        <v>20</v>
      </c>
      <c r="D47" s="2">
        <v>5000</v>
      </c>
      <c r="E47" s="8">
        <v>9.9500000000000005E-2</v>
      </c>
      <c r="F47" s="2">
        <v>50.001100000000001</v>
      </c>
    </row>
    <row r="48" spans="1:9">
      <c r="A48">
        <v>10</v>
      </c>
      <c r="B48">
        <v>1</v>
      </c>
      <c r="C48" t="s">
        <v>22</v>
      </c>
      <c r="D48">
        <v>1</v>
      </c>
      <c r="E48" s="7">
        <v>0.1</v>
      </c>
      <c r="F48">
        <v>49.997900000000001</v>
      </c>
    </row>
    <row r="49" spans="1:9">
      <c r="B49">
        <v>2</v>
      </c>
      <c r="C49" t="s">
        <v>22</v>
      </c>
      <c r="D49">
        <v>10</v>
      </c>
      <c r="E49" s="7">
        <v>0.10100000000000001</v>
      </c>
      <c r="F49">
        <v>49.991599999999998</v>
      </c>
    </row>
    <row r="50" spans="1:9">
      <c r="B50">
        <v>3</v>
      </c>
      <c r="C50" t="s">
        <v>22</v>
      </c>
      <c r="D50">
        <v>100</v>
      </c>
      <c r="E50" s="7">
        <v>0.1016</v>
      </c>
      <c r="F50">
        <v>50.011000000000003</v>
      </c>
    </row>
    <row r="51" spans="1:9">
      <c r="B51">
        <v>4</v>
      </c>
      <c r="C51" t="s">
        <v>22</v>
      </c>
      <c r="D51">
        <v>1000</v>
      </c>
      <c r="E51" s="7">
        <v>0.1</v>
      </c>
      <c r="F51">
        <v>49.990499999999997</v>
      </c>
    </row>
    <row r="52" spans="1:9" s="2" customFormat="1">
      <c r="B52" s="2">
        <v>5</v>
      </c>
      <c r="C52" s="2" t="s">
        <v>22</v>
      </c>
      <c r="D52" s="2">
        <v>5000</v>
      </c>
      <c r="E52" s="8">
        <v>0.1013</v>
      </c>
      <c r="F52" s="2">
        <v>50.0047</v>
      </c>
    </row>
    <row r="53" spans="1:9">
      <c r="A53">
        <v>11</v>
      </c>
      <c r="B53">
        <v>1</v>
      </c>
      <c r="C53" t="s">
        <v>23</v>
      </c>
      <c r="D53">
        <v>1</v>
      </c>
      <c r="E53" s="7">
        <v>0.1</v>
      </c>
      <c r="F53">
        <v>50.000700000000002</v>
      </c>
    </row>
    <row r="54" spans="1:9">
      <c r="B54">
        <v>2</v>
      </c>
      <c r="C54" t="s">
        <v>23</v>
      </c>
      <c r="D54">
        <v>10</v>
      </c>
      <c r="E54" s="7">
        <v>0.10100000000000001</v>
      </c>
      <c r="F54">
        <v>49.992699999999999</v>
      </c>
    </row>
    <row r="55" spans="1:9">
      <c r="B55">
        <v>3</v>
      </c>
      <c r="C55" t="s">
        <v>23</v>
      </c>
      <c r="D55">
        <v>100</v>
      </c>
      <c r="E55" s="7">
        <v>0.1013</v>
      </c>
      <c r="F55">
        <v>50.048099999999998</v>
      </c>
    </row>
    <row r="56" spans="1:9">
      <c r="B56">
        <v>4</v>
      </c>
      <c r="C56" t="s">
        <v>23</v>
      </c>
      <c r="D56">
        <v>1000</v>
      </c>
      <c r="E56" s="7">
        <v>9.8000000000000004E-2</v>
      </c>
      <c r="F56">
        <v>50.0017</v>
      </c>
    </row>
    <row r="57" spans="1:9" s="2" customFormat="1">
      <c r="B57" s="2">
        <v>5</v>
      </c>
      <c r="C57" s="2" t="s">
        <v>23</v>
      </c>
      <c r="D57" s="2">
        <v>5000</v>
      </c>
      <c r="E57" s="8">
        <v>0.10440000000000001</v>
      </c>
      <c r="F57" s="2">
        <v>49.9968</v>
      </c>
    </row>
    <row r="58" spans="1:9">
      <c r="A58">
        <v>12</v>
      </c>
      <c r="B58">
        <v>1</v>
      </c>
      <c r="C58" t="s">
        <v>24</v>
      </c>
      <c r="D58">
        <v>1</v>
      </c>
      <c r="E58" s="7">
        <v>0.1036</v>
      </c>
      <c r="F58">
        <v>49.9923</v>
      </c>
    </row>
    <row r="59" spans="1:9">
      <c r="B59">
        <v>2</v>
      </c>
      <c r="C59" t="s">
        <v>24</v>
      </c>
      <c r="D59">
        <v>10</v>
      </c>
      <c r="E59" s="7">
        <v>9.8900000000000002E-2</v>
      </c>
      <c r="F59">
        <v>49.992899999999999</v>
      </c>
    </row>
    <row r="60" spans="1:9">
      <c r="B60">
        <v>3</v>
      </c>
      <c r="C60" t="s">
        <v>24</v>
      </c>
      <c r="D60">
        <v>100</v>
      </c>
      <c r="E60" s="7">
        <v>0.1036</v>
      </c>
      <c r="F60">
        <v>49.995100000000001</v>
      </c>
    </row>
    <row r="61" spans="1:9">
      <c r="B61">
        <v>4</v>
      </c>
      <c r="C61" t="s">
        <v>24</v>
      </c>
      <c r="D61">
        <v>1000</v>
      </c>
      <c r="E61" s="7">
        <v>0.10009999999999999</v>
      </c>
      <c r="F61">
        <v>50.022300000000001</v>
      </c>
    </row>
    <row r="62" spans="1:9" s="2" customFormat="1">
      <c r="B62" s="2">
        <v>5</v>
      </c>
      <c r="C62" s="2" t="s">
        <v>24</v>
      </c>
      <c r="D62" s="2">
        <v>5000</v>
      </c>
      <c r="E62" s="8">
        <v>0.1009</v>
      </c>
      <c r="F62" s="2">
        <v>49.995100000000001</v>
      </c>
    </row>
    <row r="63" spans="1:9">
      <c r="A63">
        <v>13</v>
      </c>
      <c r="B63" s="3" t="s">
        <v>25</v>
      </c>
      <c r="C63" t="s">
        <v>26</v>
      </c>
      <c r="D63">
        <v>1</v>
      </c>
      <c r="E63" s="7">
        <v>9.8799999999999999E-2</v>
      </c>
      <c r="F63">
        <v>50.021299999999997</v>
      </c>
      <c r="H63" s="1" t="s">
        <v>9</v>
      </c>
      <c r="I63" t="s">
        <v>27</v>
      </c>
    </row>
    <row r="64" spans="1:9">
      <c r="B64" s="3" t="s">
        <v>28</v>
      </c>
      <c r="C64" t="s">
        <v>26</v>
      </c>
      <c r="D64">
        <v>1</v>
      </c>
      <c r="E64" s="7">
        <v>9.7600000000000006E-2</v>
      </c>
      <c r="F64">
        <v>49.9983</v>
      </c>
    </row>
    <row r="65" spans="1:8">
      <c r="B65" s="3" t="s">
        <v>29</v>
      </c>
      <c r="C65" t="s">
        <v>26</v>
      </c>
      <c r="D65">
        <v>1</v>
      </c>
      <c r="E65" s="7">
        <v>9.7199999999999995E-2</v>
      </c>
      <c r="F65">
        <v>49.993600000000001</v>
      </c>
    </row>
    <row r="66" spans="1:8">
      <c r="B66" s="3" t="s">
        <v>30</v>
      </c>
      <c r="C66" t="s">
        <v>26</v>
      </c>
      <c r="D66">
        <v>10</v>
      </c>
      <c r="E66" s="7">
        <v>9.69E-2</v>
      </c>
      <c r="F66">
        <v>50.006500000000003</v>
      </c>
      <c r="H66" t="s">
        <v>10</v>
      </c>
    </row>
    <row r="67" spans="1:8">
      <c r="B67" s="3" t="s">
        <v>31</v>
      </c>
      <c r="C67" t="s">
        <v>26</v>
      </c>
      <c r="D67">
        <v>10</v>
      </c>
      <c r="E67" s="7">
        <v>9.9500000000000005E-2</v>
      </c>
      <c r="F67">
        <v>49.994599999999998</v>
      </c>
    </row>
    <row r="68" spans="1:8">
      <c r="B68" s="3" t="s">
        <v>32</v>
      </c>
      <c r="C68" t="s">
        <v>26</v>
      </c>
      <c r="D68">
        <v>10</v>
      </c>
      <c r="E68" s="7">
        <v>9.5699999999999993E-2</v>
      </c>
      <c r="F68">
        <v>50.005499999999998</v>
      </c>
    </row>
    <row r="69" spans="1:8">
      <c r="B69" s="3" t="s">
        <v>33</v>
      </c>
      <c r="C69" t="s">
        <v>26</v>
      </c>
      <c r="D69">
        <v>100</v>
      </c>
      <c r="E69" s="7">
        <v>9.8699999999999996E-2</v>
      </c>
      <c r="F69">
        <v>49.997500000000002</v>
      </c>
    </row>
    <row r="70" spans="1:8">
      <c r="B70" s="3" t="s">
        <v>34</v>
      </c>
      <c r="C70" t="s">
        <v>26</v>
      </c>
      <c r="D70">
        <v>100</v>
      </c>
      <c r="E70" s="7">
        <v>9.4299999999999995E-2</v>
      </c>
      <c r="F70">
        <v>50.017200000000003</v>
      </c>
    </row>
    <row r="71" spans="1:8">
      <c r="B71" s="3" t="s">
        <v>35</v>
      </c>
      <c r="C71" t="s">
        <v>26</v>
      </c>
      <c r="D71">
        <v>100</v>
      </c>
      <c r="E71" s="7">
        <v>9.8100000000000007E-2</v>
      </c>
      <c r="F71">
        <v>49.997700000000002</v>
      </c>
    </row>
    <row r="72" spans="1:8">
      <c r="B72" s="3" t="s">
        <v>36</v>
      </c>
      <c r="C72" t="s">
        <v>26</v>
      </c>
      <c r="D72">
        <v>1000</v>
      </c>
      <c r="E72" s="7">
        <v>9.8400000000000001E-2</v>
      </c>
      <c r="F72">
        <v>49.9925</v>
      </c>
    </row>
    <row r="73" spans="1:8">
      <c r="B73" s="3" t="s">
        <v>37</v>
      </c>
      <c r="C73" t="s">
        <v>26</v>
      </c>
      <c r="D73">
        <v>1000</v>
      </c>
      <c r="E73" s="7">
        <v>0.1042</v>
      </c>
      <c r="F73">
        <v>50.0167</v>
      </c>
    </row>
    <row r="74" spans="1:8">
      <c r="B74" s="3" t="s">
        <v>38</v>
      </c>
      <c r="C74" t="s">
        <v>26</v>
      </c>
      <c r="D74">
        <v>1000</v>
      </c>
      <c r="E74" s="7">
        <v>9.6199999999999994E-2</v>
      </c>
      <c r="F74">
        <v>50.010399999999997</v>
      </c>
    </row>
    <row r="75" spans="1:8">
      <c r="B75" s="3" t="s">
        <v>39</v>
      </c>
      <c r="C75" t="s">
        <v>26</v>
      </c>
      <c r="D75">
        <v>5000</v>
      </c>
      <c r="E75" s="7">
        <v>9.7299999999999998E-2</v>
      </c>
      <c r="F75">
        <v>49.998399999999997</v>
      </c>
    </row>
    <row r="76" spans="1:8">
      <c r="B76" s="3" t="s">
        <v>40</v>
      </c>
      <c r="C76" t="s">
        <v>26</v>
      </c>
      <c r="D76">
        <v>5000</v>
      </c>
      <c r="E76" s="7">
        <v>0.1007</v>
      </c>
      <c r="F76">
        <v>49.993899999999996</v>
      </c>
    </row>
    <row r="77" spans="1:8" s="2" customFormat="1">
      <c r="B77" s="4" t="s">
        <v>41</v>
      </c>
      <c r="C77" s="2" t="s">
        <v>26</v>
      </c>
      <c r="D77" s="2">
        <v>5000</v>
      </c>
      <c r="E77" s="8">
        <v>9.7100000000000006E-2</v>
      </c>
      <c r="F77" s="2">
        <v>50.014099999999999</v>
      </c>
    </row>
    <row r="78" spans="1:8">
      <c r="A78">
        <v>14</v>
      </c>
      <c r="B78">
        <v>1</v>
      </c>
      <c r="C78" t="s">
        <v>42</v>
      </c>
      <c r="D78">
        <v>1</v>
      </c>
      <c r="E78" s="7">
        <v>9.7100000000000006E-2</v>
      </c>
      <c r="F78">
        <v>49.996400000000001</v>
      </c>
    </row>
    <row r="79" spans="1:8">
      <c r="B79">
        <v>2</v>
      </c>
      <c r="C79" t="s">
        <v>42</v>
      </c>
      <c r="D79">
        <v>10</v>
      </c>
      <c r="E79" s="7">
        <v>9.7900000000000001E-2</v>
      </c>
      <c r="F79">
        <v>50.016300000000001</v>
      </c>
    </row>
    <row r="80" spans="1:8">
      <c r="B80">
        <v>3</v>
      </c>
      <c r="C80" t="s">
        <v>42</v>
      </c>
      <c r="D80">
        <v>100</v>
      </c>
      <c r="E80" s="7">
        <v>9.7799999999999998E-2</v>
      </c>
      <c r="F80">
        <v>50.002499999999998</v>
      </c>
    </row>
    <row r="81" spans="1:8">
      <c r="B81">
        <v>4</v>
      </c>
      <c r="C81" t="s">
        <v>42</v>
      </c>
      <c r="D81">
        <v>1000</v>
      </c>
      <c r="E81" s="7">
        <v>0.1013</v>
      </c>
      <c r="F81">
        <v>50.020499999999998</v>
      </c>
    </row>
    <row r="82" spans="1:8" s="2" customFormat="1">
      <c r="B82" s="2">
        <v>5</v>
      </c>
      <c r="C82" s="2" t="s">
        <v>42</v>
      </c>
      <c r="D82" s="2">
        <v>5000</v>
      </c>
      <c r="E82" s="8">
        <v>9.8900000000000002E-2</v>
      </c>
      <c r="F82" s="2">
        <v>50.054499999999997</v>
      </c>
    </row>
    <row r="83" spans="1:8">
      <c r="A83">
        <v>15</v>
      </c>
      <c r="B83">
        <v>1</v>
      </c>
      <c r="C83" t="s">
        <v>43</v>
      </c>
      <c r="D83">
        <v>1</v>
      </c>
      <c r="E83" s="7">
        <v>0.1046</v>
      </c>
      <c r="F83">
        <v>49.993400000000001</v>
      </c>
    </row>
    <row r="84" spans="1:8">
      <c r="B84">
        <v>2</v>
      </c>
      <c r="C84" t="s">
        <v>43</v>
      </c>
      <c r="D84">
        <v>10</v>
      </c>
      <c r="E84" s="7">
        <v>0.1031</v>
      </c>
      <c r="F84">
        <v>49.994199999999999</v>
      </c>
    </row>
    <row r="85" spans="1:8">
      <c r="B85">
        <v>3</v>
      </c>
      <c r="C85" t="s">
        <v>43</v>
      </c>
      <c r="D85">
        <v>100</v>
      </c>
      <c r="E85" s="7">
        <v>0.1057</v>
      </c>
      <c r="F85">
        <v>50.011499999999998</v>
      </c>
    </row>
    <row r="86" spans="1:8">
      <c r="B86">
        <v>4</v>
      </c>
      <c r="C86" t="s">
        <v>43</v>
      </c>
      <c r="D86">
        <v>1000</v>
      </c>
      <c r="E86" s="7">
        <v>0.10539999999999999</v>
      </c>
      <c r="F86">
        <v>50.001100000000001</v>
      </c>
    </row>
    <row r="87" spans="1:8" s="2" customFormat="1">
      <c r="B87" s="2">
        <v>5</v>
      </c>
      <c r="C87" s="2" t="s">
        <v>43</v>
      </c>
      <c r="D87" s="2">
        <v>5000</v>
      </c>
      <c r="E87" s="8">
        <v>9.4299999999999995E-2</v>
      </c>
      <c r="F87" s="2">
        <v>50.005299999999998</v>
      </c>
    </row>
    <row r="88" spans="1:8">
      <c r="A88">
        <v>16</v>
      </c>
      <c r="B88">
        <v>1</v>
      </c>
      <c r="C88" t="s">
        <v>44</v>
      </c>
      <c r="D88">
        <v>1</v>
      </c>
      <c r="E88" s="7">
        <v>9.8199999999999996E-2</v>
      </c>
      <c r="F88">
        <v>50.0047</v>
      </c>
      <c r="H88" s="1" t="s">
        <v>9</v>
      </c>
    </row>
    <row r="89" spans="1:8">
      <c r="B89">
        <v>2</v>
      </c>
      <c r="C89" t="s">
        <v>44</v>
      </c>
      <c r="D89">
        <v>10</v>
      </c>
      <c r="E89" s="7">
        <v>0.10199999999999999</v>
      </c>
      <c r="F89">
        <v>50.003799999999998</v>
      </c>
      <c r="H89" t="s">
        <v>10</v>
      </c>
    </row>
    <row r="90" spans="1:8">
      <c r="B90">
        <v>3</v>
      </c>
      <c r="C90" t="s">
        <v>44</v>
      </c>
      <c r="D90">
        <v>100</v>
      </c>
      <c r="E90" s="7">
        <v>0.1002</v>
      </c>
      <c r="F90">
        <v>50.008499999999998</v>
      </c>
    </row>
    <row r="91" spans="1:8">
      <c r="B91">
        <v>4</v>
      </c>
      <c r="C91" t="s">
        <v>44</v>
      </c>
      <c r="D91">
        <v>1000</v>
      </c>
      <c r="E91" s="7">
        <v>0.1007</v>
      </c>
      <c r="F91">
        <v>50.022100000000002</v>
      </c>
    </row>
    <row r="92" spans="1:8" s="2" customFormat="1">
      <c r="B92" s="2">
        <v>5</v>
      </c>
      <c r="C92" s="2" t="s">
        <v>44</v>
      </c>
      <c r="D92" s="2">
        <v>5000</v>
      </c>
      <c r="E92" s="8">
        <v>0.10539999999999999</v>
      </c>
      <c r="F92" s="2">
        <v>50.014800000000001</v>
      </c>
    </row>
    <row r="93" spans="1:8">
      <c r="A93">
        <v>17</v>
      </c>
      <c r="B93">
        <v>1</v>
      </c>
      <c r="C93" t="s">
        <v>45</v>
      </c>
      <c r="D93">
        <v>1</v>
      </c>
      <c r="E93" s="7">
        <v>0.1016</v>
      </c>
      <c r="F93">
        <v>49.992800000000003</v>
      </c>
    </row>
    <row r="94" spans="1:8">
      <c r="B94">
        <v>2</v>
      </c>
      <c r="C94" t="s">
        <v>45</v>
      </c>
      <c r="D94">
        <v>10</v>
      </c>
      <c r="E94" s="7">
        <v>0.10050000000000001</v>
      </c>
      <c r="F94">
        <v>50.009799999999998</v>
      </c>
    </row>
    <row r="95" spans="1:8">
      <c r="B95">
        <v>3</v>
      </c>
      <c r="C95" t="s">
        <v>45</v>
      </c>
      <c r="D95">
        <v>100</v>
      </c>
      <c r="E95" s="7">
        <v>0.1013</v>
      </c>
      <c r="F95">
        <v>49.997199999999999</v>
      </c>
    </row>
    <row r="96" spans="1:8">
      <c r="B96">
        <v>4</v>
      </c>
      <c r="C96" t="s">
        <v>45</v>
      </c>
      <c r="D96">
        <v>1000</v>
      </c>
      <c r="E96" s="7">
        <v>9.7900000000000001E-2</v>
      </c>
      <c r="F96">
        <v>49.990200000000002</v>
      </c>
    </row>
    <row r="97" spans="1:9" s="2" customFormat="1">
      <c r="B97" s="2">
        <v>5</v>
      </c>
      <c r="C97" s="2" t="s">
        <v>45</v>
      </c>
      <c r="D97" s="2">
        <v>5000</v>
      </c>
      <c r="E97" s="8">
        <v>0.10390000000000001</v>
      </c>
      <c r="F97" s="2">
        <v>49.999699999999997</v>
      </c>
    </row>
    <row r="98" spans="1:9">
      <c r="A98">
        <v>18</v>
      </c>
      <c r="B98">
        <v>1</v>
      </c>
      <c r="C98" t="s">
        <v>46</v>
      </c>
      <c r="D98">
        <v>1</v>
      </c>
      <c r="E98" s="7">
        <v>0.1009</v>
      </c>
      <c r="F98" s="11">
        <v>49.991</v>
      </c>
    </row>
    <row r="99" spans="1:9">
      <c r="B99">
        <v>2</v>
      </c>
      <c r="C99" t="s">
        <v>46</v>
      </c>
      <c r="D99">
        <v>10</v>
      </c>
      <c r="E99" s="7">
        <v>0.10580000000000001</v>
      </c>
      <c r="F99">
        <v>50.012700000000002</v>
      </c>
    </row>
    <row r="100" spans="1:9">
      <c r="B100">
        <v>3</v>
      </c>
      <c r="C100" t="s">
        <v>46</v>
      </c>
      <c r="D100">
        <v>100</v>
      </c>
      <c r="E100" s="7">
        <v>0.1011</v>
      </c>
      <c r="F100">
        <v>50.083599999999997</v>
      </c>
      <c r="I100" t="s">
        <v>47</v>
      </c>
    </row>
    <row r="101" spans="1:9">
      <c r="B101">
        <v>4</v>
      </c>
      <c r="C101" t="s">
        <v>46</v>
      </c>
      <c r="D101">
        <v>1000</v>
      </c>
      <c r="E101" s="7">
        <v>0.1032</v>
      </c>
      <c r="F101">
        <v>50.001800000000003</v>
      </c>
    </row>
    <row r="102" spans="1:9" s="2" customFormat="1">
      <c r="B102" s="2">
        <v>5</v>
      </c>
      <c r="C102" s="2" t="s">
        <v>46</v>
      </c>
      <c r="D102" s="2">
        <v>5000</v>
      </c>
      <c r="E102" s="8">
        <v>0.1038</v>
      </c>
      <c r="F102" s="2">
        <v>50.0045</v>
      </c>
    </row>
    <row r="103" spans="1:9">
      <c r="A103">
        <v>19</v>
      </c>
      <c r="B103">
        <v>1</v>
      </c>
      <c r="C103" t="s">
        <v>48</v>
      </c>
      <c r="D103">
        <v>1</v>
      </c>
      <c r="E103" s="7">
        <v>0.1013</v>
      </c>
      <c r="F103">
        <v>50.003500000000003</v>
      </c>
      <c r="H103" s="1" t="s">
        <v>9</v>
      </c>
    </row>
    <row r="104" spans="1:9">
      <c r="B104">
        <v>2</v>
      </c>
      <c r="C104" t="s">
        <v>48</v>
      </c>
      <c r="D104">
        <v>10</v>
      </c>
      <c r="E104" s="7">
        <v>9.8400000000000001E-2</v>
      </c>
      <c r="F104">
        <v>49.996600000000001</v>
      </c>
      <c r="H104" t="s">
        <v>10</v>
      </c>
    </row>
    <row r="105" spans="1:9">
      <c r="B105">
        <v>3</v>
      </c>
      <c r="C105" t="s">
        <v>48</v>
      </c>
      <c r="D105">
        <v>100</v>
      </c>
      <c r="E105" s="7">
        <v>0.10249999999999999</v>
      </c>
      <c r="F105">
        <v>50.0062</v>
      </c>
      <c r="H105">
        <v>9.1</v>
      </c>
    </row>
    <row r="106" spans="1:9">
      <c r="B106">
        <v>4</v>
      </c>
      <c r="C106" t="s">
        <v>48</v>
      </c>
      <c r="D106">
        <v>1000</v>
      </c>
      <c r="E106" s="7">
        <v>0.1002</v>
      </c>
      <c r="F106">
        <v>50.035299999999999</v>
      </c>
    </row>
    <row r="107" spans="1:9" s="2" customFormat="1">
      <c r="B107" s="2">
        <v>5</v>
      </c>
      <c r="C107" s="2" t="s">
        <v>48</v>
      </c>
      <c r="D107" s="2">
        <v>5000</v>
      </c>
      <c r="E107" s="8">
        <v>0.1016</v>
      </c>
      <c r="F107" s="2">
        <v>50.016199999999998</v>
      </c>
    </row>
    <row r="108" spans="1:9">
      <c r="A108">
        <v>20</v>
      </c>
      <c r="B108">
        <v>1</v>
      </c>
      <c r="C108" t="s">
        <v>49</v>
      </c>
      <c r="D108">
        <v>1</v>
      </c>
      <c r="E108" s="7">
        <v>0.10249999999999999</v>
      </c>
      <c r="F108">
        <v>49.990200000000002</v>
      </c>
    </row>
    <row r="109" spans="1:9">
      <c r="B109">
        <v>2</v>
      </c>
      <c r="C109" t="s">
        <v>49</v>
      </c>
      <c r="D109">
        <v>10</v>
      </c>
      <c r="E109" s="7">
        <v>0.1012</v>
      </c>
      <c r="F109">
        <v>50.005200000000002</v>
      </c>
    </row>
    <row r="110" spans="1:9">
      <c r="B110">
        <v>3</v>
      </c>
      <c r="C110" t="s">
        <v>49</v>
      </c>
      <c r="D110">
        <v>100</v>
      </c>
      <c r="E110" s="7">
        <v>9.9099999999999994E-2</v>
      </c>
      <c r="F110">
        <v>50.011600000000001</v>
      </c>
    </row>
    <row r="111" spans="1:9">
      <c r="B111">
        <v>4</v>
      </c>
      <c r="C111" t="s">
        <v>49</v>
      </c>
      <c r="D111">
        <v>1000</v>
      </c>
      <c r="E111" s="7">
        <v>9.6600000000000005E-2</v>
      </c>
      <c r="F111">
        <v>50.002099999999999</v>
      </c>
    </row>
    <row r="112" spans="1:9" s="2" customFormat="1">
      <c r="B112" s="2">
        <v>5</v>
      </c>
      <c r="C112" s="2" t="s">
        <v>49</v>
      </c>
      <c r="D112" s="2">
        <v>5000</v>
      </c>
      <c r="E112" s="8">
        <v>0.1002</v>
      </c>
      <c r="F112" s="2">
        <v>50.015000000000001</v>
      </c>
    </row>
    <row r="113" spans="1:10">
      <c r="A113">
        <v>21</v>
      </c>
      <c r="B113">
        <v>1</v>
      </c>
      <c r="C113" t="s">
        <v>50</v>
      </c>
      <c r="D113">
        <v>1</v>
      </c>
      <c r="E113" s="7">
        <v>0.1011</v>
      </c>
      <c r="F113">
        <v>50.008499999999998</v>
      </c>
    </row>
    <row r="114" spans="1:10">
      <c r="B114">
        <v>2</v>
      </c>
      <c r="C114" t="s">
        <v>50</v>
      </c>
      <c r="D114">
        <v>10</v>
      </c>
      <c r="E114" s="7">
        <v>9.98E-2</v>
      </c>
      <c r="F114">
        <v>50.008000000000003</v>
      </c>
    </row>
    <row r="115" spans="1:10">
      <c r="B115">
        <v>3</v>
      </c>
      <c r="C115" t="s">
        <v>50</v>
      </c>
      <c r="D115">
        <v>100</v>
      </c>
      <c r="E115" s="7">
        <v>0.1013</v>
      </c>
      <c r="F115" s="7">
        <v>50.011000000000003</v>
      </c>
    </row>
    <row r="116" spans="1:10">
      <c r="B116">
        <v>4</v>
      </c>
      <c r="C116" t="s">
        <v>50</v>
      </c>
      <c r="D116">
        <v>1000</v>
      </c>
      <c r="E116" s="7">
        <v>0.10009999999999999</v>
      </c>
      <c r="F116">
        <v>50.000300000000003</v>
      </c>
    </row>
    <row r="117" spans="1:10" s="2" customFormat="1">
      <c r="B117" s="2">
        <v>5</v>
      </c>
      <c r="C117" s="2" t="s">
        <v>50</v>
      </c>
      <c r="D117" s="2">
        <v>5000</v>
      </c>
      <c r="E117" s="8">
        <v>0.1</v>
      </c>
      <c r="F117" s="2">
        <v>49.996099999999998</v>
      </c>
    </row>
    <row r="118" spans="1:10">
      <c r="A118">
        <v>22</v>
      </c>
      <c r="B118">
        <v>1</v>
      </c>
      <c r="C118" t="s">
        <v>51</v>
      </c>
      <c r="D118">
        <v>1</v>
      </c>
      <c r="E118" s="7">
        <v>9.9500000000000005E-2</v>
      </c>
      <c r="F118">
        <v>50.011200000000002</v>
      </c>
    </row>
    <row r="119" spans="1:10">
      <c r="B119">
        <v>2</v>
      </c>
      <c r="C119" t="s">
        <v>51</v>
      </c>
      <c r="D119">
        <v>10</v>
      </c>
      <c r="E119" s="7">
        <v>0.106</v>
      </c>
      <c r="F119">
        <v>49.986499999999999</v>
      </c>
    </row>
    <row r="120" spans="1:10">
      <c r="B120">
        <v>3</v>
      </c>
      <c r="C120" t="s">
        <v>51</v>
      </c>
      <c r="D120">
        <v>100</v>
      </c>
      <c r="E120" s="7">
        <v>9.8000000000000004E-2</v>
      </c>
      <c r="F120">
        <v>49.9861</v>
      </c>
    </row>
    <row r="121" spans="1:10">
      <c r="B121">
        <v>4</v>
      </c>
      <c r="C121" t="s">
        <v>51</v>
      </c>
      <c r="D121">
        <v>1000</v>
      </c>
      <c r="E121" s="7">
        <v>0.1046</v>
      </c>
      <c r="F121">
        <v>50.801400000000001</v>
      </c>
      <c r="I121" t="s">
        <v>52</v>
      </c>
    </row>
    <row r="122" spans="1:10" s="2" customFormat="1">
      <c r="B122" s="2">
        <v>5</v>
      </c>
      <c r="C122" s="2" t="s">
        <v>51</v>
      </c>
      <c r="D122" s="2">
        <v>5000</v>
      </c>
      <c r="E122" s="8">
        <v>0.1061</v>
      </c>
      <c r="F122" s="2">
        <v>50.012900000000002</v>
      </c>
    </row>
    <row r="123" spans="1:10">
      <c r="A123">
        <v>23</v>
      </c>
      <c r="B123">
        <v>1</v>
      </c>
      <c r="C123" t="s">
        <v>53</v>
      </c>
      <c r="D123">
        <v>1</v>
      </c>
      <c r="E123" s="7">
        <v>0.1008</v>
      </c>
      <c r="F123">
        <v>50.000100000000003</v>
      </c>
    </row>
    <row r="124" spans="1:10">
      <c r="B124">
        <v>2</v>
      </c>
      <c r="C124" t="s">
        <v>53</v>
      </c>
      <c r="D124">
        <v>10</v>
      </c>
      <c r="E124" s="7">
        <v>0.1014</v>
      </c>
      <c r="F124">
        <v>50.0351</v>
      </c>
    </row>
    <row r="125" spans="1:10">
      <c r="B125">
        <v>3</v>
      </c>
      <c r="C125" t="s">
        <v>53</v>
      </c>
      <c r="D125">
        <v>100</v>
      </c>
      <c r="E125" s="7">
        <v>9.5600000000000004E-2</v>
      </c>
      <c r="F125">
        <v>50.005600000000001</v>
      </c>
    </row>
    <row r="126" spans="1:10">
      <c r="B126">
        <v>4</v>
      </c>
      <c r="C126" t="s">
        <v>53</v>
      </c>
      <c r="D126">
        <v>1000</v>
      </c>
      <c r="E126" s="7">
        <v>0.1013</v>
      </c>
      <c r="F126">
        <v>50.011499999999998</v>
      </c>
    </row>
    <row r="127" spans="1:10" s="2" customFormat="1">
      <c r="B127" s="2">
        <v>5</v>
      </c>
      <c r="C127" s="2" t="s">
        <v>53</v>
      </c>
      <c r="D127" s="2">
        <v>5000</v>
      </c>
      <c r="E127" s="8">
        <v>9.9099999999999994E-2</v>
      </c>
      <c r="F127" s="2">
        <v>50.013300000000001</v>
      </c>
    </row>
    <row r="128" spans="1:10">
      <c r="A128" t="s">
        <v>54</v>
      </c>
      <c r="B128" t="s">
        <v>25</v>
      </c>
      <c r="C128" t="s">
        <v>55</v>
      </c>
      <c r="D128">
        <v>1</v>
      </c>
      <c r="F128">
        <v>50.007100000000001</v>
      </c>
      <c r="H128" s="1" t="s">
        <v>9</v>
      </c>
      <c r="J128" t="s">
        <v>56</v>
      </c>
    </row>
    <row r="129" spans="2:10">
      <c r="B129" t="s">
        <v>28</v>
      </c>
      <c r="C129" t="s">
        <v>55</v>
      </c>
      <c r="D129">
        <v>1</v>
      </c>
      <c r="F129">
        <v>50.019399999999997</v>
      </c>
      <c r="J129" t="s">
        <v>57</v>
      </c>
    </row>
    <row r="130" spans="2:10">
      <c r="B130" t="s">
        <v>29</v>
      </c>
      <c r="C130" t="s">
        <v>55</v>
      </c>
      <c r="D130">
        <v>1</v>
      </c>
      <c r="F130">
        <v>49.997599999999998</v>
      </c>
      <c r="J130" t="s">
        <v>58</v>
      </c>
    </row>
    <row r="131" spans="2:10">
      <c r="B131">
        <v>2</v>
      </c>
      <c r="C131" t="s">
        <v>55</v>
      </c>
      <c r="D131">
        <v>10</v>
      </c>
      <c r="F131">
        <v>49.990200000000002</v>
      </c>
      <c r="H131" t="s">
        <v>10</v>
      </c>
      <c r="J131" t="s">
        <v>57</v>
      </c>
    </row>
    <row r="132" spans="2:10">
      <c r="B132">
        <v>3</v>
      </c>
      <c r="C132" t="s">
        <v>55</v>
      </c>
      <c r="D132">
        <v>100</v>
      </c>
      <c r="F132">
        <v>49.998199999999997</v>
      </c>
      <c r="H132">
        <v>9.1</v>
      </c>
      <c r="J132" t="s">
        <v>59</v>
      </c>
    </row>
    <row r="133" spans="2:10">
      <c r="B133">
        <v>4</v>
      </c>
      <c r="C133" t="s">
        <v>55</v>
      </c>
      <c r="D133">
        <v>1000</v>
      </c>
      <c r="F133">
        <v>50.014000000000003</v>
      </c>
      <c r="J133" t="s">
        <v>60</v>
      </c>
    </row>
    <row r="134" spans="2:10" s="5" customFormat="1">
      <c r="B134" s="5">
        <v>5</v>
      </c>
      <c r="C134" s="5" t="s">
        <v>55</v>
      </c>
      <c r="D134" s="5">
        <v>5000</v>
      </c>
      <c r="E134" s="9"/>
      <c r="F134" s="5">
        <v>50.001300000000001</v>
      </c>
      <c r="J134" s="5" t="s">
        <v>61</v>
      </c>
    </row>
    <row r="135" spans="2:10">
      <c r="B135">
        <f>COUNT(B3:B134)</f>
        <v>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89A-1D10-4921-8D2E-BA5D705246DE}">
  <dimension ref="A1:R23"/>
  <sheetViews>
    <sheetView workbookViewId="0">
      <selection activeCell="G24" sqref="G24"/>
    </sheetView>
  </sheetViews>
  <sheetFormatPr baseColWidth="10" defaultColWidth="9.1796875" defaultRowHeight="14.5"/>
  <cols>
    <col min="1" max="1" width="18" customWidth="1"/>
    <col min="2" max="2" width="13.54296875" customWidth="1"/>
    <col min="3" max="3" width="12" customWidth="1"/>
    <col min="5" max="5" width="13.81640625" customWidth="1"/>
    <col min="6" max="6" width="18" customWidth="1"/>
    <col min="7" max="7" width="13.453125" bestFit="1" customWidth="1"/>
    <col min="8" max="8" width="12.1796875" customWidth="1"/>
    <col min="9" max="9" width="11.1796875" customWidth="1"/>
    <col min="10" max="10" width="24" customWidth="1"/>
    <col min="11" max="11" width="10.26953125" bestFit="1" customWidth="1"/>
    <col min="12" max="12" width="11.81640625" customWidth="1"/>
    <col min="14" max="15" width="9.54296875" bestFit="1" customWidth="1"/>
  </cols>
  <sheetData>
    <row r="1" spans="1:18">
      <c r="N1" t="s">
        <v>63</v>
      </c>
    </row>
    <row r="2" spans="1:18" ht="15.5">
      <c r="C2" s="94" t="s">
        <v>64</v>
      </c>
      <c r="D2" s="94" t="s">
        <v>65</v>
      </c>
      <c r="E2" s="94" t="s">
        <v>66</v>
      </c>
      <c r="F2" s="95" t="s">
        <v>67</v>
      </c>
      <c r="G2" s="94" t="s">
        <v>68</v>
      </c>
      <c r="H2" s="96" t="s">
        <v>69</v>
      </c>
      <c r="J2" s="87" t="s">
        <v>70</v>
      </c>
      <c r="K2" s="88"/>
      <c r="N2" s="15" t="s">
        <v>71</v>
      </c>
      <c r="O2" s="16" t="s">
        <v>72</v>
      </c>
    </row>
    <row r="3" spans="1:18" ht="14.5" customHeight="1">
      <c r="C3" s="94"/>
      <c r="D3" s="94"/>
      <c r="E3" s="94"/>
      <c r="F3" s="95"/>
      <c r="G3" s="94"/>
      <c r="H3" s="96"/>
      <c r="J3" s="17" t="s">
        <v>71</v>
      </c>
      <c r="K3" s="18">
        <f>(K11+L11+J11)*25+G5</f>
        <v>13.888475499092559</v>
      </c>
      <c r="N3">
        <v>100</v>
      </c>
      <c r="O3" s="19">
        <f>G5/50*100</f>
        <v>0.1</v>
      </c>
    </row>
    <row r="4" spans="1:18" ht="14.5" customHeight="1">
      <c r="C4" s="94"/>
      <c r="D4" s="94"/>
      <c r="E4" s="94"/>
      <c r="F4" s="95"/>
      <c r="G4" s="94"/>
      <c r="H4" s="96"/>
      <c r="J4" s="17" t="s">
        <v>73</v>
      </c>
      <c r="K4" s="18">
        <f>SUM(H11:I11)*15</f>
        <v>14.972776769509982</v>
      </c>
    </row>
    <row r="5" spans="1:18" ht="15.5">
      <c r="A5" t="s">
        <v>122</v>
      </c>
      <c r="B5" s="20" t="s">
        <v>74</v>
      </c>
      <c r="C5" s="21">
        <v>1.4500000000000001E-2</v>
      </c>
      <c r="D5" s="22">
        <v>95</v>
      </c>
      <c r="E5" s="21">
        <f>C5*D5*0.01</f>
        <v>1.3775000000000003E-2</v>
      </c>
      <c r="F5" s="62">
        <f>E5*10^6/0.025</f>
        <v>551000</v>
      </c>
      <c r="G5" s="23">
        <v>0.05</v>
      </c>
      <c r="H5" s="24">
        <f>(F5*G5*10^-3)/0.05</f>
        <v>551</v>
      </c>
    </row>
    <row r="6" spans="1:18" ht="15.5">
      <c r="A6" t="s">
        <v>123</v>
      </c>
      <c r="B6" s="25"/>
      <c r="C6" s="26"/>
      <c r="D6" s="27"/>
      <c r="E6" s="26"/>
      <c r="F6" s="61">
        <f>Blanks!P10</f>
        <v>575067.46684587083</v>
      </c>
      <c r="H6" s="61">
        <f>(F6*G5*10^-3)/0.05</f>
        <v>575.06746684587085</v>
      </c>
    </row>
    <row r="7" spans="1:18" ht="15.5">
      <c r="B7" s="25"/>
      <c r="C7" s="26"/>
      <c r="D7" s="27"/>
      <c r="E7" s="26"/>
    </row>
    <row r="9" spans="1:18" ht="15.5">
      <c r="B9" s="89" t="s">
        <v>75</v>
      </c>
      <c r="C9" s="91" t="s">
        <v>76</v>
      </c>
      <c r="D9" s="92"/>
      <c r="E9" s="92"/>
      <c r="F9" s="92"/>
      <c r="G9" s="92"/>
      <c r="H9" s="93" t="s">
        <v>77</v>
      </c>
      <c r="I9" s="93"/>
      <c r="J9" s="93"/>
      <c r="K9" s="93"/>
      <c r="L9" s="93"/>
      <c r="N9" t="s">
        <v>78</v>
      </c>
    </row>
    <row r="10" spans="1:18" ht="15.5">
      <c r="B10" s="90"/>
      <c r="C10" s="28" t="s">
        <v>79</v>
      </c>
      <c r="D10" s="28" t="s">
        <v>80</v>
      </c>
      <c r="E10" s="28" t="s">
        <v>81</v>
      </c>
      <c r="F10" s="28" t="s">
        <v>82</v>
      </c>
      <c r="G10" s="28" t="s">
        <v>83</v>
      </c>
      <c r="H10" s="16" t="s">
        <v>84</v>
      </c>
      <c r="I10" s="16" t="s">
        <v>85</v>
      </c>
      <c r="J10" s="15" t="s">
        <v>86</v>
      </c>
      <c r="K10" s="15" t="s">
        <v>87</v>
      </c>
      <c r="L10" s="15" t="s">
        <v>88</v>
      </c>
      <c r="N10" s="16" t="s">
        <v>84</v>
      </c>
      <c r="O10" s="16" t="s">
        <v>85</v>
      </c>
      <c r="P10" s="15" t="s">
        <v>86</v>
      </c>
      <c r="Q10" s="15" t="s">
        <v>87</v>
      </c>
      <c r="R10" s="15" t="s">
        <v>88</v>
      </c>
    </row>
    <row r="11" spans="1:18" ht="15.5">
      <c r="B11" s="29" t="s">
        <v>74</v>
      </c>
      <c r="C11" s="30">
        <v>1</v>
      </c>
      <c r="D11" s="30">
        <v>10</v>
      </c>
      <c r="E11" s="30">
        <v>100</v>
      </c>
      <c r="F11" s="30">
        <v>1000</v>
      </c>
      <c r="G11" s="30">
        <v>5000</v>
      </c>
      <c r="H11" s="31">
        <f>C11*50/$H$5</f>
        <v>9.0744101633393831E-2</v>
      </c>
      <c r="I11" s="31">
        <f>D11*50/$H$5</f>
        <v>0.90744101633393826</v>
      </c>
      <c r="J11" s="32">
        <f>E11*50/$F$5</f>
        <v>9.0744101633393835E-3</v>
      </c>
      <c r="K11" s="32">
        <f>F11*50/$F$5</f>
        <v>9.0744101633393831E-2</v>
      </c>
      <c r="L11" s="32">
        <f>G11*50/$F$5</f>
        <v>0.45372050816696913</v>
      </c>
      <c r="N11" s="33">
        <f>H11*$O$3/50</f>
        <v>1.8148820326678767E-4</v>
      </c>
      <c r="O11" s="33">
        <f>I11*$O$3/50</f>
        <v>1.8148820326678765E-3</v>
      </c>
      <c r="P11" s="33">
        <f t="shared" ref="P11:R11" si="0">J11/50*100</f>
        <v>1.8148820326678767E-2</v>
      </c>
      <c r="Q11" s="33">
        <f t="shared" si="0"/>
        <v>0.18148820326678766</v>
      </c>
      <c r="R11" s="33">
        <f t="shared" si="0"/>
        <v>0.90744101633393814</v>
      </c>
    </row>
    <row r="12" spans="1:18">
      <c r="H12" s="34">
        <f t="shared" ref="H12:I12" si="1">H11*1000</f>
        <v>90.744101633393825</v>
      </c>
      <c r="I12" s="34">
        <f t="shared" si="1"/>
        <v>907.44101633393825</v>
      </c>
      <c r="J12" s="34">
        <f>J11*1000</f>
        <v>9.0744101633393832</v>
      </c>
      <c r="K12" s="34">
        <f t="shared" ref="K12:L12" si="2">K11*1000</f>
        <v>90.744101633393825</v>
      </c>
      <c r="L12" s="34">
        <f t="shared" si="2"/>
        <v>453.72050816696913</v>
      </c>
    </row>
    <row r="13" spans="1:18">
      <c r="H13">
        <v>50</v>
      </c>
      <c r="I13">
        <v>900</v>
      </c>
      <c r="K13">
        <v>50</v>
      </c>
    </row>
    <row r="14" spans="1:18">
      <c r="B14" t="s">
        <v>89</v>
      </c>
      <c r="H14">
        <v>40.700000000000003</v>
      </c>
      <c r="I14" s="34">
        <v>7.4</v>
      </c>
      <c r="K14">
        <v>40.700000000000003</v>
      </c>
    </row>
    <row r="22" spans="3:7">
      <c r="G22" s="35">
        <f>0.455*F5/50</f>
        <v>5014.1000000000004</v>
      </c>
    </row>
    <row r="23" spans="3:7">
      <c r="C23" s="36"/>
      <c r="D23" s="36"/>
      <c r="E23" s="36"/>
      <c r="F23" s="36"/>
      <c r="G23" s="35"/>
    </row>
  </sheetData>
  <mergeCells count="10">
    <mergeCell ref="J2:K2"/>
    <mergeCell ref="B9:B10"/>
    <mergeCell ref="C9:G9"/>
    <mergeCell ref="H9:L9"/>
    <mergeCell ref="C2:C4"/>
    <mergeCell ref="D2:D4"/>
    <mergeCell ref="E2:E4"/>
    <mergeCell ref="F2:F4"/>
    <mergeCell ref="G2:G4"/>
    <mergeCell ref="H2:H4"/>
  </mergeCells>
  <conditionalFormatting sqref="N11:R11">
    <cfRule type="cellIs" dxfId="0" priority="1" operator="greater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69DD-A5A6-42C8-BC67-FFB61FFAE7DA}">
  <dimension ref="A1:S136"/>
  <sheetViews>
    <sheetView zoomScaleNormal="100" workbookViewId="0">
      <pane ySplit="1" topLeftCell="A130" activePane="bottomLeft" state="frozen"/>
      <selection pane="bottomLeft" activeCell="K134" sqref="K134:K136"/>
    </sheetView>
  </sheetViews>
  <sheetFormatPr baseColWidth="10" defaultColWidth="11.453125" defaultRowHeight="14.5"/>
  <cols>
    <col min="1" max="1" width="18.26953125" customWidth="1"/>
    <col min="2" max="2" width="18.54296875" customWidth="1"/>
    <col min="5" max="5" width="22.453125" customWidth="1"/>
    <col min="6" max="6" width="21.54296875" style="7" customWidth="1"/>
    <col min="7" max="7" width="16.81640625" customWidth="1"/>
    <col min="8" max="8" width="16.26953125" customWidth="1"/>
    <col min="9" max="9" width="20.1796875" customWidth="1"/>
    <col min="10" max="10" width="27.453125" style="34" customWidth="1"/>
    <col min="11" max="11" width="16.26953125" style="37" customWidth="1"/>
    <col min="12" max="12" width="12.7265625" customWidth="1"/>
    <col min="13" max="13" width="11.1796875" customWidth="1"/>
    <col min="14" max="14" width="17.453125" customWidth="1"/>
  </cols>
  <sheetData>
    <row r="1" spans="1:19" s="2" customFormat="1" ht="75" customHeight="1">
      <c r="A1" s="2" t="s">
        <v>107</v>
      </c>
      <c r="B1" s="2" t="s">
        <v>108</v>
      </c>
      <c r="C1" s="2" t="s">
        <v>112</v>
      </c>
      <c r="D1" s="2" t="s">
        <v>113</v>
      </c>
      <c r="E1" s="14" t="s">
        <v>114</v>
      </c>
      <c r="F1" s="8" t="s">
        <v>115</v>
      </c>
      <c r="G1" s="2" t="s">
        <v>91</v>
      </c>
      <c r="H1" s="14" t="s">
        <v>94</v>
      </c>
      <c r="I1" s="14" t="s">
        <v>95</v>
      </c>
      <c r="J1" s="38" t="s">
        <v>97</v>
      </c>
      <c r="K1" s="43" t="s">
        <v>96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</row>
    <row r="2" spans="1:19">
      <c r="A2" s="13" t="s">
        <v>8</v>
      </c>
      <c r="B2" t="s">
        <v>107</v>
      </c>
      <c r="C2">
        <v>1</v>
      </c>
      <c r="D2">
        <v>1</v>
      </c>
      <c r="E2" s="13">
        <v>1</v>
      </c>
      <c r="F2" s="45">
        <v>9.9599999999999994E-2</v>
      </c>
      <c r="G2" s="13">
        <v>50.024099999999997</v>
      </c>
      <c r="H2">
        <f>50+40.5</f>
        <v>90.5</v>
      </c>
      <c r="I2">
        <f>H2/1000</f>
        <v>9.0499999999999997E-2</v>
      </c>
      <c r="J2" s="39">
        <f>I2*STD!$H$5/G2</f>
        <v>0.99682952816742332</v>
      </c>
      <c r="K2" s="37">
        <v>960</v>
      </c>
      <c r="L2" s="13">
        <f>K2/1000</f>
        <v>0.96</v>
      </c>
      <c r="M2" s="40">
        <f>(J2*G2-L2*G2)/(F2/1000)</f>
        <v>18497.630522088388</v>
      </c>
      <c r="N2" s="40">
        <f>M2/L2</f>
        <v>19268.365127175406</v>
      </c>
      <c r="O2" s="41">
        <f>LOG(N2)</f>
        <v>4.2848448674127422</v>
      </c>
      <c r="P2" s="11">
        <f>LOG(L2)</f>
        <v>-1.7728766960431602E-2</v>
      </c>
      <c r="Q2" s="34">
        <f>LOG(M2)</f>
        <v>4.2671161004523102</v>
      </c>
      <c r="R2" s="34" t="e">
        <f>INTERCEPT(Q2:Q6,P2:P6)</f>
        <v>#NUM!</v>
      </c>
      <c r="S2" s="34" t="e">
        <f>SLOPE(Q2:Q6,P2:P6)</f>
        <v>#NUM!</v>
      </c>
    </row>
    <row r="3" spans="1:19">
      <c r="A3" t="s">
        <v>8</v>
      </c>
      <c r="B3" t="s">
        <v>107</v>
      </c>
      <c r="C3">
        <v>2</v>
      </c>
      <c r="D3">
        <v>1</v>
      </c>
      <c r="E3">
        <v>10</v>
      </c>
      <c r="F3" s="7">
        <v>0.1008</v>
      </c>
      <c r="G3">
        <v>50.005800000000001</v>
      </c>
      <c r="H3">
        <f>900+7.4</f>
        <v>907.4</v>
      </c>
      <c r="I3">
        <f t="shared" ref="I3:I66" si="0">H3/1000</f>
        <v>0.90739999999999998</v>
      </c>
      <c r="J3" s="34">
        <f>I3*STD!$H$5/G3</f>
        <v>9.9983881869703115</v>
      </c>
      <c r="K3" s="37">
        <v>11000</v>
      </c>
      <c r="L3" s="13">
        <f t="shared" ref="L3:L66" si="1">K3/1000</f>
        <v>11</v>
      </c>
      <c r="M3" s="40">
        <f>(J3*G3-L3*G3)/(F3/1000)</f>
        <v>-496888.88888888917</v>
      </c>
      <c r="N3" s="40">
        <f t="shared" ref="N3:N66" si="2">M3/L3</f>
        <v>-45171.717171717195</v>
      </c>
      <c r="O3" s="41" t="e">
        <f t="shared" ref="O3:O66" si="3">LOG(N3)</f>
        <v>#NUM!</v>
      </c>
      <c r="P3" s="11">
        <f t="shared" ref="P3:P66" si="4">LOG(L3)</f>
        <v>1.0413926851582251</v>
      </c>
      <c r="Q3" s="34" t="e">
        <f t="shared" ref="Q3:Q66" si="5">LOG(M3)</f>
        <v>#NUM!</v>
      </c>
    </row>
    <row r="4" spans="1:19">
      <c r="A4" t="s">
        <v>8</v>
      </c>
      <c r="B4" t="s">
        <v>107</v>
      </c>
      <c r="C4">
        <v>3</v>
      </c>
      <c r="D4">
        <v>1</v>
      </c>
      <c r="E4">
        <v>100</v>
      </c>
      <c r="F4" s="7">
        <v>9.9900000000000003E-2</v>
      </c>
      <c r="G4">
        <v>49.981999999999999</v>
      </c>
      <c r="H4">
        <v>9.1</v>
      </c>
      <c r="I4">
        <f t="shared" si="0"/>
        <v>9.1000000000000004E-3</v>
      </c>
      <c r="J4" s="34">
        <f>I4*STD!$F$5/G4</f>
        <v>100.31811452122766</v>
      </c>
      <c r="K4" s="37">
        <v>87000</v>
      </c>
      <c r="L4" s="13">
        <f t="shared" si="1"/>
        <v>87</v>
      </c>
      <c r="M4" s="40">
        <f t="shared" ref="M4:M66" si="6">(J4*G4-L4*G4)/(F4/1000)</f>
        <v>6663323.3233233253</v>
      </c>
      <c r="N4" s="40">
        <f t="shared" si="2"/>
        <v>76589.923256589944</v>
      </c>
      <c r="O4" s="41">
        <f t="shared" si="3"/>
        <v>4.8841716343593191</v>
      </c>
      <c r="P4" s="11">
        <f t="shared" si="4"/>
        <v>1.9395192526186185</v>
      </c>
      <c r="Q4" s="34">
        <f t="shared" si="5"/>
        <v>6.8236908869779382</v>
      </c>
    </row>
    <row r="5" spans="1:19">
      <c r="A5" t="s">
        <v>8</v>
      </c>
      <c r="B5" t="s">
        <v>107</v>
      </c>
      <c r="C5">
        <v>4</v>
      </c>
      <c r="D5">
        <v>1</v>
      </c>
      <c r="E5">
        <v>1000</v>
      </c>
      <c r="F5" s="7">
        <v>0.10100000000000001</v>
      </c>
      <c r="G5">
        <v>49.991999999999997</v>
      </c>
      <c r="H5">
        <f>50+40.5</f>
        <v>90.5</v>
      </c>
      <c r="I5">
        <f t="shared" si="0"/>
        <v>9.0499999999999997E-2</v>
      </c>
      <c r="J5" s="34">
        <f>I5*STD!$F$5/G5</f>
        <v>997.46959513522165</v>
      </c>
      <c r="K5" s="37">
        <v>960000</v>
      </c>
      <c r="L5" s="13">
        <f t="shared" si="1"/>
        <v>960</v>
      </c>
      <c r="M5" s="40">
        <f t="shared" si="6"/>
        <v>18546336.633663367</v>
      </c>
      <c r="N5" s="40">
        <f t="shared" si="2"/>
        <v>19319.100660066008</v>
      </c>
      <c r="O5" s="41">
        <f t="shared" si="3"/>
        <v>4.2859869053371549</v>
      </c>
      <c r="P5" s="11">
        <f t="shared" si="4"/>
        <v>2.9822712330395684</v>
      </c>
      <c r="Q5" s="34">
        <f t="shared" si="5"/>
        <v>7.2682581383767229</v>
      </c>
    </row>
    <row r="6" spans="1:19" s="2" customFormat="1">
      <c r="A6" s="2" t="s">
        <v>8</v>
      </c>
      <c r="B6" s="2" t="s">
        <v>107</v>
      </c>
      <c r="C6" s="2">
        <v>5</v>
      </c>
      <c r="D6" s="2">
        <v>1</v>
      </c>
      <c r="E6" s="2">
        <v>5000</v>
      </c>
      <c r="F6" s="8">
        <v>0.1007</v>
      </c>
      <c r="G6" s="2">
        <v>49.997100000000003</v>
      </c>
      <c r="H6" s="42">
        <v>455</v>
      </c>
      <c r="I6" s="2">
        <f t="shared" si="0"/>
        <v>0.45500000000000002</v>
      </c>
      <c r="J6" s="38">
        <f>I6*STD!$F$5/G6</f>
        <v>5014.3908346684102</v>
      </c>
      <c r="K6" s="43">
        <v>4200000</v>
      </c>
      <c r="L6" s="2">
        <f t="shared" si="1"/>
        <v>4200</v>
      </c>
      <c r="M6" s="44">
        <f t="shared" si="6"/>
        <v>404341410.12909627</v>
      </c>
      <c r="N6" s="44">
        <f t="shared" si="2"/>
        <v>96271.764316451488</v>
      </c>
      <c r="O6" s="43">
        <f t="shared" si="3"/>
        <v>4.9834989309496631</v>
      </c>
      <c r="P6" s="11">
        <f>LOG(L6)</f>
        <v>3.6232492903979003</v>
      </c>
      <c r="Q6" s="38">
        <f>LOG(M6)</f>
        <v>8.6067482213475639</v>
      </c>
    </row>
    <row r="7" spans="1:19">
      <c r="A7" t="s">
        <v>11</v>
      </c>
      <c r="B7" t="s">
        <v>107</v>
      </c>
      <c r="C7">
        <v>1</v>
      </c>
      <c r="D7">
        <v>1</v>
      </c>
      <c r="E7">
        <v>1</v>
      </c>
      <c r="F7" s="7">
        <v>0.1009</v>
      </c>
      <c r="G7">
        <v>49.997300000000003</v>
      </c>
      <c r="H7">
        <f>50+40.5</f>
        <v>90.5</v>
      </c>
      <c r="I7">
        <f t="shared" si="0"/>
        <v>9.0499999999999997E-2</v>
      </c>
      <c r="J7" s="39">
        <f>I7*STD!$H$5/G7</f>
        <v>0.99736385764831292</v>
      </c>
      <c r="K7" s="37">
        <v>570</v>
      </c>
      <c r="L7" s="13">
        <f t="shared" si="1"/>
        <v>0.56999999999999995</v>
      </c>
      <c r="M7" s="40">
        <f t="shared" si="6"/>
        <v>211764.50941526261</v>
      </c>
      <c r="N7" s="40">
        <f t="shared" si="2"/>
        <v>371516.68318467127</v>
      </c>
      <c r="O7" s="41">
        <f t="shared" si="3"/>
        <v>5.5699783207947391</v>
      </c>
      <c r="P7" s="11">
        <f t="shared" si="4"/>
        <v>-0.24412514432750865</v>
      </c>
      <c r="Q7" s="34">
        <f t="shared" si="5"/>
        <v>5.3258531764672306</v>
      </c>
      <c r="R7" s="34" t="e">
        <f>INTERCEPT(Q7:Q11,P7:P11)</f>
        <v>#NUM!</v>
      </c>
      <c r="S7" s="34" t="e">
        <f>SLOPE(Q7:Q11,P7:P11)</f>
        <v>#NUM!</v>
      </c>
    </row>
    <row r="8" spans="1:19">
      <c r="A8" t="s">
        <v>11</v>
      </c>
      <c r="B8" t="s">
        <v>107</v>
      </c>
      <c r="C8">
        <v>2</v>
      </c>
      <c r="D8">
        <v>1</v>
      </c>
      <c r="E8">
        <v>10</v>
      </c>
      <c r="F8" s="7">
        <v>0.1009</v>
      </c>
      <c r="G8">
        <v>50.010199999999998</v>
      </c>
      <c r="H8">
        <f>900+7.4</f>
        <v>907.4</v>
      </c>
      <c r="I8">
        <f t="shared" si="0"/>
        <v>0.90739999999999998</v>
      </c>
      <c r="J8" s="34">
        <f>I8*STD!$H$5/G8</f>
        <v>9.997508508264314</v>
      </c>
      <c r="K8" s="37">
        <v>8300</v>
      </c>
      <c r="L8" s="13">
        <f t="shared" si="1"/>
        <v>8.3000000000000007</v>
      </c>
      <c r="M8" s="40">
        <f t="shared" si="6"/>
        <v>841355.20317145635</v>
      </c>
      <c r="N8" s="40">
        <f t="shared" si="2"/>
        <v>101368.09676764533</v>
      </c>
      <c r="O8" s="41">
        <f t="shared" si="3"/>
        <v>5.0059012924936814</v>
      </c>
      <c r="P8" s="11">
        <f t="shared" si="4"/>
        <v>0.91907809237607396</v>
      </c>
      <c r="Q8" s="34">
        <f t="shared" si="5"/>
        <v>5.9249793848697552</v>
      </c>
    </row>
    <row r="9" spans="1:19">
      <c r="A9" t="s">
        <v>11</v>
      </c>
      <c r="B9" t="s">
        <v>107</v>
      </c>
      <c r="C9">
        <v>3</v>
      </c>
      <c r="D9">
        <v>1</v>
      </c>
      <c r="E9">
        <v>100</v>
      </c>
      <c r="F9" s="7">
        <v>0.1002</v>
      </c>
      <c r="G9">
        <v>50.006999999999998</v>
      </c>
      <c r="H9">
        <v>9.1</v>
      </c>
      <c r="I9">
        <f t="shared" si="0"/>
        <v>9.1000000000000004E-3</v>
      </c>
      <c r="J9" s="34">
        <f>I9*STD!$F$5/G9</f>
        <v>100.26796248525207</v>
      </c>
      <c r="K9" s="37">
        <v>87000</v>
      </c>
      <c r="L9" s="13">
        <f t="shared" si="1"/>
        <v>87</v>
      </c>
      <c r="M9" s="40">
        <f t="shared" si="6"/>
        <v>6621666.6666666763</v>
      </c>
      <c r="N9" s="40">
        <f t="shared" si="2"/>
        <v>76111.111111111226</v>
      </c>
      <c r="O9" s="41">
        <f t="shared" si="3"/>
        <v>4.8814480620531011</v>
      </c>
      <c r="P9" s="11">
        <f t="shared" si="4"/>
        <v>1.9395192526186185</v>
      </c>
      <c r="Q9" s="34">
        <f t="shared" si="5"/>
        <v>6.8209673146717202</v>
      </c>
    </row>
    <row r="10" spans="1:19">
      <c r="A10" t="s">
        <v>11</v>
      </c>
      <c r="B10" t="s">
        <v>107</v>
      </c>
      <c r="C10">
        <v>4</v>
      </c>
      <c r="D10">
        <v>1</v>
      </c>
      <c r="E10">
        <v>1000</v>
      </c>
      <c r="F10" s="7">
        <v>9.9299999999999999E-2</v>
      </c>
      <c r="G10">
        <v>49.992800000000003</v>
      </c>
      <c r="H10">
        <f>50+40.5</f>
        <v>90.5</v>
      </c>
      <c r="I10">
        <f t="shared" si="0"/>
        <v>9.0499999999999997E-2</v>
      </c>
      <c r="J10" s="34">
        <f>I10*STD!$F$5/G10</f>
        <v>997.45363332319846</v>
      </c>
      <c r="K10" s="37">
        <v>950000</v>
      </c>
      <c r="L10" s="13">
        <f t="shared" si="1"/>
        <v>950</v>
      </c>
      <c r="M10" s="40">
        <f t="shared" si="6"/>
        <v>23890634.441087577</v>
      </c>
      <c r="N10" s="40">
        <f t="shared" si="2"/>
        <v>25148.036253776398</v>
      </c>
      <c r="O10" s="41">
        <f t="shared" si="3"/>
        <v>4.4005040777638698</v>
      </c>
      <c r="P10" s="11">
        <f t="shared" si="4"/>
        <v>2.9777236052888476</v>
      </c>
      <c r="Q10" s="34">
        <f t="shared" si="5"/>
        <v>7.3782276830527174</v>
      </c>
    </row>
    <row r="11" spans="1:19" s="2" customFormat="1">
      <c r="A11" s="2" t="s">
        <v>11</v>
      </c>
      <c r="B11" s="2" t="s">
        <v>107</v>
      </c>
      <c r="C11" s="2">
        <v>5</v>
      </c>
      <c r="D11" s="2">
        <v>1</v>
      </c>
      <c r="E11" s="2">
        <v>5000</v>
      </c>
      <c r="F11" s="8">
        <v>9.9400000000000002E-2</v>
      </c>
      <c r="G11" s="2">
        <v>50.006900000000002</v>
      </c>
      <c r="H11" s="42">
        <v>455</v>
      </c>
      <c r="I11" s="2">
        <f t="shared" si="0"/>
        <v>0.45500000000000002</v>
      </c>
      <c r="J11" s="38">
        <f>I11*STD!$F$5/G11</f>
        <v>5013.4081496753442</v>
      </c>
      <c r="K11" s="43">
        <v>6500000</v>
      </c>
      <c r="L11" s="2">
        <f t="shared" si="1"/>
        <v>6500</v>
      </c>
      <c r="M11" s="44">
        <f t="shared" si="6"/>
        <v>-747885814.88933659</v>
      </c>
      <c r="N11" s="44">
        <f t="shared" si="2"/>
        <v>-115059.35613682101</v>
      </c>
      <c r="O11" s="43" t="e">
        <f t="shared" si="3"/>
        <v>#NUM!</v>
      </c>
      <c r="P11" s="11">
        <f t="shared" si="4"/>
        <v>3.8129133566428557</v>
      </c>
      <c r="Q11" s="38" t="e">
        <f t="shared" si="5"/>
        <v>#NUM!</v>
      </c>
    </row>
    <row r="12" spans="1:19">
      <c r="A12" t="s">
        <v>12</v>
      </c>
      <c r="B12" t="s">
        <v>107</v>
      </c>
      <c r="C12">
        <v>1</v>
      </c>
      <c r="D12">
        <v>1</v>
      </c>
      <c r="E12">
        <v>1</v>
      </c>
      <c r="F12" s="7">
        <v>0.10730000000000001</v>
      </c>
      <c r="G12">
        <v>49.9651</v>
      </c>
      <c r="H12">
        <f>50+40.5</f>
        <v>90.5</v>
      </c>
      <c r="I12">
        <f t="shared" si="0"/>
        <v>9.0499999999999997E-2</v>
      </c>
      <c r="J12" s="39">
        <f>I12*STD!$H$5/G12</f>
        <v>0.99800660861281165</v>
      </c>
      <c r="K12" s="37">
        <v>6.8</v>
      </c>
      <c r="L12" s="13">
        <f t="shared" si="1"/>
        <v>6.7999999999999996E-3</v>
      </c>
      <c r="M12" s="40">
        <f t="shared" si="6"/>
        <v>461563.25554520031</v>
      </c>
      <c r="N12" s="40">
        <f t="shared" si="2"/>
        <v>67876949.344882399</v>
      </c>
      <c r="O12" s="41">
        <f t="shared" si="3"/>
        <v>7.8317223151946065</v>
      </c>
      <c r="P12" s="11">
        <f t="shared" si="4"/>
        <v>-2.1674910872937638</v>
      </c>
      <c r="Q12" s="34">
        <f t="shared" si="5"/>
        <v>5.6642312279008431</v>
      </c>
      <c r="R12" s="34">
        <f>INTERCEPT(Q12:Q16,P12:P16)</f>
        <v>7.5434107805004533</v>
      </c>
      <c r="S12" s="34">
        <f>SLOPE(Q12:Q16,P12:P16)</f>
        <v>0.59875012127297234</v>
      </c>
    </row>
    <row r="13" spans="1:19">
      <c r="A13" t="s">
        <v>12</v>
      </c>
      <c r="B13" t="s">
        <v>107</v>
      </c>
      <c r="C13">
        <v>2</v>
      </c>
      <c r="D13">
        <v>1</v>
      </c>
      <c r="E13">
        <v>10</v>
      </c>
      <c r="F13" s="7">
        <v>9.8199999999999996E-2</v>
      </c>
      <c r="G13">
        <v>50.011899999999997</v>
      </c>
      <c r="H13">
        <f>900+7.4</f>
        <v>907.4</v>
      </c>
      <c r="I13">
        <f t="shared" si="0"/>
        <v>0.90739999999999998</v>
      </c>
      <c r="J13" s="34">
        <f>I13*STD!$H$5/G13</f>
        <v>9.9971686738556222</v>
      </c>
      <c r="K13" s="37">
        <v>19</v>
      </c>
      <c r="L13" s="13">
        <f t="shared" si="1"/>
        <v>1.9E-2</v>
      </c>
      <c r="M13" s="40">
        <f t="shared" si="6"/>
        <v>5081743.1150712827</v>
      </c>
      <c r="N13" s="40">
        <f t="shared" si="2"/>
        <v>267460163.95112014</v>
      </c>
      <c r="O13" s="41">
        <f t="shared" si="3"/>
        <v>8.4272591064898208</v>
      </c>
      <c r="P13" s="11">
        <f t="shared" si="4"/>
        <v>-1.7212463990471711</v>
      </c>
      <c r="Q13" s="34">
        <f t="shared" si="5"/>
        <v>6.7060127074426497</v>
      </c>
    </row>
    <row r="14" spans="1:19">
      <c r="A14" t="s">
        <v>12</v>
      </c>
      <c r="B14" t="s">
        <v>107</v>
      </c>
      <c r="C14">
        <v>3</v>
      </c>
      <c r="D14">
        <v>1</v>
      </c>
      <c r="E14">
        <v>100</v>
      </c>
      <c r="F14" s="7">
        <v>0.1087</v>
      </c>
      <c r="G14">
        <v>50.030200000000001</v>
      </c>
      <c r="H14">
        <v>9.1</v>
      </c>
      <c r="I14">
        <f t="shared" si="0"/>
        <v>9.1000000000000004E-3</v>
      </c>
      <c r="J14" s="34">
        <f>I14*STD!$F$5/G14</f>
        <v>100.22146623439443</v>
      </c>
      <c r="K14" s="37">
        <v>290</v>
      </c>
      <c r="L14" s="13">
        <f t="shared" si="1"/>
        <v>0.28999999999999998</v>
      </c>
      <c r="M14" s="40">
        <f t="shared" si="6"/>
        <v>45994399.65041399</v>
      </c>
      <c r="N14" s="40">
        <f t="shared" si="2"/>
        <v>158601378.10487583</v>
      </c>
      <c r="O14" s="41">
        <f t="shared" si="3"/>
        <v>8.2003069566306568</v>
      </c>
      <c r="P14" s="11">
        <f t="shared" si="4"/>
        <v>-0.53760200210104392</v>
      </c>
      <c r="Q14" s="34">
        <f t="shared" si="5"/>
        <v>7.6627049545296133</v>
      </c>
    </row>
    <row r="15" spans="1:19">
      <c r="A15" t="s">
        <v>12</v>
      </c>
      <c r="B15" t="s">
        <v>107</v>
      </c>
      <c r="C15">
        <v>4</v>
      </c>
      <c r="D15">
        <v>1</v>
      </c>
      <c r="E15">
        <v>1000</v>
      </c>
      <c r="F15" s="7">
        <v>9.4200000000000006E-2</v>
      </c>
      <c r="G15">
        <v>49.988900000000001</v>
      </c>
      <c r="H15">
        <f>50+40.5</f>
        <v>90.5</v>
      </c>
      <c r="I15">
        <f t="shared" si="0"/>
        <v>9.0499999999999997E-2</v>
      </c>
      <c r="J15" s="34">
        <f>I15*STD!$F$5/G15</f>
        <v>997.53145198234006</v>
      </c>
      <c r="K15" s="37">
        <v>30000</v>
      </c>
      <c r="L15" s="13">
        <f t="shared" si="1"/>
        <v>30</v>
      </c>
      <c r="M15" s="40">
        <f t="shared" si="6"/>
        <v>513437717.62208068</v>
      </c>
      <c r="N15" s="40">
        <f t="shared" si="2"/>
        <v>17114590.58740269</v>
      </c>
      <c r="O15" s="41">
        <f t="shared" si="3"/>
        <v>7.2333665144725208</v>
      </c>
      <c r="P15" s="11">
        <f t="shared" si="4"/>
        <v>1.4771212547196624</v>
      </c>
      <c r="Q15" s="34">
        <f t="shared" si="5"/>
        <v>8.7104877691921825</v>
      </c>
    </row>
    <row r="16" spans="1:19" s="2" customFormat="1">
      <c r="A16" s="2" t="s">
        <v>12</v>
      </c>
      <c r="B16" s="2" t="s">
        <v>107</v>
      </c>
      <c r="C16" s="2">
        <v>5</v>
      </c>
      <c r="D16" s="2">
        <v>1</v>
      </c>
      <c r="E16" s="2">
        <v>5000</v>
      </c>
      <c r="F16" s="8">
        <v>9.8599999999999993E-2</v>
      </c>
      <c r="G16" s="2">
        <v>49.997599999999998</v>
      </c>
      <c r="H16" s="42">
        <v>455</v>
      </c>
      <c r="I16" s="2">
        <f t="shared" si="0"/>
        <v>0.45500000000000002</v>
      </c>
      <c r="J16" s="38">
        <f>I16*STD!$F$5/G16</f>
        <v>5014.3406883530415</v>
      </c>
      <c r="K16" s="43">
        <v>2000000</v>
      </c>
      <c r="L16" s="2">
        <f t="shared" si="1"/>
        <v>2000</v>
      </c>
      <c r="M16" s="44">
        <f t="shared" si="6"/>
        <v>1528496957.4036517</v>
      </c>
      <c r="N16" s="44">
        <f t="shared" si="2"/>
        <v>764248.47870182584</v>
      </c>
      <c r="O16" s="43">
        <f t="shared" si="3"/>
        <v>5.8832345829008288</v>
      </c>
      <c r="P16" s="11">
        <f t="shared" si="4"/>
        <v>3.3010299956639813</v>
      </c>
      <c r="Q16" s="38">
        <f t="shared" si="5"/>
        <v>9.1842645785648092</v>
      </c>
    </row>
    <row r="17" spans="1:19">
      <c r="A17" t="s">
        <v>13</v>
      </c>
      <c r="B17" t="s">
        <v>107</v>
      </c>
      <c r="C17">
        <v>1</v>
      </c>
      <c r="D17">
        <v>1</v>
      </c>
      <c r="E17">
        <v>1</v>
      </c>
      <c r="F17" s="7">
        <v>9.4899999999999998E-2</v>
      </c>
      <c r="G17">
        <v>50.018500000000003</v>
      </c>
      <c r="H17">
        <f>50+40.5</f>
        <v>90.5</v>
      </c>
      <c r="I17">
        <f t="shared" si="0"/>
        <v>9.0499999999999997E-2</v>
      </c>
      <c r="J17" s="39">
        <f>I17*STD!$H$5/G17</f>
        <v>0.99694113178124077</v>
      </c>
      <c r="K17" s="37">
        <v>150</v>
      </c>
      <c r="L17" s="13">
        <f t="shared" si="1"/>
        <v>0.15</v>
      </c>
      <c r="M17" s="40">
        <f t="shared" si="6"/>
        <v>446393.30874604842</v>
      </c>
      <c r="N17" s="40">
        <f t="shared" si="2"/>
        <v>2975955.3916403227</v>
      </c>
      <c r="O17" s="41">
        <f t="shared" si="3"/>
        <v>6.4736264170251676</v>
      </c>
      <c r="P17" s="11">
        <f t="shared" si="4"/>
        <v>-0.82390874094431876</v>
      </c>
      <c r="Q17" s="34">
        <f t="shared" si="5"/>
        <v>5.649717676080849</v>
      </c>
      <c r="R17" s="34">
        <f>INTERCEPT(Q17:Q21,P17:P21)</f>
        <v>6.3314583599793837</v>
      </c>
      <c r="S17" s="34">
        <f>SLOPE(Q17:Q21,P17:P21)</f>
        <v>0.66861151654105144</v>
      </c>
    </row>
    <row r="18" spans="1:19">
      <c r="A18" t="s">
        <v>13</v>
      </c>
      <c r="B18" t="s">
        <v>107</v>
      </c>
      <c r="C18">
        <v>2</v>
      </c>
      <c r="D18">
        <v>1</v>
      </c>
      <c r="E18">
        <v>10</v>
      </c>
      <c r="F18" s="7">
        <v>0.10920000000000001</v>
      </c>
      <c r="G18">
        <v>49.990900000000003</v>
      </c>
      <c r="H18">
        <f>900+7.4</f>
        <v>907.4</v>
      </c>
      <c r="I18">
        <f t="shared" si="0"/>
        <v>0.90739999999999998</v>
      </c>
      <c r="J18" s="34">
        <f>I18*STD!$H$5/G18</f>
        <v>10.00136824902132</v>
      </c>
      <c r="K18" s="37">
        <v>2200</v>
      </c>
      <c r="L18" s="13">
        <f t="shared" si="1"/>
        <v>2.2000000000000002</v>
      </c>
      <c r="M18" s="40">
        <f t="shared" si="6"/>
        <v>3571404.9450549441</v>
      </c>
      <c r="N18" s="40">
        <f t="shared" si="2"/>
        <v>1623365.8841158836</v>
      </c>
      <c r="O18" s="41">
        <f t="shared" si="3"/>
        <v>6.2104164148010375</v>
      </c>
      <c r="P18" s="11">
        <f t="shared" si="4"/>
        <v>0.34242268082220628</v>
      </c>
      <c r="Q18" s="34">
        <f t="shared" si="5"/>
        <v>6.5528390956232432</v>
      </c>
    </row>
    <row r="19" spans="1:19">
      <c r="A19" t="s">
        <v>13</v>
      </c>
      <c r="B19" t="s">
        <v>107</v>
      </c>
      <c r="C19">
        <v>3</v>
      </c>
      <c r="D19">
        <v>1</v>
      </c>
      <c r="E19">
        <v>100</v>
      </c>
      <c r="F19" s="7">
        <v>9.5500000000000002E-2</v>
      </c>
      <c r="G19">
        <v>50.003999999999998</v>
      </c>
      <c r="H19">
        <v>9.1</v>
      </c>
      <c r="I19">
        <f t="shared" si="0"/>
        <v>9.1000000000000004E-3</v>
      </c>
      <c r="J19" s="34">
        <f>I19*STD!$F$5/G19</f>
        <v>100.27397808175347</v>
      </c>
      <c r="K19" s="37">
        <v>32000</v>
      </c>
      <c r="L19" s="13">
        <f t="shared" si="1"/>
        <v>32</v>
      </c>
      <c r="M19" s="40">
        <f t="shared" si="6"/>
        <v>35748397.905759171</v>
      </c>
      <c r="N19" s="40">
        <f t="shared" si="2"/>
        <v>1117137.4345549741</v>
      </c>
      <c r="O19" s="41">
        <f t="shared" si="3"/>
        <v>6.0481066049842136</v>
      </c>
      <c r="P19" s="11">
        <f t="shared" si="4"/>
        <v>1.505149978319906</v>
      </c>
      <c r="Q19" s="34">
        <f t="shared" si="5"/>
        <v>7.553256583304119</v>
      </c>
    </row>
    <row r="20" spans="1:19">
      <c r="A20" t="s">
        <v>13</v>
      </c>
      <c r="B20" t="s">
        <v>107</v>
      </c>
      <c r="C20">
        <v>4</v>
      </c>
      <c r="D20">
        <v>1</v>
      </c>
      <c r="E20">
        <v>1000</v>
      </c>
      <c r="F20" s="7">
        <v>9.6600000000000005E-2</v>
      </c>
      <c r="G20">
        <v>50.007399999999997</v>
      </c>
      <c r="H20">
        <f>50+40.5</f>
        <v>90.5</v>
      </c>
      <c r="I20">
        <f t="shared" si="0"/>
        <v>9.0499999999999997E-2</v>
      </c>
      <c r="J20" s="34">
        <f>I20*STD!$F$5/G20</f>
        <v>997.16241996184567</v>
      </c>
      <c r="K20" s="37">
        <v>570000</v>
      </c>
      <c r="L20" s="13">
        <f t="shared" si="1"/>
        <v>570</v>
      </c>
      <c r="M20" s="40">
        <f t="shared" si="6"/>
        <v>221131283.64389235</v>
      </c>
      <c r="N20" s="40">
        <f t="shared" si="2"/>
        <v>387949.62042788131</v>
      </c>
      <c r="O20" s="41">
        <f t="shared" si="3"/>
        <v>5.588775331288117</v>
      </c>
      <c r="P20" s="11">
        <f t="shared" si="4"/>
        <v>2.7558748556724915</v>
      </c>
      <c r="Q20" s="34">
        <f t="shared" si="5"/>
        <v>8.3446501869606085</v>
      </c>
    </row>
    <row r="21" spans="1:19" s="2" customFormat="1">
      <c r="A21" s="2" t="s">
        <v>13</v>
      </c>
      <c r="B21" s="2" t="s">
        <v>107</v>
      </c>
      <c r="C21" s="2">
        <v>5</v>
      </c>
      <c r="D21" s="2">
        <v>1</v>
      </c>
      <c r="E21" s="2">
        <v>5000</v>
      </c>
      <c r="F21" s="8">
        <v>0.10929999999999999</v>
      </c>
      <c r="G21" s="2">
        <v>50.016399999999997</v>
      </c>
      <c r="H21" s="42">
        <v>455</v>
      </c>
      <c r="I21" s="2">
        <f t="shared" si="0"/>
        <v>0.45500000000000002</v>
      </c>
      <c r="J21" s="38">
        <f>I21*STD!$F$5/G21</f>
        <v>5012.4559144600571</v>
      </c>
      <c r="K21" s="43">
        <v>4300000</v>
      </c>
      <c r="L21" s="2">
        <f t="shared" si="1"/>
        <v>4300</v>
      </c>
      <c r="M21" s="44">
        <f t="shared" si="6"/>
        <v>326024519.67063141</v>
      </c>
      <c r="N21" s="44">
        <f t="shared" si="2"/>
        <v>75819.655737356137</v>
      </c>
      <c r="O21" s="43">
        <f t="shared" si="3"/>
        <v>4.8797818081607671</v>
      </c>
      <c r="P21" s="11">
        <f t="shared" si="4"/>
        <v>3.6334684555795866</v>
      </c>
      <c r="Q21" s="38">
        <f t="shared" si="5"/>
        <v>8.5132502637403533</v>
      </c>
    </row>
    <row r="22" spans="1:19">
      <c r="A22" t="s">
        <v>15</v>
      </c>
      <c r="B22" t="s">
        <v>107</v>
      </c>
      <c r="C22">
        <v>1</v>
      </c>
      <c r="D22">
        <v>1</v>
      </c>
      <c r="E22">
        <v>1</v>
      </c>
      <c r="F22" s="7">
        <v>0.1069</v>
      </c>
      <c r="G22">
        <v>49.989699999999999</v>
      </c>
      <c r="H22">
        <f>50+40.5</f>
        <v>90.5</v>
      </c>
      <c r="I22">
        <f t="shared" si="0"/>
        <v>9.0499999999999997E-2</v>
      </c>
      <c r="J22" s="39">
        <f>I22*STD!$H$5/G22</f>
        <v>0.99751548819056723</v>
      </c>
      <c r="K22" s="37">
        <v>550</v>
      </c>
      <c r="L22" s="13">
        <f t="shared" si="1"/>
        <v>0.55000000000000004</v>
      </c>
      <c r="M22" s="40">
        <f t="shared" si="6"/>
        <v>209271.88961646394</v>
      </c>
      <c r="N22" s="40">
        <f t="shared" si="2"/>
        <v>380494.34475720715</v>
      </c>
      <c r="O22" s="41">
        <f t="shared" si="3"/>
        <v>5.5803482062866427</v>
      </c>
      <c r="P22" s="11">
        <f t="shared" si="4"/>
        <v>-0.25963731050575611</v>
      </c>
      <c r="Q22" s="34">
        <f t="shared" si="5"/>
        <v>5.3207108957808869</v>
      </c>
      <c r="R22" s="34" t="e">
        <f>INTERCEPT(Q22:Q26,P22:P26)</f>
        <v>#NUM!</v>
      </c>
      <c r="S22" s="34" t="e">
        <f>SLOPE(Q22:Q26,P22:P26)</f>
        <v>#NUM!</v>
      </c>
    </row>
    <row r="23" spans="1:19">
      <c r="A23" t="s">
        <v>15</v>
      </c>
      <c r="B23" t="s">
        <v>107</v>
      </c>
      <c r="C23">
        <v>2</v>
      </c>
      <c r="D23">
        <v>1</v>
      </c>
      <c r="E23">
        <v>10</v>
      </c>
      <c r="F23" s="7">
        <v>9.4100000000000003E-2</v>
      </c>
      <c r="G23">
        <v>50.017899999999997</v>
      </c>
      <c r="H23">
        <f>900+7.4</f>
        <v>907.4</v>
      </c>
      <c r="I23">
        <f t="shared" si="0"/>
        <v>0.90739999999999998</v>
      </c>
      <c r="J23" s="34">
        <f>I23*STD!$H$5/G23</f>
        <v>9.9959694429394279</v>
      </c>
      <c r="K23" s="37">
        <v>7400</v>
      </c>
      <c r="L23" s="13">
        <f t="shared" si="1"/>
        <v>7.4</v>
      </c>
      <c r="M23" s="40">
        <f t="shared" si="6"/>
        <v>1379861.2114771521</v>
      </c>
      <c r="N23" s="40">
        <f t="shared" si="2"/>
        <v>186467.73128069623</v>
      </c>
      <c r="O23" s="41">
        <f t="shared" si="3"/>
        <v>5.270603686872577</v>
      </c>
      <c r="P23" s="11">
        <f t="shared" si="4"/>
        <v>0.86923171973097624</v>
      </c>
      <c r="Q23" s="34">
        <f t="shared" si="5"/>
        <v>6.1398354066035532</v>
      </c>
    </row>
    <row r="24" spans="1:19">
      <c r="A24" t="s">
        <v>15</v>
      </c>
      <c r="B24" t="s">
        <v>107</v>
      </c>
      <c r="C24">
        <v>3</v>
      </c>
      <c r="D24">
        <v>1</v>
      </c>
      <c r="E24">
        <v>100</v>
      </c>
      <c r="F24" s="7">
        <v>0.1002</v>
      </c>
      <c r="G24">
        <v>50.002600000000001</v>
      </c>
      <c r="H24">
        <v>9.1</v>
      </c>
      <c r="I24">
        <f t="shared" si="0"/>
        <v>9.1000000000000004E-3</v>
      </c>
      <c r="J24" s="34">
        <f>I24*STD!$F$5/G24</f>
        <v>100.27678560714844</v>
      </c>
      <c r="K24" s="37">
        <v>64000</v>
      </c>
      <c r="L24" s="13">
        <f t="shared" si="1"/>
        <v>64</v>
      </c>
      <c r="M24" s="40">
        <f t="shared" si="6"/>
        <v>18103129.740518965</v>
      </c>
      <c r="N24" s="40">
        <f t="shared" si="2"/>
        <v>282861.40219560883</v>
      </c>
      <c r="O24" s="41">
        <f t="shared" si="3"/>
        <v>5.4515736899204335</v>
      </c>
      <c r="P24" s="11">
        <f t="shared" si="4"/>
        <v>1.8061799739838871</v>
      </c>
      <c r="Q24" s="34">
        <f t="shared" si="5"/>
        <v>7.257753663904321</v>
      </c>
    </row>
    <row r="25" spans="1:19">
      <c r="A25" t="s">
        <v>15</v>
      </c>
      <c r="B25" t="s">
        <v>107</v>
      </c>
      <c r="C25">
        <v>4</v>
      </c>
      <c r="D25">
        <v>1</v>
      </c>
      <c r="E25">
        <v>1000</v>
      </c>
      <c r="F25" s="6">
        <v>0.1</v>
      </c>
      <c r="G25">
        <v>49.994</v>
      </c>
      <c r="H25">
        <f>50+40.5</f>
        <v>90.5</v>
      </c>
      <c r="I25">
        <f t="shared" si="0"/>
        <v>9.0499999999999997E-2</v>
      </c>
      <c r="J25" s="34">
        <f>I25*STD!$F$5/G25</f>
        <v>997.42969156298761</v>
      </c>
      <c r="K25" s="37">
        <v>800000</v>
      </c>
      <c r="L25" s="13">
        <f t="shared" si="1"/>
        <v>800</v>
      </c>
      <c r="M25" s="40">
        <f t="shared" si="6"/>
        <v>98703000.00000003</v>
      </c>
      <c r="N25" s="40">
        <f t="shared" si="2"/>
        <v>123378.75000000004</v>
      </c>
      <c r="O25" s="41">
        <f t="shared" si="3"/>
        <v>5.0912403659172618</v>
      </c>
      <c r="P25" s="11">
        <f t="shared" si="4"/>
        <v>2.9030899869919438</v>
      </c>
      <c r="Q25" s="34">
        <f t="shared" si="5"/>
        <v>7.9943303529092056</v>
      </c>
    </row>
    <row r="26" spans="1:19" s="2" customFormat="1">
      <c r="A26" s="2" t="s">
        <v>15</v>
      </c>
      <c r="B26" s="2" t="s">
        <v>107</v>
      </c>
      <c r="C26" s="2">
        <v>5</v>
      </c>
      <c r="D26" s="2">
        <v>1</v>
      </c>
      <c r="E26" s="2">
        <v>5000</v>
      </c>
      <c r="F26" s="8">
        <v>9.7699999999999995E-2</v>
      </c>
      <c r="G26" s="2">
        <v>49.990400000000001</v>
      </c>
      <c r="H26" s="42">
        <v>455</v>
      </c>
      <c r="I26" s="2">
        <f t="shared" si="0"/>
        <v>0.45500000000000002</v>
      </c>
      <c r="J26" s="38">
        <f>I26*STD!$F$5/G26</f>
        <v>5015.0628920752788</v>
      </c>
      <c r="K26" s="43">
        <v>6500000</v>
      </c>
      <c r="L26" s="2">
        <f t="shared" si="1"/>
        <v>6500</v>
      </c>
      <c r="M26" s="44">
        <f t="shared" si="6"/>
        <v>-759801432.95803499</v>
      </c>
      <c r="N26" s="44">
        <f t="shared" si="2"/>
        <v>-116892.52814739</v>
      </c>
      <c r="O26" s="43" t="e">
        <f t="shared" si="3"/>
        <v>#NUM!</v>
      </c>
      <c r="P26" s="11">
        <f t="shared" si="4"/>
        <v>3.8129133566428557</v>
      </c>
      <c r="Q26" s="38" t="e">
        <f t="shared" si="5"/>
        <v>#NUM!</v>
      </c>
    </row>
    <row r="27" spans="1:19">
      <c r="A27" t="s">
        <v>16</v>
      </c>
      <c r="B27" t="s">
        <v>107</v>
      </c>
      <c r="C27">
        <v>1</v>
      </c>
      <c r="D27">
        <v>1</v>
      </c>
      <c r="E27">
        <v>1</v>
      </c>
      <c r="F27" s="7">
        <v>0.1</v>
      </c>
      <c r="G27">
        <v>50.000500000000002</v>
      </c>
      <c r="H27">
        <f>50+40.5</f>
        <v>90.5</v>
      </c>
      <c r="I27">
        <f t="shared" si="0"/>
        <v>9.0499999999999997E-2</v>
      </c>
      <c r="J27" s="39">
        <f>I27*STD!$H$5/G27</f>
        <v>0.99730002699972986</v>
      </c>
      <c r="K27" s="37">
        <v>16</v>
      </c>
      <c r="L27" s="13">
        <f t="shared" si="1"/>
        <v>1.6E-2</v>
      </c>
      <c r="M27" s="40">
        <f t="shared" si="6"/>
        <v>490654.92</v>
      </c>
      <c r="N27" s="40">
        <f t="shared" si="2"/>
        <v>30665932.5</v>
      </c>
      <c r="O27" s="41">
        <f t="shared" si="3"/>
        <v>7.4866561753971279</v>
      </c>
      <c r="P27" s="11">
        <f t="shared" si="4"/>
        <v>-1.7958800173440752</v>
      </c>
      <c r="Q27" s="34">
        <f t="shared" si="5"/>
        <v>5.6907761580530529</v>
      </c>
      <c r="R27" s="34">
        <f>INTERCEPT(Q27:Q31,P27:P31)</f>
        <v>7.0720904454774072</v>
      </c>
      <c r="S27" s="34">
        <f>SLOPE(Q27:Q31,P27:P31)</f>
        <v>0.590937970988623</v>
      </c>
    </row>
    <row r="28" spans="1:19">
      <c r="A28" t="s">
        <v>16</v>
      </c>
      <c r="B28" t="s">
        <v>107</v>
      </c>
      <c r="C28">
        <v>2</v>
      </c>
      <c r="D28">
        <v>1</v>
      </c>
      <c r="E28">
        <v>10</v>
      </c>
      <c r="F28" s="7">
        <v>0.1017</v>
      </c>
      <c r="G28">
        <v>50.011099999999999</v>
      </c>
      <c r="H28">
        <f>900+7.4</f>
        <v>907.4</v>
      </c>
      <c r="I28">
        <f t="shared" si="0"/>
        <v>0.90739999999999998</v>
      </c>
      <c r="J28" s="34">
        <f>I28*STD!$H$5/G28</f>
        <v>9.9973285930523428</v>
      </c>
      <c r="K28" s="37">
        <v>180</v>
      </c>
      <c r="L28" s="13">
        <f t="shared" si="1"/>
        <v>0.18</v>
      </c>
      <c r="M28" s="40">
        <f t="shared" si="6"/>
        <v>4827683.4021632243</v>
      </c>
      <c r="N28" s="40">
        <f t="shared" si="2"/>
        <v>26820463.345351245</v>
      </c>
      <c r="O28" s="41">
        <f t="shared" si="3"/>
        <v>7.4284662763713243</v>
      </c>
      <c r="P28" s="11">
        <f t="shared" si="4"/>
        <v>-0.74472749489669399</v>
      </c>
      <c r="Q28" s="34">
        <f t="shared" si="5"/>
        <v>6.6837387814746307</v>
      </c>
    </row>
    <row r="29" spans="1:19">
      <c r="A29" t="s">
        <v>16</v>
      </c>
      <c r="B29" t="s">
        <v>107</v>
      </c>
      <c r="C29">
        <v>3</v>
      </c>
      <c r="D29">
        <v>1</v>
      </c>
      <c r="E29">
        <v>100</v>
      </c>
      <c r="F29" s="7">
        <v>9.9699999999999997E-2</v>
      </c>
      <c r="G29">
        <v>51.193600000000004</v>
      </c>
      <c r="H29">
        <v>9.1</v>
      </c>
      <c r="I29">
        <f t="shared" si="0"/>
        <v>9.1000000000000004E-3</v>
      </c>
      <c r="J29" s="34">
        <f>I29*STD!$F$5/G29</f>
        <v>97.943883610451309</v>
      </c>
      <c r="K29" s="37">
        <v>2400</v>
      </c>
      <c r="L29" s="13">
        <f t="shared" si="1"/>
        <v>2.4</v>
      </c>
      <c r="M29" s="40">
        <f t="shared" si="6"/>
        <v>49059532.196589775</v>
      </c>
      <c r="N29" s="40">
        <f t="shared" si="2"/>
        <v>20441471.748579074</v>
      </c>
      <c r="O29" s="41">
        <f t="shared" si="3"/>
        <v>7.3105121609967494</v>
      </c>
      <c r="P29" s="11">
        <f t="shared" si="4"/>
        <v>0.38021124171160603</v>
      </c>
      <c r="Q29" s="34">
        <f t="shared" si="5"/>
        <v>7.6907234027083549</v>
      </c>
    </row>
    <row r="30" spans="1:19">
      <c r="A30" t="s">
        <v>16</v>
      </c>
      <c r="B30" t="s">
        <v>107</v>
      </c>
      <c r="C30">
        <v>4</v>
      </c>
      <c r="D30">
        <v>1</v>
      </c>
      <c r="E30">
        <v>1000</v>
      </c>
      <c r="F30" s="7">
        <v>0.1</v>
      </c>
      <c r="G30">
        <v>50.011499999999998</v>
      </c>
      <c r="H30">
        <f>50+40.5</f>
        <v>90.5</v>
      </c>
      <c r="I30">
        <f t="shared" si="0"/>
        <v>9.0499999999999997E-2</v>
      </c>
      <c r="J30" s="34">
        <f>I30*STD!$F$5/G30</f>
        <v>997.08067144556753</v>
      </c>
      <c r="K30" s="37">
        <v>190000</v>
      </c>
      <c r="L30" s="13">
        <f t="shared" si="1"/>
        <v>190</v>
      </c>
      <c r="M30" s="40">
        <f t="shared" si="6"/>
        <v>403633150</v>
      </c>
      <c r="N30" s="40">
        <f t="shared" si="2"/>
        <v>2124385</v>
      </c>
      <c r="O30" s="41">
        <f t="shared" si="3"/>
        <v>6.3272332262623383</v>
      </c>
      <c r="P30" s="11">
        <f t="shared" si="4"/>
        <v>2.2787536009528289</v>
      </c>
      <c r="Q30" s="34">
        <f t="shared" si="5"/>
        <v>8.6059868272151672</v>
      </c>
    </row>
    <row r="31" spans="1:19" s="2" customFormat="1">
      <c r="A31" s="2" t="s">
        <v>16</v>
      </c>
      <c r="B31" s="2" t="s">
        <v>107</v>
      </c>
      <c r="C31" s="2">
        <v>5</v>
      </c>
      <c r="D31" s="2">
        <v>1</v>
      </c>
      <c r="E31" s="2">
        <v>5000</v>
      </c>
      <c r="F31" s="8">
        <v>9.74E-2</v>
      </c>
      <c r="G31" s="2">
        <v>50.007599999999996</v>
      </c>
      <c r="H31" s="42">
        <v>455</v>
      </c>
      <c r="I31" s="2">
        <f t="shared" si="0"/>
        <v>0.45500000000000002</v>
      </c>
      <c r="J31" s="38">
        <f>I31*STD!$F$5/G31</f>
        <v>5013.337972628161</v>
      </c>
      <c r="K31" s="43">
        <v>3600000</v>
      </c>
      <c r="L31" s="2">
        <f t="shared" si="1"/>
        <v>3600</v>
      </c>
      <c r="M31" s="44">
        <f t="shared" si="6"/>
        <v>725643121.14989746</v>
      </c>
      <c r="N31" s="44">
        <f t="shared" si="2"/>
        <v>201567.53365274929</v>
      </c>
      <c r="O31" s="43">
        <f t="shared" si="3"/>
        <v>5.3044205818859247</v>
      </c>
      <c r="P31" s="11">
        <f t="shared" si="4"/>
        <v>3.5563025007672873</v>
      </c>
      <c r="Q31" s="38">
        <f t="shared" si="5"/>
        <v>8.8607230826532124</v>
      </c>
    </row>
    <row r="32" spans="1:19">
      <c r="A32" t="s">
        <v>18</v>
      </c>
      <c r="B32" t="s">
        <v>107</v>
      </c>
      <c r="C32">
        <v>1</v>
      </c>
      <c r="D32">
        <v>1</v>
      </c>
      <c r="E32">
        <v>1</v>
      </c>
      <c r="F32" s="7">
        <v>9.6699999999999994E-2</v>
      </c>
      <c r="G32" s="7">
        <v>49.997</v>
      </c>
      <c r="H32">
        <f>50+40.5</f>
        <v>90.5</v>
      </c>
      <c r="I32">
        <f t="shared" si="0"/>
        <v>9.0499999999999997E-2</v>
      </c>
      <c r="J32" s="39">
        <f>I32*STD!$H$5/G32</f>
        <v>0.99736984219053137</v>
      </c>
      <c r="K32" s="37">
        <v>0.65</v>
      </c>
      <c r="L32" s="13">
        <f t="shared" si="1"/>
        <v>6.4999999999999997E-4</v>
      </c>
      <c r="M32" s="40">
        <f t="shared" si="6"/>
        <v>515336.11116856255</v>
      </c>
      <c r="N32" s="40">
        <f t="shared" si="2"/>
        <v>792824786.4131732</v>
      </c>
      <c r="O32" s="41">
        <f t="shared" si="3"/>
        <v>8.8991772192196468</v>
      </c>
      <c r="P32" s="11">
        <f t="shared" si="4"/>
        <v>-3.1870866433571443</v>
      </c>
      <c r="Q32" s="34">
        <f t="shared" si="5"/>
        <v>5.7120905758625016</v>
      </c>
      <c r="R32" s="34">
        <f>INTERCEPT(Q32:Q36,P32:P36)</f>
        <v>8.5987751939899244</v>
      </c>
      <c r="S32" s="34">
        <f>SLOPE(Q32:Q36,P32:P36)</f>
        <v>0.75580605670088497</v>
      </c>
    </row>
    <row r="33" spans="1:19">
      <c r="A33" t="s">
        <v>18</v>
      </c>
      <c r="B33" t="s">
        <v>107</v>
      </c>
      <c r="C33">
        <v>2</v>
      </c>
      <c r="D33">
        <v>1</v>
      </c>
      <c r="E33">
        <v>10</v>
      </c>
      <c r="F33" s="7">
        <v>0.10100000000000001</v>
      </c>
      <c r="G33" s="7">
        <v>49.994799999999998</v>
      </c>
      <c r="H33">
        <f>900+7.4</f>
        <v>907.4</v>
      </c>
      <c r="I33">
        <f t="shared" si="0"/>
        <v>0.90739999999999998</v>
      </c>
      <c r="J33" s="34">
        <f>I33*STD!$H$5/G33</f>
        <v>10.000588061158361</v>
      </c>
      <c r="K33" s="37">
        <v>1.7</v>
      </c>
      <c r="L33" s="13">
        <f t="shared" si="1"/>
        <v>1.6999999999999999E-3</v>
      </c>
      <c r="M33" s="40">
        <f t="shared" si="6"/>
        <v>4949429.7904950492</v>
      </c>
      <c r="N33" s="40">
        <f t="shared" si="2"/>
        <v>2911429288.5264997</v>
      </c>
      <c r="O33" s="41">
        <f t="shared" si="3"/>
        <v>9.4641062466248176</v>
      </c>
      <c r="P33" s="11">
        <f t="shared" si="4"/>
        <v>-2.7695510786217259</v>
      </c>
      <c r="Q33" s="34">
        <f t="shared" si="5"/>
        <v>6.6945551680030926</v>
      </c>
    </row>
    <row r="34" spans="1:19">
      <c r="A34" t="s">
        <v>18</v>
      </c>
      <c r="B34" t="s">
        <v>107</v>
      </c>
      <c r="C34">
        <v>3</v>
      </c>
      <c r="D34">
        <v>1</v>
      </c>
      <c r="E34">
        <v>100</v>
      </c>
      <c r="F34" s="7">
        <v>9.8900000000000002E-2</v>
      </c>
      <c r="G34">
        <v>49.995800000000003</v>
      </c>
      <c r="H34">
        <v>9.1</v>
      </c>
      <c r="I34">
        <f t="shared" si="0"/>
        <v>9.1000000000000004E-3</v>
      </c>
      <c r="J34" s="34">
        <f>I34*STD!$F$5/G34</f>
        <v>100.29042439564924</v>
      </c>
      <c r="K34" s="37">
        <v>24</v>
      </c>
      <c r="L34" s="13">
        <f t="shared" si="1"/>
        <v>2.4E-2</v>
      </c>
      <c r="M34" s="40">
        <f t="shared" si="6"/>
        <v>50686553.092012137</v>
      </c>
      <c r="N34" s="40">
        <f t="shared" si="2"/>
        <v>2111939712.1671724</v>
      </c>
      <c r="O34" s="41">
        <f t="shared" si="3"/>
        <v>9.3246815165858141</v>
      </c>
      <c r="P34" s="11">
        <f t="shared" si="4"/>
        <v>-1.6197887582883939</v>
      </c>
      <c r="Q34" s="34">
        <f t="shared" si="5"/>
        <v>7.7048927582974205</v>
      </c>
    </row>
    <row r="35" spans="1:19">
      <c r="A35" t="s">
        <v>18</v>
      </c>
      <c r="B35" t="s">
        <v>107</v>
      </c>
      <c r="C35">
        <v>4</v>
      </c>
      <c r="D35">
        <v>1</v>
      </c>
      <c r="E35">
        <v>1000</v>
      </c>
      <c r="F35" s="7">
        <v>9.9099999999999994E-2</v>
      </c>
      <c r="G35">
        <v>50.0167</v>
      </c>
      <c r="H35">
        <f>50+40.5</f>
        <v>90.5</v>
      </c>
      <c r="I35">
        <f t="shared" si="0"/>
        <v>9.0499999999999997E-2</v>
      </c>
      <c r="J35" s="34">
        <f>I35*STD!$F$5/G35</f>
        <v>996.97700967876733</v>
      </c>
      <c r="K35" s="37">
        <v>640</v>
      </c>
      <c r="L35" s="13">
        <f t="shared" si="1"/>
        <v>0.64</v>
      </c>
      <c r="M35" s="40">
        <f t="shared" si="6"/>
        <v>502860638.86982846</v>
      </c>
      <c r="N35" s="40">
        <f t="shared" si="2"/>
        <v>785719748.2341069</v>
      </c>
      <c r="O35" s="41">
        <f t="shared" si="3"/>
        <v>8.8952676688141299</v>
      </c>
      <c r="P35" s="11">
        <f t="shared" si="4"/>
        <v>-0.19382002601611281</v>
      </c>
      <c r="Q35" s="34">
        <f t="shared" si="5"/>
        <v>8.7014476427980174</v>
      </c>
    </row>
    <row r="36" spans="1:19" s="2" customFormat="1">
      <c r="A36" s="2" t="s">
        <v>18</v>
      </c>
      <c r="B36" s="2" t="s">
        <v>107</v>
      </c>
      <c r="C36" s="2">
        <v>5</v>
      </c>
      <c r="D36" s="2">
        <v>1</v>
      </c>
      <c r="E36" s="2">
        <v>5000</v>
      </c>
      <c r="F36" s="8">
        <v>0.1016</v>
      </c>
      <c r="G36" s="2">
        <v>50.011000000000003</v>
      </c>
      <c r="H36" s="42">
        <v>455</v>
      </c>
      <c r="I36" s="2">
        <f t="shared" si="0"/>
        <v>0.45500000000000002</v>
      </c>
      <c r="J36" s="38">
        <f>I36*STD!$F$5/G36</f>
        <v>5012.9971406290615</v>
      </c>
      <c r="K36" s="43">
        <v>27000</v>
      </c>
      <c r="L36" s="2">
        <f t="shared" si="1"/>
        <v>27</v>
      </c>
      <c r="M36" s="44">
        <f t="shared" si="6"/>
        <v>2454278572.8346462</v>
      </c>
      <c r="N36" s="44">
        <f t="shared" si="2"/>
        <v>90899206.40128319</v>
      </c>
      <c r="O36" s="43">
        <f t="shared" si="3"/>
        <v>7.9585600916152783</v>
      </c>
      <c r="P36" s="11">
        <f t="shared" si="4"/>
        <v>1.4313637641589874</v>
      </c>
      <c r="Q36" s="38">
        <f t="shared" si="5"/>
        <v>9.3899238557742652</v>
      </c>
    </row>
    <row r="37" spans="1:19">
      <c r="A37" t="s">
        <v>19</v>
      </c>
      <c r="B37" t="s">
        <v>107</v>
      </c>
      <c r="C37">
        <v>1</v>
      </c>
      <c r="D37">
        <v>1</v>
      </c>
      <c r="E37">
        <v>1</v>
      </c>
      <c r="F37" s="7">
        <v>0.10349999999999999</v>
      </c>
      <c r="G37">
        <v>50.0092</v>
      </c>
      <c r="H37">
        <f>50+40.5</f>
        <v>90.5</v>
      </c>
      <c r="I37">
        <f t="shared" si="0"/>
        <v>9.0499999999999997E-2</v>
      </c>
      <c r="J37" s="39">
        <f>I37*STD!$H$5/G37</f>
        <v>0.99712652871871565</v>
      </c>
      <c r="K37" s="37" t="s">
        <v>90</v>
      </c>
      <c r="L37" s="13" t="e">
        <f t="shared" si="1"/>
        <v>#VALUE!</v>
      </c>
      <c r="M37" s="40" t="e">
        <f t="shared" si="6"/>
        <v>#VALUE!</v>
      </c>
      <c r="N37" s="40" t="e">
        <f t="shared" si="2"/>
        <v>#VALUE!</v>
      </c>
      <c r="O37" s="41" t="e">
        <f t="shared" si="3"/>
        <v>#VALUE!</v>
      </c>
      <c r="P37" s="11" t="e">
        <f t="shared" si="4"/>
        <v>#VALUE!</v>
      </c>
      <c r="Q37" s="34" t="e">
        <f t="shared" si="5"/>
        <v>#VALUE!</v>
      </c>
      <c r="R37" s="34" t="e">
        <f>INTERCEPT(Q37:Q41,P37:P41)</f>
        <v>#VALUE!</v>
      </c>
      <c r="S37" s="34" t="e">
        <f>SLOPE(Q37:Q41,P37:P41)</f>
        <v>#VALUE!</v>
      </c>
    </row>
    <row r="38" spans="1:19">
      <c r="A38" t="s">
        <v>19</v>
      </c>
      <c r="B38" t="s">
        <v>107</v>
      </c>
      <c r="C38">
        <v>2</v>
      </c>
      <c r="D38">
        <v>1</v>
      </c>
      <c r="E38">
        <v>10</v>
      </c>
      <c r="F38" s="7">
        <v>0.1026</v>
      </c>
      <c r="G38">
        <v>50.014099999999999</v>
      </c>
      <c r="H38">
        <f>900+7.4</f>
        <v>907.4</v>
      </c>
      <c r="I38">
        <f t="shared" si="0"/>
        <v>0.90739999999999998</v>
      </c>
      <c r="J38" s="34">
        <f>I38*STD!$H$5/G38</f>
        <v>9.9967289224438716</v>
      </c>
      <c r="K38" s="37">
        <v>0.32</v>
      </c>
      <c r="L38" s="13">
        <f t="shared" si="1"/>
        <v>3.2000000000000003E-4</v>
      </c>
      <c r="M38" s="40">
        <f t="shared" si="6"/>
        <v>4872918.0846783631</v>
      </c>
      <c r="N38" s="40">
        <f t="shared" si="2"/>
        <v>15227869014.619883</v>
      </c>
      <c r="O38" s="41">
        <f t="shared" si="3"/>
        <v>10.182639132492707</v>
      </c>
      <c r="P38" s="11">
        <f t="shared" si="4"/>
        <v>-3.4948500216800942</v>
      </c>
      <c r="Q38" s="34">
        <f t="shared" si="5"/>
        <v>6.6877891108126128</v>
      </c>
    </row>
    <row r="39" spans="1:19">
      <c r="A39" t="s">
        <v>19</v>
      </c>
      <c r="B39" t="s">
        <v>107</v>
      </c>
      <c r="C39">
        <v>3</v>
      </c>
      <c r="D39">
        <v>1</v>
      </c>
      <c r="E39">
        <v>100</v>
      </c>
      <c r="F39" s="7">
        <v>0.1031</v>
      </c>
      <c r="G39">
        <v>50.005400000000002</v>
      </c>
      <c r="H39">
        <v>9.1</v>
      </c>
      <c r="I39">
        <f t="shared" si="0"/>
        <v>9.1000000000000004E-3</v>
      </c>
      <c r="J39" s="34">
        <f>I39*STD!$F$5/G39</f>
        <v>100.27117071356294</v>
      </c>
      <c r="K39" s="37">
        <v>11</v>
      </c>
      <c r="L39" s="13">
        <f t="shared" si="1"/>
        <v>1.0999999999999999E-2</v>
      </c>
      <c r="M39" s="40">
        <f t="shared" si="6"/>
        <v>48628030.461687692</v>
      </c>
      <c r="N39" s="40">
        <f t="shared" si="2"/>
        <v>4420730041.9716082</v>
      </c>
      <c r="O39" s="41">
        <f t="shared" si="3"/>
        <v>9.6454939949190486</v>
      </c>
      <c r="P39" s="11">
        <f t="shared" si="4"/>
        <v>-1.9586073148417751</v>
      </c>
      <c r="Q39" s="34">
        <f t="shared" si="5"/>
        <v>7.6868866800772739</v>
      </c>
    </row>
    <row r="40" spans="1:19">
      <c r="A40" t="s">
        <v>19</v>
      </c>
      <c r="B40" t="s">
        <v>107</v>
      </c>
      <c r="C40">
        <v>4</v>
      </c>
      <c r="D40">
        <v>1</v>
      </c>
      <c r="E40">
        <v>1000</v>
      </c>
      <c r="F40" s="7">
        <v>9.9099999999999994E-2</v>
      </c>
      <c r="G40">
        <v>50.014899999999997</v>
      </c>
      <c r="H40">
        <f>50+40.5</f>
        <v>90.5</v>
      </c>
      <c r="I40">
        <f t="shared" si="0"/>
        <v>9.0499999999999997E-2</v>
      </c>
      <c r="J40" s="34">
        <f>I40*STD!$F$5/G40</f>
        <v>997.01289015873272</v>
      </c>
      <c r="K40" s="37">
        <v>47</v>
      </c>
      <c r="L40" s="13">
        <f t="shared" si="1"/>
        <v>4.7E-2</v>
      </c>
      <c r="M40" s="40">
        <f t="shared" si="6"/>
        <v>503159932.38849652</v>
      </c>
      <c r="N40" s="40">
        <f t="shared" si="2"/>
        <v>10705530476.35099</v>
      </c>
      <c r="O40" s="41">
        <f t="shared" si="3"/>
        <v>10.029608192157687</v>
      </c>
      <c r="P40" s="11">
        <f t="shared" si="4"/>
        <v>-1.3279021420642825</v>
      </c>
      <c r="Q40" s="34">
        <f t="shared" si="5"/>
        <v>8.7017060500934047</v>
      </c>
    </row>
    <row r="41" spans="1:19" s="2" customFormat="1">
      <c r="A41" s="2" t="s">
        <v>19</v>
      </c>
      <c r="B41" s="2" t="s">
        <v>107</v>
      </c>
      <c r="C41" s="2">
        <v>5</v>
      </c>
      <c r="D41" s="2">
        <v>1</v>
      </c>
      <c r="E41" s="2">
        <v>5000</v>
      </c>
      <c r="F41" s="8">
        <v>9.7900000000000001E-2</v>
      </c>
      <c r="G41" s="2">
        <v>50.003799999999998</v>
      </c>
      <c r="H41" s="42">
        <v>455</v>
      </c>
      <c r="I41" s="2">
        <f t="shared" si="0"/>
        <v>0.45500000000000002</v>
      </c>
      <c r="J41" s="38">
        <f>I41*STD!$F$5/G41</f>
        <v>5013.7189573592404</v>
      </c>
      <c r="K41" s="43">
        <v>460</v>
      </c>
      <c r="L41" s="2">
        <f t="shared" si="1"/>
        <v>0.46</v>
      </c>
      <c r="M41" s="44">
        <f t="shared" si="6"/>
        <v>2560592423.4116445</v>
      </c>
      <c r="N41" s="44">
        <f t="shared" si="2"/>
        <v>5566505268.2861834</v>
      </c>
      <c r="O41" s="43">
        <f t="shared" si="3"/>
        <v>9.7455826244323163</v>
      </c>
      <c r="P41" s="11">
        <f t="shared" si="4"/>
        <v>-0.33724216831842591</v>
      </c>
      <c r="Q41" s="38">
        <f t="shared" si="5"/>
        <v>9.4083404561138906</v>
      </c>
    </row>
    <row r="42" spans="1:19">
      <c r="A42" t="s">
        <v>20</v>
      </c>
      <c r="B42" t="s">
        <v>107</v>
      </c>
      <c r="C42">
        <v>1</v>
      </c>
      <c r="D42">
        <v>1</v>
      </c>
      <c r="E42">
        <v>1</v>
      </c>
      <c r="F42" s="7">
        <v>0.1019</v>
      </c>
      <c r="G42">
        <v>49.9985</v>
      </c>
      <c r="H42">
        <f>50+40.5</f>
        <v>90.5</v>
      </c>
      <c r="I42">
        <f t="shared" si="0"/>
        <v>9.0499999999999997E-2</v>
      </c>
      <c r="J42" s="39">
        <f>I42*STD!$H$5/G42</f>
        <v>0.99733992019760587</v>
      </c>
      <c r="K42" s="37">
        <v>1000</v>
      </c>
      <c r="L42" s="13">
        <f t="shared" si="1"/>
        <v>1</v>
      </c>
      <c r="M42" s="40">
        <f t="shared" si="6"/>
        <v>-1305.2011776251488</v>
      </c>
      <c r="N42" s="40">
        <f t="shared" si="2"/>
        <v>-1305.2011776251488</v>
      </c>
      <c r="O42" s="41" t="e">
        <f t="shared" si="3"/>
        <v>#NUM!</v>
      </c>
      <c r="P42" s="11">
        <f t="shared" si="4"/>
        <v>0</v>
      </c>
      <c r="Q42" s="34" t="e">
        <f t="shared" si="5"/>
        <v>#NUM!</v>
      </c>
      <c r="R42" s="34" t="e">
        <f>INTERCEPT(Q42:Q46,P42:P46)</f>
        <v>#NUM!</v>
      </c>
      <c r="S42" s="34" t="e">
        <f>SLOPE(Q42:Q46,P42:P46)</f>
        <v>#NUM!</v>
      </c>
    </row>
    <row r="43" spans="1:19">
      <c r="A43" t="s">
        <v>20</v>
      </c>
      <c r="B43" t="s">
        <v>107</v>
      </c>
      <c r="C43">
        <v>2</v>
      </c>
      <c r="D43">
        <v>1</v>
      </c>
      <c r="E43">
        <v>10</v>
      </c>
      <c r="F43" s="7">
        <v>0.1022</v>
      </c>
      <c r="G43">
        <v>50.035200000000003</v>
      </c>
      <c r="H43">
        <f>900+7.4</f>
        <v>907.4</v>
      </c>
      <c r="I43">
        <f t="shared" si="0"/>
        <v>0.90739999999999998</v>
      </c>
      <c r="J43" s="34">
        <f>I43*STD!$H$5/G43</f>
        <v>9.9925132706574562</v>
      </c>
      <c r="K43" s="37">
        <v>11000</v>
      </c>
      <c r="L43" s="13">
        <f t="shared" si="1"/>
        <v>11</v>
      </c>
      <c r="M43" s="40">
        <f t="shared" si="6"/>
        <v>-493246.57534246589</v>
      </c>
      <c r="N43" s="40">
        <f t="shared" si="2"/>
        <v>-44840.597758405987</v>
      </c>
      <c r="O43" s="41" t="e">
        <f t="shared" si="3"/>
        <v>#NUM!</v>
      </c>
      <c r="P43" s="11">
        <f t="shared" si="4"/>
        <v>1.0413926851582251</v>
      </c>
      <c r="Q43" s="34" t="e">
        <f t="shared" si="5"/>
        <v>#NUM!</v>
      </c>
    </row>
    <row r="44" spans="1:19">
      <c r="A44" t="s">
        <v>20</v>
      </c>
      <c r="B44" t="s">
        <v>107</v>
      </c>
      <c r="C44">
        <v>3</v>
      </c>
      <c r="D44">
        <v>1</v>
      </c>
      <c r="E44">
        <v>100</v>
      </c>
      <c r="F44" s="7">
        <v>0.1018</v>
      </c>
      <c r="G44">
        <v>50.004399999999997</v>
      </c>
      <c r="H44">
        <v>9.1</v>
      </c>
      <c r="I44">
        <f t="shared" si="0"/>
        <v>9.1000000000000004E-3</v>
      </c>
      <c r="J44" s="34">
        <f>I44*STD!$F$5/G44</f>
        <v>100.27317596051549</v>
      </c>
      <c r="K44" s="37">
        <v>96000</v>
      </c>
      <c r="L44" s="13">
        <f t="shared" si="1"/>
        <v>96</v>
      </c>
      <c r="M44" s="40">
        <f t="shared" si="6"/>
        <v>2098994.1060903817</v>
      </c>
      <c r="N44" s="40">
        <f t="shared" si="2"/>
        <v>21864.521938441478</v>
      </c>
      <c r="O44" s="41">
        <f t="shared" si="3"/>
        <v>4.3397399860592598</v>
      </c>
      <c r="P44" s="11">
        <f t="shared" si="4"/>
        <v>1.9822712330395684</v>
      </c>
      <c r="Q44" s="34">
        <f t="shared" si="5"/>
        <v>6.3220112190988287</v>
      </c>
    </row>
    <row r="45" spans="1:19">
      <c r="A45" t="s">
        <v>20</v>
      </c>
      <c r="B45" t="s">
        <v>107</v>
      </c>
      <c r="C45">
        <v>4</v>
      </c>
      <c r="D45">
        <v>1</v>
      </c>
      <c r="E45">
        <v>1000</v>
      </c>
      <c r="F45" s="6">
        <v>9.8799999999999999E-2</v>
      </c>
      <c r="G45">
        <v>50.011099999999999</v>
      </c>
      <c r="H45">
        <f>50+40.5</f>
        <v>90.5</v>
      </c>
      <c r="I45">
        <f t="shared" si="0"/>
        <v>9.0499999999999997E-2</v>
      </c>
      <c r="J45" s="34">
        <f>I45*STD!$F$5/G45</f>
        <v>997.08864632051689</v>
      </c>
      <c r="K45" s="37">
        <v>1100000</v>
      </c>
      <c r="L45" s="13">
        <f t="shared" si="1"/>
        <v>1100</v>
      </c>
      <c r="M45" s="40">
        <f t="shared" si="6"/>
        <v>-52092206.477732785</v>
      </c>
      <c r="N45" s="40">
        <f t="shared" si="2"/>
        <v>-47356.551343393439</v>
      </c>
      <c r="O45" s="41" t="e">
        <f t="shared" si="3"/>
        <v>#NUM!</v>
      </c>
      <c r="P45" s="11">
        <f t="shared" si="4"/>
        <v>3.0413926851582249</v>
      </c>
      <c r="Q45" s="34" t="e">
        <f t="shared" si="5"/>
        <v>#NUM!</v>
      </c>
    </row>
    <row r="46" spans="1:19" s="2" customFormat="1">
      <c r="A46" s="2" t="s">
        <v>20</v>
      </c>
      <c r="B46" s="2" t="s">
        <v>107</v>
      </c>
      <c r="C46" s="2">
        <v>5</v>
      </c>
      <c r="D46" s="2">
        <v>1</v>
      </c>
      <c r="E46" s="2">
        <v>5000</v>
      </c>
      <c r="F46" s="8">
        <v>9.9500000000000005E-2</v>
      </c>
      <c r="G46" s="2">
        <v>50.001100000000001</v>
      </c>
      <c r="H46" s="42">
        <v>455</v>
      </c>
      <c r="I46" s="2">
        <f t="shared" si="0"/>
        <v>0.45500000000000002</v>
      </c>
      <c r="J46" s="38">
        <f>I46*STD!$F$5/G46</f>
        <v>5013.9896922267708</v>
      </c>
      <c r="K46" s="43">
        <v>6700000</v>
      </c>
      <c r="L46" s="2">
        <f t="shared" si="1"/>
        <v>6700</v>
      </c>
      <c r="M46" s="44">
        <f t="shared" si="6"/>
        <v>-847259999.99999988</v>
      </c>
      <c r="N46" s="44">
        <f t="shared" si="2"/>
        <v>-126456.71641791043</v>
      </c>
      <c r="O46" s="43" t="e">
        <f t="shared" si="3"/>
        <v>#NUM!</v>
      </c>
      <c r="P46" s="11">
        <f t="shared" si="4"/>
        <v>3.8260748027008264</v>
      </c>
      <c r="Q46" s="38" t="e">
        <f t="shared" si="5"/>
        <v>#NUM!</v>
      </c>
    </row>
    <row r="47" spans="1:19">
      <c r="A47" t="s">
        <v>22</v>
      </c>
      <c r="B47" t="s">
        <v>107</v>
      </c>
      <c r="C47">
        <v>1</v>
      </c>
      <c r="D47">
        <v>1</v>
      </c>
      <c r="E47">
        <v>1</v>
      </c>
      <c r="F47" s="7">
        <v>0.1</v>
      </c>
      <c r="G47">
        <v>49.997900000000001</v>
      </c>
      <c r="H47">
        <f>50+40.5</f>
        <v>90.5</v>
      </c>
      <c r="I47">
        <f t="shared" si="0"/>
        <v>9.0499999999999997E-2</v>
      </c>
      <c r="J47" s="39">
        <f>I47*STD!$H$5/G47</f>
        <v>0.99735188877932868</v>
      </c>
      <c r="K47" s="37">
        <v>31</v>
      </c>
      <c r="L47" s="13">
        <f t="shared" si="1"/>
        <v>3.1E-2</v>
      </c>
      <c r="M47" s="40">
        <f t="shared" si="6"/>
        <v>483155.65099999995</v>
      </c>
      <c r="N47" s="40">
        <f t="shared" si="2"/>
        <v>15585666.161290321</v>
      </c>
      <c r="O47" s="41">
        <f t="shared" si="3"/>
        <v>7.1927253695894082</v>
      </c>
      <c r="P47" s="11">
        <f t="shared" si="4"/>
        <v>-1.5086383061657274</v>
      </c>
      <c r="Q47" s="34">
        <f t="shared" si="5"/>
        <v>5.6840870634236804</v>
      </c>
      <c r="R47" s="34">
        <f>INTERCEPT(Q47:Q51,P47:P51)</f>
        <v>6.7957320269012618</v>
      </c>
      <c r="S47" s="34">
        <f>SLOPE(Q47:Q51,P47:P51)</f>
        <v>0.44169704945812521</v>
      </c>
    </row>
    <row r="48" spans="1:19">
      <c r="A48" t="s">
        <v>22</v>
      </c>
      <c r="B48" t="s">
        <v>107</v>
      </c>
      <c r="C48">
        <v>2</v>
      </c>
      <c r="D48">
        <v>1</v>
      </c>
      <c r="E48">
        <v>10</v>
      </c>
      <c r="F48" s="7">
        <v>0.10100000000000001</v>
      </c>
      <c r="G48">
        <v>49.991599999999998</v>
      </c>
      <c r="H48">
        <f>900+7.4</f>
        <v>907.4</v>
      </c>
      <c r="I48">
        <f t="shared" si="0"/>
        <v>0.90739999999999998</v>
      </c>
      <c r="J48" s="34">
        <f>I48*STD!$H$5/G48</f>
        <v>10.001228206338665</v>
      </c>
      <c r="K48" s="37">
        <v>520</v>
      </c>
      <c r="L48" s="13">
        <f t="shared" si="1"/>
        <v>0.52</v>
      </c>
      <c r="M48" s="40">
        <f t="shared" si="6"/>
        <v>4692888.7920792075</v>
      </c>
      <c r="N48" s="40">
        <f t="shared" si="2"/>
        <v>9024786.1386138611</v>
      </c>
      <c r="O48" s="41">
        <f t="shared" si="3"/>
        <v>6.9554369191737768</v>
      </c>
      <c r="P48" s="11">
        <f t="shared" si="4"/>
        <v>-0.28399665636520083</v>
      </c>
      <c r="Q48" s="34">
        <f t="shared" si="5"/>
        <v>6.6714402628085763</v>
      </c>
    </row>
    <row r="49" spans="1:19">
      <c r="A49" t="s">
        <v>22</v>
      </c>
      <c r="B49" t="s">
        <v>107</v>
      </c>
      <c r="C49">
        <v>3</v>
      </c>
      <c r="D49">
        <v>1</v>
      </c>
      <c r="E49">
        <v>100</v>
      </c>
      <c r="F49" s="7">
        <v>0.1016</v>
      </c>
      <c r="G49">
        <v>50.011000000000003</v>
      </c>
      <c r="H49">
        <v>9.1</v>
      </c>
      <c r="I49">
        <f t="shared" si="0"/>
        <v>9.1000000000000004E-3</v>
      </c>
      <c r="J49" s="34">
        <f>I49*STD!$F$5/G49</f>
        <v>100.25994281258123</v>
      </c>
      <c r="K49" s="37">
        <v>5000</v>
      </c>
      <c r="L49" s="13">
        <f t="shared" si="1"/>
        <v>5</v>
      </c>
      <c r="M49" s="40">
        <f t="shared" si="6"/>
        <v>46890206.692913391</v>
      </c>
      <c r="N49" s="40">
        <f t="shared" si="2"/>
        <v>9378041.3385826778</v>
      </c>
      <c r="O49" s="41">
        <f t="shared" si="3"/>
        <v>6.9721121427852975</v>
      </c>
      <c r="P49" s="11">
        <f t="shared" si="4"/>
        <v>0.69897000433601886</v>
      </c>
      <c r="Q49" s="34">
        <f t="shared" si="5"/>
        <v>7.6710821471213162</v>
      </c>
    </row>
    <row r="50" spans="1:19">
      <c r="A50" t="s">
        <v>22</v>
      </c>
      <c r="B50" t="s">
        <v>107</v>
      </c>
      <c r="C50">
        <v>4</v>
      </c>
      <c r="D50">
        <v>1</v>
      </c>
      <c r="E50">
        <v>1000</v>
      </c>
      <c r="F50" s="7">
        <v>0.1</v>
      </c>
      <c r="G50">
        <v>49.990499999999997</v>
      </c>
      <c r="H50">
        <f>50+40.5</f>
        <v>90.5</v>
      </c>
      <c r="I50">
        <f t="shared" si="0"/>
        <v>9.0499999999999997E-2</v>
      </c>
      <c r="J50" s="34">
        <f>I50*STD!$F$5/G50</f>
        <v>997.49952490973294</v>
      </c>
      <c r="K50" s="37">
        <v>380000</v>
      </c>
      <c r="L50" s="13">
        <f t="shared" si="1"/>
        <v>380</v>
      </c>
      <c r="M50" s="40">
        <f t="shared" si="6"/>
        <v>308691100</v>
      </c>
      <c r="N50" s="40">
        <f t="shared" si="2"/>
        <v>812345</v>
      </c>
      <c r="O50" s="41">
        <f t="shared" si="3"/>
        <v>5.909740511723049</v>
      </c>
      <c r="P50" s="11">
        <f t="shared" si="4"/>
        <v>2.5797835966168101</v>
      </c>
      <c r="Q50" s="34">
        <f t="shared" si="5"/>
        <v>8.4895241083398592</v>
      </c>
    </row>
    <row r="51" spans="1:19" s="2" customFormat="1">
      <c r="A51" s="2" t="s">
        <v>22</v>
      </c>
      <c r="B51" s="2" t="s">
        <v>107</v>
      </c>
      <c r="C51" s="2">
        <v>5</v>
      </c>
      <c r="D51" s="2">
        <v>1</v>
      </c>
      <c r="E51" s="2">
        <v>5000</v>
      </c>
      <c r="F51" s="8">
        <v>0.1013</v>
      </c>
      <c r="G51" s="2">
        <v>50.0047</v>
      </c>
      <c r="H51" s="42">
        <v>455</v>
      </c>
      <c r="I51" s="2">
        <f t="shared" si="0"/>
        <v>0.45500000000000002</v>
      </c>
      <c r="J51" s="38">
        <f>I51*STD!$F$5/G51</f>
        <v>5013.6287189004233</v>
      </c>
      <c r="K51" s="43">
        <v>4900000</v>
      </c>
      <c r="L51" s="2">
        <f t="shared" si="1"/>
        <v>4900</v>
      </c>
      <c r="M51" s="44">
        <f t="shared" si="6"/>
        <v>56090523.198420547</v>
      </c>
      <c r="N51" s="44">
        <f t="shared" si="2"/>
        <v>11447.045550698071</v>
      </c>
      <c r="O51" s="43">
        <f t="shared" si="3"/>
        <v>4.058693410990581</v>
      </c>
      <c r="P51" s="11">
        <f t="shared" si="4"/>
        <v>3.6901960800285138</v>
      </c>
      <c r="Q51" s="38">
        <f t="shared" si="5"/>
        <v>7.7488894910190949</v>
      </c>
    </row>
    <row r="52" spans="1:19">
      <c r="A52" t="s">
        <v>23</v>
      </c>
      <c r="B52" t="s">
        <v>107</v>
      </c>
      <c r="C52">
        <v>1</v>
      </c>
      <c r="D52">
        <v>1</v>
      </c>
      <c r="E52">
        <v>1</v>
      </c>
      <c r="F52" s="7">
        <v>0.1</v>
      </c>
      <c r="G52">
        <v>50.000700000000002</v>
      </c>
      <c r="H52">
        <f>50+40.5</f>
        <v>90.5</v>
      </c>
      <c r="I52">
        <f t="shared" si="0"/>
        <v>9.0499999999999997E-2</v>
      </c>
      <c r="J52" s="39">
        <f>I52*STD!$H$5/G52</f>
        <v>0.99729603785546994</v>
      </c>
      <c r="K52" s="37">
        <v>4.4000000000000004</v>
      </c>
      <c r="L52" s="13">
        <f t="shared" si="1"/>
        <v>4.4000000000000003E-3</v>
      </c>
      <c r="M52" s="40">
        <f t="shared" si="6"/>
        <v>496454.96919999999</v>
      </c>
      <c r="N52" s="40">
        <f t="shared" si="2"/>
        <v>112830674.81818181</v>
      </c>
      <c r="O52" s="41">
        <f t="shared" si="3"/>
        <v>8.0524271855801217</v>
      </c>
      <c r="P52" s="11">
        <f t="shared" si="4"/>
        <v>-2.3565473235138126</v>
      </c>
      <c r="Q52" s="34">
        <f t="shared" si="5"/>
        <v>5.6958798620663087</v>
      </c>
      <c r="R52" s="34">
        <f>INTERCEPT(Q52:Q56,P52:P56)</f>
        <v>7.5173808884222622</v>
      </c>
      <c r="S52" s="34">
        <f>SLOPE(Q52:Q56,P52:P56)</f>
        <v>0.59028679151122387</v>
      </c>
    </row>
    <row r="53" spans="1:19">
      <c r="A53" t="s">
        <v>23</v>
      </c>
      <c r="B53" t="s">
        <v>107</v>
      </c>
      <c r="C53">
        <v>2</v>
      </c>
      <c r="D53">
        <v>1</v>
      </c>
      <c r="E53">
        <v>10</v>
      </c>
      <c r="F53" s="7">
        <v>0.10100000000000001</v>
      </c>
      <c r="G53">
        <v>49.992699999999999</v>
      </c>
      <c r="H53">
        <f>900+7.4</f>
        <v>907.4</v>
      </c>
      <c r="I53">
        <f t="shared" si="0"/>
        <v>0.90739999999999998</v>
      </c>
      <c r="J53" s="34">
        <f>I53*STD!$H$5/G53</f>
        <v>10.00100814718949</v>
      </c>
      <c r="K53" s="37">
        <v>29</v>
      </c>
      <c r="L53" s="13">
        <f t="shared" si="1"/>
        <v>2.9000000000000001E-2</v>
      </c>
      <c r="M53" s="40">
        <f t="shared" si="6"/>
        <v>4935916.9475247525</v>
      </c>
      <c r="N53" s="40">
        <f t="shared" si="2"/>
        <v>170204032.6732673</v>
      </c>
      <c r="O53" s="41">
        <f t="shared" si="3"/>
        <v>8.2309698456839353</v>
      </c>
      <c r="P53" s="11">
        <f t="shared" si="4"/>
        <v>-1.5376020021010439</v>
      </c>
      <c r="Q53" s="34">
        <f t="shared" si="5"/>
        <v>6.6933678435828918</v>
      </c>
    </row>
    <row r="54" spans="1:19">
      <c r="A54" t="s">
        <v>23</v>
      </c>
      <c r="B54" t="s">
        <v>107</v>
      </c>
      <c r="C54">
        <v>3</v>
      </c>
      <c r="D54">
        <v>1</v>
      </c>
      <c r="E54">
        <v>100</v>
      </c>
      <c r="F54" s="7">
        <v>0.1013</v>
      </c>
      <c r="G54">
        <v>50.048099999999998</v>
      </c>
      <c r="H54">
        <v>9.1</v>
      </c>
      <c r="I54">
        <f t="shared" si="0"/>
        <v>9.1000000000000004E-3</v>
      </c>
      <c r="J54" s="34">
        <f>I54*STD!$F$5/G54</f>
        <v>100.18562143218224</v>
      </c>
      <c r="K54" s="37">
        <v>510</v>
      </c>
      <c r="L54" s="13">
        <f t="shared" si="1"/>
        <v>0.51</v>
      </c>
      <c r="M54" s="40">
        <f t="shared" si="6"/>
        <v>49245562.37907207</v>
      </c>
      <c r="N54" s="40">
        <f t="shared" si="2"/>
        <v>96559926.233474642</v>
      </c>
      <c r="O54" s="41">
        <f t="shared" si="3"/>
        <v>7.984796925312085</v>
      </c>
      <c r="P54" s="11">
        <f t="shared" si="4"/>
        <v>-0.29242982390206362</v>
      </c>
      <c r="Q54" s="34">
        <f t="shared" si="5"/>
        <v>7.6923671014100217</v>
      </c>
    </row>
    <row r="55" spans="1:19">
      <c r="A55" t="s">
        <v>23</v>
      </c>
      <c r="B55" t="s">
        <v>107</v>
      </c>
      <c r="C55">
        <v>4</v>
      </c>
      <c r="D55">
        <v>1</v>
      </c>
      <c r="E55">
        <v>1000</v>
      </c>
      <c r="F55" s="7">
        <v>9.8000000000000004E-2</v>
      </c>
      <c r="G55">
        <v>50.0017</v>
      </c>
      <c r="H55">
        <f>50+40.5</f>
        <v>90.5</v>
      </c>
      <c r="I55">
        <f t="shared" si="0"/>
        <v>9.0499999999999997E-2</v>
      </c>
      <c r="J55" s="34">
        <f>I55*STD!$F$5/G55</f>
        <v>997.27609261285113</v>
      </c>
      <c r="K55" s="37">
        <v>22000</v>
      </c>
      <c r="L55" s="13">
        <f t="shared" si="1"/>
        <v>22</v>
      </c>
      <c r="M55" s="40">
        <f t="shared" si="6"/>
        <v>497606761.22448975</v>
      </c>
      <c r="N55" s="40">
        <f t="shared" si="2"/>
        <v>22618489.146567717</v>
      </c>
      <c r="O55" s="41">
        <f t="shared" si="3"/>
        <v>7.3544635918704797</v>
      </c>
      <c r="P55" s="11">
        <f t="shared" si="4"/>
        <v>1.3424226808222062</v>
      </c>
      <c r="Q55" s="34">
        <f t="shared" si="5"/>
        <v>8.6968862726926854</v>
      </c>
    </row>
    <row r="56" spans="1:19" s="2" customFormat="1">
      <c r="A56" s="2" t="s">
        <v>23</v>
      </c>
      <c r="B56" s="2" t="s">
        <v>107</v>
      </c>
      <c r="C56" s="2">
        <v>5</v>
      </c>
      <c r="D56" s="2">
        <v>1</v>
      </c>
      <c r="E56" s="2">
        <v>5000</v>
      </c>
      <c r="F56" s="8">
        <v>0.10440000000000001</v>
      </c>
      <c r="G56" s="2">
        <v>49.9968</v>
      </c>
      <c r="H56" s="42">
        <v>455</v>
      </c>
      <c r="I56" s="2">
        <f t="shared" si="0"/>
        <v>0.45500000000000002</v>
      </c>
      <c r="J56" s="38">
        <f>I56*STD!$F$5/G56</f>
        <v>5014.4209229390681</v>
      </c>
      <c r="K56" s="43">
        <v>2300000</v>
      </c>
      <c r="L56" s="2">
        <f t="shared" si="1"/>
        <v>2300</v>
      </c>
      <c r="M56" s="44">
        <f t="shared" si="6"/>
        <v>1299926819.9233716</v>
      </c>
      <c r="N56" s="44">
        <f t="shared" si="2"/>
        <v>565185.57387972681</v>
      </c>
      <c r="O56" s="43">
        <f t="shared" si="3"/>
        <v>5.7521910681369111</v>
      </c>
      <c r="P56" s="11">
        <f t="shared" si="4"/>
        <v>3.3617278360175931</v>
      </c>
      <c r="Q56" s="38">
        <f t="shared" si="5"/>
        <v>9.1139189041545041</v>
      </c>
    </row>
    <row r="57" spans="1:19">
      <c r="A57" t="s">
        <v>24</v>
      </c>
      <c r="B57" t="s">
        <v>107</v>
      </c>
      <c r="C57">
        <v>1</v>
      </c>
      <c r="D57">
        <v>1</v>
      </c>
      <c r="E57">
        <v>1</v>
      </c>
      <c r="F57" s="7">
        <v>0.1036</v>
      </c>
      <c r="G57">
        <v>49.9923</v>
      </c>
      <c r="H57">
        <f>50+40.5</f>
        <v>90.5</v>
      </c>
      <c r="I57">
        <f t="shared" si="0"/>
        <v>9.0499999999999997E-2</v>
      </c>
      <c r="J57" s="39">
        <f>I57*STD!$H$5/G57</f>
        <v>0.99746360939584688</v>
      </c>
      <c r="K57" s="37">
        <v>1400</v>
      </c>
      <c r="L57" s="13">
        <f t="shared" si="1"/>
        <v>1.4</v>
      </c>
      <c r="M57" s="40">
        <f t="shared" si="6"/>
        <v>-194244.40154440148</v>
      </c>
      <c r="N57" s="40">
        <f t="shared" si="2"/>
        <v>-138746.00110314394</v>
      </c>
      <c r="O57" s="41" t="e">
        <f t="shared" si="3"/>
        <v>#NUM!</v>
      </c>
      <c r="P57" s="11">
        <f t="shared" si="4"/>
        <v>0.14612803567823801</v>
      </c>
      <c r="Q57" s="34" t="e">
        <f t="shared" si="5"/>
        <v>#NUM!</v>
      </c>
      <c r="R57" s="34" t="e">
        <f>INTERCEPT(Q57:Q61,P57:P61)</f>
        <v>#NUM!</v>
      </c>
      <c r="S57" s="34" t="e">
        <f>SLOPE(Q57:Q61,P57:P61)</f>
        <v>#NUM!</v>
      </c>
    </row>
    <row r="58" spans="1:19">
      <c r="A58" t="s">
        <v>24</v>
      </c>
      <c r="B58" t="s">
        <v>107</v>
      </c>
      <c r="C58">
        <v>2</v>
      </c>
      <c r="D58">
        <v>1</v>
      </c>
      <c r="E58">
        <v>10</v>
      </c>
      <c r="F58" s="7">
        <v>9.8900000000000002E-2</v>
      </c>
      <c r="G58">
        <v>49.992899999999999</v>
      </c>
      <c r="H58">
        <f>900+7.4</f>
        <v>907.4</v>
      </c>
      <c r="I58">
        <f t="shared" si="0"/>
        <v>0.90739999999999998</v>
      </c>
      <c r="J58" s="34">
        <f>I58*STD!$H$5/G58</f>
        <v>10.000968137475521</v>
      </c>
      <c r="K58" s="37">
        <v>11000</v>
      </c>
      <c r="L58" s="13">
        <f t="shared" si="1"/>
        <v>11</v>
      </c>
      <c r="M58" s="40">
        <f t="shared" si="6"/>
        <v>-504999.99999999948</v>
      </c>
      <c r="N58" s="40">
        <f t="shared" si="2"/>
        <v>-45909.090909090861</v>
      </c>
      <c r="O58" s="41" t="e">
        <f t="shared" si="3"/>
        <v>#NUM!</v>
      </c>
      <c r="P58" s="11">
        <f t="shared" si="4"/>
        <v>1.0413926851582251</v>
      </c>
      <c r="Q58" s="34" t="e">
        <f t="shared" si="5"/>
        <v>#NUM!</v>
      </c>
    </row>
    <row r="59" spans="1:19">
      <c r="A59" t="s">
        <v>24</v>
      </c>
      <c r="B59" t="s">
        <v>107</v>
      </c>
      <c r="C59">
        <v>3</v>
      </c>
      <c r="D59">
        <v>1</v>
      </c>
      <c r="E59">
        <v>100</v>
      </c>
      <c r="F59" s="7">
        <v>0.1036</v>
      </c>
      <c r="G59">
        <v>49.995100000000001</v>
      </c>
      <c r="H59">
        <v>9.1</v>
      </c>
      <c r="I59">
        <f t="shared" si="0"/>
        <v>9.1000000000000004E-3</v>
      </c>
      <c r="J59" s="34">
        <f>I59*STD!$F$5/G59</f>
        <v>100.29182859920273</v>
      </c>
      <c r="K59" s="37">
        <v>97000</v>
      </c>
      <c r="L59" s="13">
        <f t="shared" si="1"/>
        <v>97</v>
      </c>
      <c r="M59" s="40">
        <f t="shared" si="6"/>
        <v>1588564.6718146759</v>
      </c>
      <c r="N59" s="40">
        <f t="shared" si="2"/>
        <v>16376.955379532741</v>
      </c>
      <c r="O59" s="41">
        <f t="shared" si="3"/>
        <v>4.2142331657534058</v>
      </c>
      <c r="P59" s="11">
        <f t="shared" si="4"/>
        <v>1.9867717342662448</v>
      </c>
      <c r="Q59" s="34">
        <f t="shared" si="5"/>
        <v>6.201004900019651</v>
      </c>
    </row>
    <row r="60" spans="1:19">
      <c r="A60" t="s">
        <v>24</v>
      </c>
      <c r="B60" t="s">
        <v>107</v>
      </c>
      <c r="C60">
        <v>4</v>
      </c>
      <c r="D60">
        <v>1</v>
      </c>
      <c r="E60">
        <v>1000</v>
      </c>
      <c r="F60" s="7">
        <v>0.10009999999999999</v>
      </c>
      <c r="G60">
        <v>50.022300000000001</v>
      </c>
      <c r="H60">
        <f>50+40.5</f>
        <v>90.5</v>
      </c>
      <c r="I60">
        <f t="shared" si="0"/>
        <v>9.0499999999999997E-2</v>
      </c>
      <c r="J60" s="34">
        <f>I60*STD!$F$5/G60</f>
        <v>996.86539803247751</v>
      </c>
      <c r="K60" s="37">
        <v>910000</v>
      </c>
      <c r="L60" s="13">
        <f t="shared" si="1"/>
        <v>910</v>
      </c>
      <c r="M60" s="40">
        <f t="shared" si="6"/>
        <v>43408661.338661365</v>
      </c>
      <c r="N60" s="40">
        <f t="shared" si="2"/>
        <v>47701.825646880621</v>
      </c>
      <c r="O60" s="41">
        <f t="shared" si="3"/>
        <v>4.6785350007003572</v>
      </c>
      <c r="P60" s="11">
        <f t="shared" si="4"/>
        <v>2.9590413923210934</v>
      </c>
      <c r="Q60" s="34">
        <f t="shared" si="5"/>
        <v>7.6375763930214511</v>
      </c>
    </row>
    <row r="61" spans="1:19" s="2" customFormat="1">
      <c r="A61" s="2" t="s">
        <v>24</v>
      </c>
      <c r="B61" s="2" t="s">
        <v>107</v>
      </c>
      <c r="C61" s="2">
        <v>5</v>
      </c>
      <c r="D61" s="2">
        <v>1</v>
      </c>
      <c r="E61" s="2">
        <v>5000</v>
      </c>
      <c r="F61" s="8">
        <v>0.1009</v>
      </c>
      <c r="G61" s="2">
        <v>49.995100000000001</v>
      </c>
      <c r="H61" s="42">
        <v>455</v>
      </c>
      <c r="I61" s="2">
        <f t="shared" si="0"/>
        <v>0.45500000000000002</v>
      </c>
      <c r="J61" s="38">
        <f>I61*STD!$F$5/G61</f>
        <v>5014.5914299601363</v>
      </c>
      <c r="K61" s="43">
        <v>6100000</v>
      </c>
      <c r="L61" s="2">
        <f t="shared" si="1"/>
        <v>6100</v>
      </c>
      <c r="M61" s="44">
        <f t="shared" si="6"/>
        <v>-537810802.77502429</v>
      </c>
      <c r="N61" s="44">
        <f t="shared" si="2"/>
        <v>-88165.705372954806</v>
      </c>
      <c r="O61" s="43" t="e">
        <f t="shared" si="3"/>
        <v>#NUM!</v>
      </c>
      <c r="P61" s="11">
        <f t="shared" si="4"/>
        <v>3.7853298350107671</v>
      </c>
      <c r="Q61" s="38" t="e">
        <f t="shared" si="5"/>
        <v>#NUM!</v>
      </c>
    </row>
    <row r="62" spans="1:19" s="46" customFormat="1">
      <c r="A62" s="46" t="s">
        <v>26</v>
      </c>
      <c r="B62" s="46" t="s">
        <v>107</v>
      </c>
      <c r="C62" s="47">
        <v>1</v>
      </c>
      <c r="D62" s="47">
        <v>1</v>
      </c>
      <c r="E62" s="46">
        <v>1</v>
      </c>
      <c r="F62" s="48">
        <v>9.8799999999999999E-2</v>
      </c>
      <c r="G62" s="46">
        <v>50.021299999999997</v>
      </c>
      <c r="H62" s="46">
        <f>50+40.5</f>
        <v>90.5</v>
      </c>
      <c r="I62" s="46">
        <f t="shared" si="0"/>
        <v>9.0499999999999997E-2</v>
      </c>
      <c r="J62" s="49">
        <f>I62*STD!$H$5/G62</f>
        <v>0.99688532685076159</v>
      </c>
      <c r="K62" s="50">
        <v>27</v>
      </c>
      <c r="L62" s="51">
        <f t="shared" si="1"/>
        <v>2.7E-2</v>
      </c>
      <c r="M62" s="52">
        <f t="shared" si="6"/>
        <v>491041.74999999994</v>
      </c>
      <c r="N62" s="52">
        <f t="shared" si="2"/>
        <v>18186731.481481481</v>
      </c>
      <c r="O62" s="53">
        <f t="shared" si="3"/>
        <v>7.2597546546926672</v>
      </c>
      <c r="P62" s="11">
        <f t="shared" si="4"/>
        <v>-1.5686362358410126</v>
      </c>
      <c r="Q62" s="54">
        <f t="shared" si="5"/>
        <v>5.691118418851655</v>
      </c>
    </row>
    <row r="63" spans="1:19" s="46" customFormat="1">
      <c r="A63" s="46" t="s">
        <v>26</v>
      </c>
      <c r="B63" s="46" t="s">
        <v>107</v>
      </c>
      <c r="C63" s="47">
        <v>1</v>
      </c>
      <c r="D63" s="47">
        <v>2</v>
      </c>
      <c r="E63" s="46">
        <v>1</v>
      </c>
      <c r="F63" s="48">
        <v>9.7600000000000006E-2</v>
      </c>
      <c r="G63" s="46">
        <v>49.9983</v>
      </c>
      <c r="H63" s="46">
        <f>50+40.5</f>
        <v>90.5</v>
      </c>
      <c r="I63" s="46">
        <f t="shared" si="0"/>
        <v>9.0499999999999997E-2</v>
      </c>
      <c r="J63" s="49">
        <f>I63*STD!$H$5/G63</f>
        <v>0.99734390969292952</v>
      </c>
      <c r="K63" s="50">
        <v>33</v>
      </c>
      <c r="L63" s="51">
        <f t="shared" si="1"/>
        <v>3.3000000000000002E-2</v>
      </c>
      <c r="M63" s="52">
        <f t="shared" si="6"/>
        <v>494011.84528688528</v>
      </c>
      <c r="N63" s="52">
        <f t="shared" si="2"/>
        <v>14970055.917784402</v>
      </c>
      <c r="O63" s="53">
        <f t="shared" si="3"/>
        <v>7.1752234225701637</v>
      </c>
      <c r="P63" s="11">
        <f t="shared" si="4"/>
        <v>-1.4814860601221125</v>
      </c>
      <c r="Q63" s="54">
        <f t="shared" si="5"/>
        <v>5.6937373624480507</v>
      </c>
    </row>
    <row r="64" spans="1:19" s="46" customFormat="1">
      <c r="A64" s="46" t="s">
        <v>26</v>
      </c>
      <c r="B64" s="46" t="s">
        <v>107</v>
      </c>
      <c r="C64" s="47">
        <v>1</v>
      </c>
      <c r="D64" s="47">
        <v>3</v>
      </c>
      <c r="E64" s="46">
        <v>1</v>
      </c>
      <c r="F64" s="48">
        <v>9.7199999999999995E-2</v>
      </c>
      <c r="G64" s="46">
        <v>49.993600000000001</v>
      </c>
      <c r="H64" s="46">
        <f>50+40.5</f>
        <v>90.5</v>
      </c>
      <c r="I64" s="46">
        <f t="shared" si="0"/>
        <v>9.0499999999999997E-2</v>
      </c>
      <c r="J64" s="49">
        <f>I64*STD!$H$5/G64</f>
        <v>0.99743767202201872</v>
      </c>
      <c r="K64" s="50">
        <v>45</v>
      </c>
      <c r="L64" s="51">
        <f t="shared" si="1"/>
        <v>4.4999999999999998E-2</v>
      </c>
      <c r="M64" s="52">
        <f t="shared" si="6"/>
        <v>489874.36213991768</v>
      </c>
      <c r="N64" s="52">
        <f t="shared" si="2"/>
        <v>10886096.936442615</v>
      </c>
      <c r="O64" s="53">
        <f t="shared" si="3"/>
        <v>7.0368721972210588</v>
      </c>
      <c r="P64" s="11">
        <f t="shared" si="4"/>
        <v>-1.3467874862246563</v>
      </c>
      <c r="Q64" s="54">
        <f t="shared" si="5"/>
        <v>5.6900847109964028</v>
      </c>
    </row>
    <row r="65" spans="1:19">
      <c r="A65" t="s">
        <v>26</v>
      </c>
      <c r="B65" t="s">
        <v>107</v>
      </c>
      <c r="C65" s="3">
        <v>2</v>
      </c>
      <c r="D65">
        <v>1</v>
      </c>
      <c r="E65">
        <v>10</v>
      </c>
      <c r="F65" s="7">
        <v>9.69E-2</v>
      </c>
      <c r="G65">
        <v>50.006500000000003</v>
      </c>
      <c r="H65">
        <f>900+7.4</f>
        <v>907.4</v>
      </c>
      <c r="I65">
        <f t="shared" si="0"/>
        <v>0.90739999999999998</v>
      </c>
      <c r="J65" s="39">
        <f>I65*STD!$H$5/G65</f>
        <v>9.9982482277303948</v>
      </c>
      <c r="K65" s="37">
        <v>440</v>
      </c>
      <c r="L65" s="13">
        <f t="shared" si="1"/>
        <v>0.44</v>
      </c>
      <c r="M65" s="40">
        <f t="shared" si="6"/>
        <v>4932657.7915376676</v>
      </c>
      <c r="N65" s="40">
        <f t="shared" si="2"/>
        <v>11210585.889858335</v>
      </c>
      <c r="O65" s="41">
        <f t="shared" si="3"/>
        <v>7.0496283103722561</v>
      </c>
      <c r="P65" s="11">
        <f t="shared" si="4"/>
        <v>-0.35654732351381258</v>
      </c>
      <c r="Q65" s="34">
        <f t="shared" si="5"/>
        <v>6.6930809868584431</v>
      </c>
    </row>
    <row r="66" spans="1:19">
      <c r="A66" t="s">
        <v>26</v>
      </c>
      <c r="B66" t="s">
        <v>107</v>
      </c>
      <c r="C66" s="3">
        <v>2</v>
      </c>
      <c r="D66">
        <v>2</v>
      </c>
      <c r="E66">
        <v>10</v>
      </c>
      <c r="F66" s="7">
        <v>9.9500000000000005E-2</v>
      </c>
      <c r="G66">
        <v>49.994599999999998</v>
      </c>
      <c r="H66">
        <f>900+7.4</f>
        <v>907.4</v>
      </c>
      <c r="I66">
        <f t="shared" si="0"/>
        <v>0.90739999999999998</v>
      </c>
      <c r="J66" s="39">
        <f>I66*STD!$H$5/G66</f>
        <v>10.000628067831325</v>
      </c>
      <c r="K66" s="37">
        <v>400</v>
      </c>
      <c r="L66" s="13">
        <f t="shared" si="1"/>
        <v>0.4</v>
      </c>
      <c r="M66" s="40">
        <f t="shared" si="6"/>
        <v>4823915.1758793965</v>
      </c>
      <c r="N66" s="40">
        <f t="shared" si="2"/>
        <v>12059787.939698491</v>
      </c>
      <c r="O66" s="41">
        <f t="shared" si="3"/>
        <v>7.0813396712014383</v>
      </c>
      <c r="P66" s="11">
        <f t="shared" si="4"/>
        <v>-0.3979400086720376</v>
      </c>
      <c r="Q66" s="34">
        <f t="shared" si="5"/>
        <v>6.6833996625294008</v>
      </c>
    </row>
    <row r="67" spans="1:19">
      <c r="A67" t="s">
        <v>26</v>
      </c>
      <c r="B67" t="s">
        <v>107</v>
      </c>
      <c r="C67" s="3">
        <v>2</v>
      </c>
      <c r="D67">
        <v>3</v>
      </c>
      <c r="E67">
        <v>10</v>
      </c>
      <c r="F67" s="7">
        <v>9.5699999999999993E-2</v>
      </c>
      <c r="G67">
        <v>50.005499999999998</v>
      </c>
      <c r="H67">
        <f>900+7.4</f>
        <v>907.4</v>
      </c>
      <c r="I67">
        <f t="shared" ref="I67:I130" si="7">H67/1000</f>
        <v>0.90739999999999998</v>
      </c>
      <c r="J67" s="39">
        <f>I67*STD!$H$5/G67</f>
        <v>9.9984481707012236</v>
      </c>
      <c r="K67" s="37">
        <v>520</v>
      </c>
      <c r="L67" s="13">
        <f t="shared" ref="L67:L130" si="8">K67/1000</f>
        <v>0.52</v>
      </c>
      <c r="M67" s="40">
        <f t="shared" ref="M67:M126" si="9">(J67*G67-L67*G67)/(F67/1000)</f>
        <v>4952712.0167189138</v>
      </c>
      <c r="N67" s="40">
        <f t="shared" ref="N67:N126" si="10">M67/L67</f>
        <v>9524446.1859979108</v>
      </c>
      <c r="O67" s="41">
        <f t="shared" ref="O67:O126" si="11">LOG(N67)</f>
        <v>6.9788397323416058</v>
      </c>
      <c r="P67" s="11">
        <f t="shared" ref="P67:P126" si="12">LOG(L67)</f>
        <v>-0.28399665636520083</v>
      </c>
      <c r="Q67" s="34">
        <f t="shared" ref="Q67:Q126" si="13">LOG(M67)</f>
        <v>6.6948430759764053</v>
      </c>
    </row>
    <row r="68" spans="1:19" s="46" customFormat="1">
      <c r="A68" s="46" t="s">
        <v>26</v>
      </c>
      <c r="B68" s="46" t="s">
        <v>107</v>
      </c>
      <c r="C68" s="47">
        <v>3</v>
      </c>
      <c r="D68" s="47">
        <v>1</v>
      </c>
      <c r="E68" s="46">
        <v>100</v>
      </c>
      <c r="F68" s="48">
        <v>9.8699999999999996E-2</v>
      </c>
      <c r="G68" s="46">
        <v>49.997500000000002</v>
      </c>
      <c r="H68" s="46">
        <v>9.1</v>
      </c>
      <c r="I68" s="46">
        <f t="shared" si="7"/>
        <v>9.1000000000000004E-3</v>
      </c>
      <c r="J68" s="49">
        <f>I68*STD!$F$5/G68</f>
        <v>100.28701435071754</v>
      </c>
      <c r="K68" s="50">
        <v>5400</v>
      </c>
      <c r="L68" s="51">
        <f t="shared" si="8"/>
        <v>5.4</v>
      </c>
      <c r="M68" s="52">
        <f t="shared" si="9"/>
        <v>48065992.907801419</v>
      </c>
      <c r="N68" s="52">
        <f t="shared" si="10"/>
        <v>8901109.7977410033</v>
      </c>
      <c r="O68" s="53">
        <f t="shared" si="11"/>
        <v>6.949444158216477</v>
      </c>
      <c r="P68" s="11">
        <f t="shared" si="12"/>
        <v>0.7323937598229685</v>
      </c>
      <c r="Q68" s="54">
        <f t="shared" si="13"/>
        <v>7.681837918039446</v>
      </c>
    </row>
    <row r="69" spans="1:19" s="46" customFormat="1">
      <c r="A69" s="46" t="s">
        <v>26</v>
      </c>
      <c r="B69" s="46" t="s">
        <v>107</v>
      </c>
      <c r="C69" s="47">
        <v>3</v>
      </c>
      <c r="D69" s="47">
        <v>2</v>
      </c>
      <c r="E69" s="46">
        <v>100</v>
      </c>
      <c r="F69" s="48">
        <v>9.4299999999999995E-2</v>
      </c>
      <c r="G69" s="46">
        <v>50.017200000000003</v>
      </c>
      <c r="H69" s="46">
        <v>9.1</v>
      </c>
      <c r="I69" s="46">
        <f t="shared" si="7"/>
        <v>9.1000000000000004E-3</v>
      </c>
      <c r="J69" s="49">
        <f>I69*STD!$F$5/G69</f>
        <v>100.24751485488991</v>
      </c>
      <c r="K69" s="50">
        <v>7300</v>
      </c>
      <c r="L69" s="51">
        <f t="shared" si="8"/>
        <v>7.3</v>
      </c>
      <c r="M69" s="52">
        <f t="shared" si="9"/>
        <v>49299834.994697779</v>
      </c>
      <c r="N69" s="52">
        <f t="shared" si="10"/>
        <v>6753402.0540681891</v>
      </c>
      <c r="O69" s="53">
        <f t="shared" si="11"/>
        <v>6.8295226055865479</v>
      </c>
      <c r="P69" s="11">
        <f t="shared" si="12"/>
        <v>0.86332286012045589</v>
      </c>
      <c r="Q69" s="54">
        <f t="shared" si="13"/>
        <v>7.6928454657070038</v>
      </c>
    </row>
    <row r="70" spans="1:19" s="46" customFormat="1">
      <c r="A70" s="46" t="s">
        <v>26</v>
      </c>
      <c r="B70" s="46" t="s">
        <v>107</v>
      </c>
      <c r="C70" s="47">
        <v>3</v>
      </c>
      <c r="D70" s="47">
        <v>3</v>
      </c>
      <c r="E70" s="46">
        <v>100</v>
      </c>
      <c r="F70" s="48">
        <v>9.8100000000000007E-2</v>
      </c>
      <c r="G70" s="46">
        <v>49.997700000000002</v>
      </c>
      <c r="H70" s="46">
        <v>9.1</v>
      </c>
      <c r="I70" s="46">
        <f t="shared" si="7"/>
        <v>9.1000000000000004E-3</v>
      </c>
      <c r="J70" s="49">
        <f>I70*STD!$F$5/G70</f>
        <v>100.28661318420647</v>
      </c>
      <c r="K70" s="50">
        <v>6100</v>
      </c>
      <c r="L70" s="51">
        <f t="shared" si="8"/>
        <v>6.1</v>
      </c>
      <c r="M70" s="52">
        <f t="shared" si="9"/>
        <v>48003201.121304788</v>
      </c>
      <c r="N70" s="52">
        <f t="shared" si="10"/>
        <v>7869377.2330007851</v>
      </c>
      <c r="O70" s="53">
        <f t="shared" si="11"/>
        <v>6.8959403645098911</v>
      </c>
      <c r="P70" s="11">
        <f t="shared" si="12"/>
        <v>0.78532983501076703</v>
      </c>
      <c r="Q70" s="54">
        <f t="shared" si="13"/>
        <v>7.6812701995206583</v>
      </c>
    </row>
    <row r="71" spans="1:19">
      <c r="A71" t="s">
        <v>26</v>
      </c>
      <c r="B71" t="s">
        <v>107</v>
      </c>
      <c r="C71" s="3">
        <v>4</v>
      </c>
      <c r="D71">
        <v>1</v>
      </c>
      <c r="E71">
        <v>1000</v>
      </c>
      <c r="F71" s="7">
        <v>9.8400000000000001E-2</v>
      </c>
      <c r="G71">
        <v>49.9925</v>
      </c>
      <c r="H71">
        <f>50+40.5</f>
        <v>90.5</v>
      </c>
      <c r="I71">
        <f t="shared" si="7"/>
        <v>9.0499999999999997E-2</v>
      </c>
      <c r="J71" s="39">
        <f>I71*STD!$F$5/G71</f>
        <v>997.45961894284142</v>
      </c>
      <c r="K71" s="37">
        <v>370000</v>
      </c>
      <c r="L71" s="13">
        <f t="shared" si="8"/>
        <v>370</v>
      </c>
      <c r="M71" s="40">
        <f t="shared" si="9"/>
        <v>318783282.52032518</v>
      </c>
      <c r="N71" s="40">
        <f t="shared" si="10"/>
        <v>861576.43924412213</v>
      </c>
      <c r="O71" s="41">
        <f t="shared" si="11"/>
        <v>5.935293814191767</v>
      </c>
      <c r="P71" s="11">
        <f t="shared" si="12"/>
        <v>2.568201724066995</v>
      </c>
      <c r="Q71" s="34">
        <f t="shared" si="13"/>
        <v>8.5034955382587629</v>
      </c>
    </row>
    <row r="72" spans="1:19">
      <c r="A72" t="s">
        <v>26</v>
      </c>
      <c r="B72" t="s">
        <v>107</v>
      </c>
      <c r="C72" s="3">
        <v>4</v>
      </c>
      <c r="D72">
        <v>2</v>
      </c>
      <c r="E72">
        <v>1000</v>
      </c>
      <c r="F72" s="7">
        <v>0.1042</v>
      </c>
      <c r="G72">
        <v>50.0167</v>
      </c>
      <c r="H72">
        <f>50+40.5</f>
        <v>90.5</v>
      </c>
      <c r="I72">
        <f t="shared" si="7"/>
        <v>9.0499999999999997E-2</v>
      </c>
      <c r="J72" s="39">
        <f>I72*STD!$F$5/G72</f>
        <v>996.97700967876733</v>
      </c>
      <c r="K72" s="37">
        <v>360000</v>
      </c>
      <c r="L72" s="13">
        <f t="shared" si="8"/>
        <v>360</v>
      </c>
      <c r="M72" s="40">
        <f t="shared" si="9"/>
        <v>305753243.76199615</v>
      </c>
      <c r="N72" s="40">
        <f t="shared" si="10"/>
        <v>849314.56600554485</v>
      </c>
      <c r="O72" s="41">
        <f t="shared" si="11"/>
        <v>5.9290685724323282</v>
      </c>
      <c r="P72" s="11">
        <f t="shared" si="12"/>
        <v>2.5563025007672873</v>
      </c>
      <c r="Q72" s="34">
        <f t="shared" si="13"/>
        <v>8.4853710731996159</v>
      </c>
    </row>
    <row r="73" spans="1:19" ht="15.75" customHeight="1">
      <c r="A73" t="s">
        <v>26</v>
      </c>
      <c r="B73" t="s">
        <v>107</v>
      </c>
      <c r="C73" s="3">
        <v>4</v>
      </c>
      <c r="D73">
        <v>3</v>
      </c>
      <c r="E73">
        <v>1000</v>
      </c>
      <c r="F73" s="7">
        <v>9.6199999999999994E-2</v>
      </c>
      <c r="G73">
        <v>50.010399999999997</v>
      </c>
      <c r="H73">
        <f>50+40.5</f>
        <v>90.5</v>
      </c>
      <c r="I73">
        <f t="shared" si="7"/>
        <v>9.0499999999999997E-2</v>
      </c>
      <c r="J73" s="39">
        <f>I73*STD!$F$5/G73</f>
        <v>997.10260265864702</v>
      </c>
      <c r="K73" s="37">
        <v>360000</v>
      </c>
      <c r="L73" s="13">
        <f t="shared" si="8"/>
        <v>360</v>
      </c>
      <c r="M73" s="40">
        <f t="shared" si="9"/>
        <v>331203284.82328486</v>
      </c>
      <c r="N73" s="40">
        <f t="shared" si="10"/>
        <v>920009.12450912467</v>
      </c>
      <c r="O73" s="41">
        <f t="shared" si="11"/>
        <v>5.9637921346328513</v>
      </c>
      <c r="P73" s="11">
        <f t="shared" si="12"/>
        <v>2.5563025007672873</v>
      </c>
      <c r="Q73" s="34">
        <f t="shared" si="13"/>
        <v>8.5200946354001381</v>
      </c>
    </row>
    <row r="74" spans="1:19" s="46" customFormat="1">
      <c r="A74" s="46" t="s">
        <v>26</v>
      </c>
      <c r="B74" s="46" t="s">
        <v>107</v>
      </c>
      <c r="C74" s="47">
        <v>5</v>
      </c>
      <c r="D74" s="47">
        <v>1</v>
      </c>
      <c r="E74" s="46">
        <v>5000</v>
      </c>
      <c r="F74" s="48">
        <v>9.7299999999999998E-2</v>
      </c>
      <c r="G74" s="46">
        <v>49.998399999999997</v>
      </c>
      <c r="H74" s="51">
        <v>455</v>
      </c>
      <c r="I74" s="46">
        <f t="shared" si="7"/>
        <v>0.45500000000000002</v>
      </c>
      <c r="J74" s="49">
        <f>I74*STD!$F$5/G74</f>
        <v>5014.2604563346031</v>
      </c>
      <c r="K74" s="50">
        <v>4600000</v>
      </c>
      <c r="L74" s="51">
        <f t="shared" si="8"/>
        <v>4600</v>
      </c>
      <c r="M74" s="52">
        <f t="shared" si="9"/>
        <v>212871120.24665999</v>
      </c>
      <c r="N74" s="52">
        <f t="shared" si="10"/>
        <v>46276.330488404346</v>
      </c>
      <c r="O74" s="53">
        <f t="shared" si="11"/>
        <v>4.6653589139828169</v>
      </c>
      <c r="P74" s="11">
        <f t="shared" si="12"/>
        <v>3.6627578316815739</v>
      </c>
      <c r="Q74" s="54">
        <f t="shared" si="13"/>
        <v>8.3281167456643903</v>
      </c>
    </row>
    <row r="75" spans="1:19" s="46" customFormat="1">
      <c r="A75" s="46" t="s">
        <v>26</v>
      </c>
      <c r="B75" s="46" t="s">
        <v>107</v>
      </c>
      <c r="C75" s="47">
        <v>5</v>
      </c>
      <c r="D75" s="47">
        <v>2</v>
      </c>
      <c r="E75" s="46">
        <v>5000</v>
      </c>
      <c r="F75" s="48">
        <v>0.1007</v>
      </c>
      <c r="G75" s="46">
        <v>49.993899999999996</v>
      </c>
      <c r="H75" s="51">
        <v>455</v>
      </c>
      <c r="I75" s="46">
        <f t="shared" si="7"/>
        <v>0.45500000000000002</v>
      </c>
      <c r="J75" s="49">
        <f>I75*STD!$F$5/G75</f>
        <v>5014.7117948389705</v>
      </c>
      <c r="K75" s="50">
        <v>4300000</v>
      </c>
      <c r="L75" s="51">
        <f t="shared" si="8"/>
        <v>4300</v>
      </c>
      <c r="M75" s="52">
        <f t="shared" si="9"/>
        <v>354828500.49652445</v>
      </c>
      <c r="N75" s="52">
        <f t="shared" si="10"/>
        <v>82518.255929424296</v>
      </c>
      <c r="O75" s="53">
        <f t="shared" si="11"/>
        <v>4.9165500403356326</v>
      </c>
      <c r="P75" s="11">
        <f t="shared" si="12"/>
        <v>3.6334684555795866</v>
      </c>
      <c r="Q75" s="54">
        <f t="shared" si="13"/>
        <v>8.5500184959152197</v>
      </c>
    </row>
    <row r="76" spans="1:19" s="55" customFormat="1">
      <c r="A76" s="55" t="s">
        <v>26</v>
      </c>
      <c r="B76" s="55" t="s">
        <v>107</v>
      </c>
      <c r="C76" s="56">
        <v>5</v>
      </c>
      <c r="D76" s="56">
        <v>3</v>
      </c>
      <c r="E76" s="55">
        <v>5000</v>
      </c>
      <c r="F76" s="57">
        <v>9.7100000000000006E-2</v>
      </c>
      <c r="G76" s="55">
        <v>50.014099999999999</v>
      </c>
      <c r="H76" s="55">
        <v>455</v>
      </c>
      <c r="I76" s="55">
        <f t="shared" si="7"/>
        <v>0.45500000000000002</v>
      </c>
      <c r="J76" s="58">
        <f>I76*STD!$F$5/G76</f>
        <v>5012.6864224288747</v>
      </c>
      <c r="K76" s="59">
        <v>4900000</v>
      </c>
      <c r="L76" s="55">
        <f t="shared" si="8"/>
        <v>4900</v>
      </c>
      <c r="M76" s="60">
        <f t="shared" si="9"/>
        <v>58042327.497425072</v>
      </c>
      <c r="N76" s="60">
        <f t="shared" si="10"/>
        <v>11845.372958658178</v>
      </c>
      <c r="O76" s="59">
        <f t="shared" si="11"/>
        <v>4.0735487392957852</v>
      </c>
      <c r="P76" s="11">
        <f t="shared" si="12"/>
        <v>3.6901960800285138</v>
      </c>
      <c r="Q76" s="58">
        <f t="shared" si="13"/>
        <v>7.7637448193242982</v>
      </c>
    </row>
    <row r="77" spans="1:19">
      <c r="A77" t="s">
        <v>42</v>
      </c>
      <c r="B77" t="s">
        <v>107</v>
      </c>
      <c r="C77">
        <v>1</v>
      </c>
      <c r="D77">
        <v>1</v>
      </c>
      <c r="E77">
        <v>1</v>
      </c>
      <c r="F77" s="7">
        <v>9.7100000000000006E-2</v>
      </c>
      <c r="G77">
        <v>49.996400000000001</v>
      </c>
      <c r="H77">
        <f>50+40.5</f>
        <v>90.5</v>
      </c>
      <c r="I77">
        <f t="shared" si="7"/>
        <v>9.0499999999999997E-2</v>
      </c>
      <c r="J77" s="39">
        <f>I77*STD!$H$5/G77</f>
        <v>0.99738181149042726</v>
      </c>
      <c r="K77" s="37">
        <v>16</v>
      </c>
      <c r="L77" s="13">
        <f t="shared" si="8"/>
        <v>1.6E-2</v>
      </c>
      <c r="M77" s="40">
        <f t="shared" si="9"/>
        <v>505309.55303810502</v>
      </c>
      <c r="N77" s="40">
        <f t="shared" si="10"/>
        <v>31581847.064881563</v>
      </c>
      <c r="O77" s="41">
        <f t="shared" si="11"/>
        <v>7.4994375261354751</v>
      </c>
      <c r="P77" s="11">
        <f t="shared" si="12"/>
        <v>-1.7958800173440752</v>
      </c>
      <c r="Q77" s="34">
        <f t="shared" si="13"/>
        <v>5.7035575087914001</v>
      </c>
      <c r="R77" s="34">
        <f>INTERCEPT(Q77:Q81,P77:P81)</f>
        <v>7.1054368178059724</v>
      </c>
      <c r="S77" s="34">
        <f>SLOPE(Q77:Q81,P77:P81)</f>
        <v>0.57287877038576784</v>
      </c>
    </row>
    <row r="78" spans="1:19">
      <c r="A78" t="s">
        <v>42</v>
      </c>
      <c r="B78" t="s">
        <v>107</v>
      </c>
      <c r="C78">
        <v>2</v>
      </c>
      <c r="D78">
        <v>1</v>
      </c>
      <c r="E78">
        <v>10</v>
      </c>
      <c r="F78" s="7">
        <v>9.7900000000000001E-2</v>
      </c>
      <c r="G78">
        <v>50.016300000000001</v>
      </c>
      <c r="H78">
        <f>900+7.4</f>
        <v>907.4</v>
      </c>
      <c r="I78">
        <f t="shared" si="7"/>
        <v>0.90739999999999998</v>
      </c>
      <c r="J78" s="34">
        <f>I78*STD!$H$5/G78</f>
        <v>9.9962892097176308</v>
      </c>
      <c r="K78" s="37">
        <v>230</v>
      </c>
      <c r="L78" s="13">
        <f t="shared" si="8"/>
        <v>0.23</v>
      </c>
      <c r="M78" s="40">
        <f t="shared" si="9"/>
        <v>4989516.3534218585</v>
      </c>
      <c r="N78" s="40">
        <f t="shared" si="10"/>
        <v>21693549.362703733</v>
      </c>
      <c r="O78" s="41">
        <f t="shared" si="11"/>
        <v>7.3363306143713576</v>
      </c>
      <c r="P78" s="11">
        <f t="shared" si="12"/>
        <v>-0.63827216398240705</v>
      </c>
      <c r="Q78" s="34">
        <f t="shared" si="13"/>
        <v>6.6980584503889506</v>
      </c>
    </row>
    <row r="79" spans="1:19">
      <c r="A79" t="s">
        <v>42</v>
      </c>
      <c r="B79" t="s">
        <v>107</v>
      </c>
      <c r="C79">
        <v>3</v>
      </c>
      <c r="D79">
        <v>1</v>
      </c>
      <c r="E79">
        <v>100</v>
      </c>
      <c r="F79" s="7">
        <v>9.7799999999999998E-2</v>
      </c>
      <c r="G79">
        <v>50.002499999999998</v>
      </c>
      <c r="H79">
        <v>9.1</v>
      </c>
      <c r="I79">
        <f t="shared" si="7"/>
        <v>9.1000000000000004E-3</v>
      </c>
      <c r="J79" s="34">
        <f>I79*STD!$F$5/G79</f>
        <v>100.27698615069248</v>
      </c>
      <c r="K79" s="37">
        <v>1200</v>
      </c>
      <c r="L79" s="13">
        <f t="shared" si="8"/>
        <v>1.2</v>
      </c>
      <c r="M79" s="40">
        <f t="shared" si="9"/>
        <v>50655388.548057273</v>
      </c>
      <c r="N79" s="40">
        <f t="shared" si="10"/>
        <v>42212823.790047728</v>
      </c>
      <c r="O79" s="41">
        <f t="shared" si="11"/>
        <v>7.6254444048769106</v>
      </c>
      <c r="P79" s="11">
        <f t="shared" si="12"/>
        <v>7.9181246047624818E-2</v>
      </c>
      <c r="Q79" s="34">
        <f t="shared" si="13"/>
        <v>7.7046256509245357</v>
      </c>
    </row>
    <row r="80" spans="1:19">
      <c r="A80" t="s">
        <v>42</v>
      </c>
      <c r="B80" t="s">
        <v>107</v>
      </c>
      <c r="C80">
        <v>4</v>
      </c>
      <c r="D80">
        <v>1</v>
      </c>
      <c r="E80">
        <v>1000</v>
      </c>
      <c r="F80" s="7">
        <v>0.1013</v>
      </c>
      <c r="G80">
        <v>50.020499999999998</v>
      </c>
      <c r="H80">
        <f>50+40.5</f>
        <v>90.5</v>
      </c>
      <c r="I80">
        <f t="shared" si="7"/>
        <v>9.0499999999999997E-2</v>
      </c>
      <c r="J80" s="34">
        <f>I80*STD!$F$5/G80</f>
        <v>996.90127047910357</v>
      </c>
      <c r="K80" s="37">
        <v>190000</v>
      </c>
      <c r="L80" s="13">
        <f t="shared" si="8"/>
        <v>190</v>
      </c>
      <c r="M80" s="40">
        <f t="shared" si="9"/>
        <v>398436377.0977295</v>
      </c>
      <c r="N80" s="40">
        <f t="shared" si="10"/>
        <v>2097033.5636722606</v>
      </c>
      <c r="O80" s="41">
        <f t="shared" si="11"/>
        <v>6.3216053815387836</v>
      </c>
      <c r="P80" s="11">
        <f t="shared" si="12"/>
        <v>2.2787536009528289</v>
      </c>
      <c r="Q80" s="34">
        <f t="shared" si="13"/>
        <v>8.6003589824916133</v>
      </c>
    </row>
    <row r="81" spans="1:19" s="2" customFormat="1">
      <c r="A81" s="2" t="s">
        <v>42</v>
      </c>
      <c r="B81" s="2" t="s">
        <v>107</v>
      </c>
      <c r="C81" s="2">
        <v>5</v>
      </c>
      <c r="D81" s="2">
        <v>1</v>
      </c>
      <c r="E81" s="2">
        <v>5000</v>
      </c>
      <c r="F81" s="8">
        <v>9.8900000000000002E-2</v>
      </c>
      <c r="G81" s="2">
        <v>50.054499999999997</v>
      </c>
      <c r="H81" s="42">
        <v>455</v>
      </c>
      <c r="I81" s="2">
        <f t="shared" si="7"/>
        <v>0.45500000000000002</v>
      </c>
      <c r="J81" s="38">
        <f>I81*STD!$F$5/G81</f>
        <v>5008.6405817658751</v>
      </c>
      <c r="K81" s="43">
        <v>3700000</v>
      </c>
      <c r="L81" s="2">
        <f t="shared" si="8"/>
        <v>3700</v>
      </c>
      <c r="M81" s="44">
        <f t="shared" si="9"/>
        <v>662319009.10010087</v>
      </c>
      <c r="N81" s="44">
        <f t="shared" si="10"/>
        <v>179005.13759462186</v>
      </c>
      <c r="O81" s="43">
        <f t="shared" si="11"/>
        <v>5.2528654957674643</v>
      </c>
      <c r="P81" s="11">
        <f t="shared" si="12"/>
        <v>3.568201724066995</v>
      </c>
      <c r="Q81" s="38">
        <f t="shared" si="13"/>
        <v>8.8210672198344593</v>
      </c>
    </row>
    <row r="82" spans="1:19">
      <c r="A82" t="s">
        <v>43</v>
      </c>
      <c r="B82" t="s">
        <v>107</v>
      </c>
      <c r="C82">
        <v>1</v>
      </c>
      <c r="D82">
        <v>1</v>
      </c>
      <c r="E82">
        <v>1</v>
      </c>
      <c r="F82" s="7">
        <v>0.1046</v>
      </c>
      <c r="G82">
        <v>49.993400000000001</v>
      </c>
      <c r="H82">
        <f>50+40.5</f>
        <v>90.5</v>
      </c>
      <c r="I82">
        <f t="shared" si="7"/>
        <v>9.0499999999999997E-2</v>
      </c>
      <c r="J82" s="39">
        <f>I82*STD!$H$5/G82</f>
        <v>0.99744166229942344</v>
      </c>
      <c r="K82" s="37">
        <v>190</v>
      </c>
      <c r="L82" s="13">
        <f t="shared" si="8"/>
        <v>0.19</v>
      </c>
      <c r="M82" s="40">
        <f t="shared" si="9"/>
        <v>385915.43021032505</v>
      </c>
      <c r="N82" s="40">
        <f t="shared" si="10"/>
        <v>2031133.8432122371</v>
      </c>
      <c r="O82" s="41">
        <f t="shared" si="11"/>
        <v>6.3077385425349384</v>
      </c>
      <c r="P82" s="11">
        <f t="shared" si="12"/>
        <v>-0.72124639904717103</v>
      </c>
      <c r="Q82" s="34">
        <f t="shared" si="13"/>
        <v>5.5864921434877672</v>
      </c>
      <c r="R82" s="34">
        <f>INTERCEPT(Q82:Q86,P82:P86)</f>
        <v>6.2574632538491892</v>
      </c>
      <c r="S82" s="34">
        <f>SLOPE(Q82:Q86,P82:P86)</f>
        <v>0.64659732452843788</v>
      </c>
    </row>
    <row r="83" spans="1:19">
      <c r="A83" t="s">
        <v>43</v>
      </c>
      <c r="B83" t="s">
        <v>107</v>
      </c>
      <c r="C83">
        <v>2</v>
      </c>
      <c r="D83">
        <v>1</v>
      </c>
      <c r="E83">
        <v>10</v>
      </c>
      <c r="F83" s="7">
        <v>0.1031</v>
      </c>
      <c r="G83">
        <v>49.994199999999999</v>
      </c>
      <c r="H83">
        <f>900+7.4</f>
        <v>907.4</v>
      </c>
      <c r="I83">
        <f t="shared" si="7"/>
        <v>0.90739999999999998</v>
      </c>
      <c r="J83" s="34">
        <f>I83*STD!$H$5/G83</f>
        <v>10.000708082137528</v>
      </c>
      <c r="K83" s="37">
        <v>2800</v>
      </c>
      <c r="L83" s="13">
        <f t="shared" si="8"/>
        <v>2.8</v>
      </c>
      <c r="M83" s="40">
        <f t="shared" si="9"/>
        <v>3491693.8894277406</v>
      </c>
      <c r="N83" s="40">
        <f t="shared" si="10"/>
        <v>1247033.5319384788</v>
      </c>
      <c r="O83" s="41">
        <f t="shared" si="11"/>
        <v>6.0958781315379298</v>
      </c>
      <c r="P83" s="11">
        <f t="shared" si="12"/>
        <v>0.44715803134221921</v>
      </c>
      <c r="Q83" s="34">
        <f t="shared" si="13"/>
        <v>6.5430361628801492</v>
      </c>
    </row>
    <row r="84" spans="1:19">
      <c r="A84" t="s">
        <v>43</v>
      </c>
      <c r="B84" t="s">
        <v>107</v>
      </c>
      <c r="C84">
        <v>3</v>
      </c>
      <c r="D84">
        <v>1</v>
      </c>
      <c r="E84">
        <v>100</v>
      </c>
      <c r="F84" s="7">
        <v>0.1057</v>
      </c>
      <c r="G84">
        <v>50.011499999999998</v>
      </c>
      <c r="H84">
        <v>9.1</v>
      </c>
      <c r="I84">
        <f t="shared" si="7"/>
        <v>9.1000000000000004E-3</v>
      </c>
      <c r="J84" s="34">
        <f>I84*STD!$F$5/G84</f>
        <v>100.25894044369797</v>
      </c>
      <c r="K84" s="37">
        <v>33000</v>
      </c>
      <c r="L84" s="13">
        <f t="shared" si="8"/>
        <v>33</v>
      </c>
      <c r="M84" s="40">
        <f t="shared" si="9"/>
        <v>31823278.145695366</v>
      </c>
      <c r="N84" s="40">
        <f t="shared" si="10"/>
        <v>964341.76199076872</v>
      </c>
      <c r="O84" s="41">
        <f t="shared" si="11"/>
        <v>5.9842309748184865</v>
      </c>
      <c r="P84" s="11">
        <f t="shared" si="12"/>
        <v>1.5185139398778875</v>
      </c>
      <c r="Q84" s="34">
        <f t="shared" si="13"/>
        <v>7.5027449146963745</v>
      </c>
    </row>
    <row r="85" spans="1:19">
      <c r="A85" t="s">
        <v>43</v>
      </c>
      <c r="B85" t="s">
        <v>107</v>
      </c>
      <c r="C85">
        <v>4</v>
      </c>
      <c r="D85">
        <v>1</v>
      </c>
      <c r="E85">
        <v>1000</v>
      </c>
      <c r="F85" s="7">
        <v>0.10539999999999999</v>
      </c>
      <c r="G85">
        <v>50.001100000000001</v>
      </c>
      <c r="H85">
        <f>50+40.5</f>
        <v>90.5</v>
      </c>
      <c r="I85">
        <f t="shared" si="7"/>
        <v>9.0499999999999997E-2</v>
      </c>
      <c r="J85" s="34">
        <f>I85*STD!$F$5/G85</f>
        <v>997.28805966268737</v>
      </c>
      <c r="K85" s="37">
        <v>510000</v>
      </c>
      <c r="L85" s="13">
        <f t="shared" si="8"/>
        <v>510</v>
      </c>
      <c r="M85" s="40">
        <f t="shared" si="9"/>
        <v>231166404.17457306</v>
      </c>
      <c r="N85" s="40">
        <f t="shared" si="10"/>
        <v>453267.45916582952</v>
      </c>
      <c r="O85" s="41">
        <f t="shared" si="11"/>
        <v>5.656354541445638</v>
      </c>
      <c r="P85" s="11">
        <f t="shared" si="12"/>
        <v>2.7075701760979363</v>
      </c>
      <c r="Q85" s="34">
        <f t="shared" si="13"/>
        <v>8.3639247175435738</v>
      </c>
    </row>
    <row r="86" spans="1:19" s="2" customFormat="1">
      <c r="A86" s="2" t="s">
        <v>43</v>
      </c>
      <c r="B86" s="2" t="s">
        <v>107</v>
      </c>
      <c r="C86" s="2">
        <v>5</v>
      </c>
      <c r="D86" s="2">
        <v>1</v>
      </c>
      <c r="E86" s="2">
        <v>5000</v>
      </c>
      <c r="F86" s="8">
        <v>9.4299999999999995E-2</v>
      </c>
      <c r="G86" s="2">
        <v>50.005299999999998</v>
      </c>
      <c r="H86" s="42">
        <v>455</v>
      </c>
      <c r="I86" s="2">
        <f t="shared" si="7"/>
        <v>0.45500000000000002</v>
      </c>
      <c r="J86" s="38">
        <f>I86*STD!$F$5/G86</f>
        <v>5013.5685617324561</v>
      </c>
      <c r="K86" s="43">
        <v>4700000</v>
      </c>
      <c r="L86" s="2">
        <f t="shared" si="8"/>
        <v>4700</v>
      </c>
      <c r="M86" s="44">
        <f t="shared" si="9"/>
        <v>166278791.09225842</v>
      </c>
      <c r="N86" s="44">
        <f t="shared" si="10"/>
        <v>35378.46618984222</v>
      </c>
      <c r="O86" s="43">
        <f t="shared" si="11"/>
        <v>4.5487390004299133</v>
      </c>
      <c r="P86" s="11">
        <f t="shared" si="12"/>
        <v>3.6720978579357175</v>
      </c>
      <c r="Q86" s="38">
        <f t="shared" si="13"/>
        <v>8.2208368583656313</v>
      </c>
    </row>
    <row r="87" spans="1:19">
      <c r="A87" t="s">
        <v>44</v>
      </c>
      <c r="B87" t="s">
        <v>107</v>
      </c>
      <c r="C87">
        <v>1</v>
      </c>
      <c r="D87">
        <v>1</v>
      </c>
      <c r="E87">
        <v>1</v>
      </c>
      <c r="F87" s="7">
        <v>9.8199999999999996E-2</v>
      </c>
      <c r="G87">
        <v>50.0047</v>
      </c>
      <c r="H87">
        <f>50+40.5</f>
        <v>90.5</v>
      </c>
      <c r="I87">
        <f t="shared" si="7"/>
        <v>9.0499999999999997E-2</v>
      </c>
      <c r="J87" s="39">
        <f>I87*STD!$H$5/G87</f>
        <v>0.99721626167140287</v>
      </c>
      <c r="K87" s="37">
        <v>7.9</v>
      </c>
      <c r="L87" s="13">
        <f t="shared" si="8"/>
        <v>7.9000000000000008E-3</v>
      </c>
      <c r="M87" s="40">
        <f t="shared" si="9"/>
        <v>503772.53431771894</v>
      </c>
      <c r="N87" s="40">
        <f t="shared" si="10"/>
        <v>63768675.230090998</v>
      </c>
      <c r="O87" s="41">
        <f t="shared" si="11"/>
        <v>7.8046073947787331</v>
      </c>
      <c r="P87" s="11">
        <f t="shared" si="12"/>
        <v>-2.1023729087095586</v>
      </c>
      <c r="Q87" s="34">
        <f t="shared" si="13"/>
        <v>5.702234486069174</v>
      </c>
      <c r="R87" s="34">
        <f>INTERCEPT(Q87:Q91,P87:P91)</f>
        <v>7.2764649609487675</v>
      </c>
      <c r="S87" s="34">
        <f>SLOPE(Q87:Q91,P87:P91)</f>
        <v>0.64458326439597147</v>
      </c>
    </row>
    <row r="88" spans="1:19">
      <c r="A88" t="s">
        <v>44</v>
      </c>
      <c r="B88" t="s">
        <v>107</v>
      </c>
      <c r="C88">
        <v>2</v>
      </c>
      <c r="D88">
        <v>1</v>
      </c>
      <c r="E88">
        <v>10</v>
      </c>
      <c r="F88" s="7">
        <v>0.10199999999999999</v>
      </c>
      <c r="G88">
        <v>50.003799999999998</v>
      </c>
      <c r="H88">
        <f>900+7.4</f>
        <v>907.4</v>
      </c>
      <c r="I88">
        <f t="shared" si="7"/>
        <v>0.90739999999999998</v>
      </c>
      <c r="J88" s="34">
        <f>I88*STD!$H$5/G88</f>
        <v>9.9987880921050003</v>
      </c>
      <c r="K88" s="37">
        <v>99</v>
      </c>
      <c r="L88" s="13">
        <f t="shared" si="8"/>
        <v>9.9000000000000005E-2</v>
      </c>
      <c r="M88" s="40">
        <f t="shared" si="9"/>
        <v>4853206.1156862741</v>
      </c>
      <c r="N88" s="40">
        <f t="shared" si="10"/>
        <v>49022283.996831052</v>
      </c>
      <c r="O88" s="41">
        <f t="shared" si="11"/>
        <v>7.6903935415980786</v>
      </c>
      <c r="P88" s="11">
        <f t="shared" si="12"/>
        <v>-1.0043648054024501</v>
      </c>
      <c r="Q88" s="34">
        <f t="shared" si="13"/>
        <v>6.6860287361956292</v>
      </c>
    </row>
    <row r="89" spans="1:19">
      <c r="A89" t="s">
        <v>44</v>
      </c>
      <c r="B89" t="s">
        <v>107</v>
      </c>
      <c r="C89">
        <v>3</v>
      </c>
      <c r="D89">
        <v>1</v>
      </c>
      <c r="E89">
        <v>100</v>
      </c>
      <c r="F89" s="7">
        <v>0.1002</v>
      </c>
      <c r="G89">
        <v>50.008499999999998</v>
      </c>
      <c r="H89">
        <v>9.1</v>
      </c>
      <c r="I89">
        <f t="shared" si="7"/>
        <v>9.1000000000000004E-3</v>
      </c>
      <c r="J89" s="34">
        <f>I89*STD!$F$5/G89</f>
        <v>100.26495495765721</v>
      </c>
      <c r="K89" s="37">
        <v>1800</v>
      </c>
      <c r="L89" s="13">
        <f t="shared" si="8"/>
        <v>1.8</v>
      </c>
      <c r="M89" s="40">
        <f t="shared" si="9"/>
        <v>49142561.87624751</v>
      </c>
      <c r="N89" s="40">
        <f t="shared" si="10"/>
        <v>27301423.264581949</v>
      </c>
      <c r="O89" s="41">
        <f t="shared" si="11"/>
        <v>7.4361852880606198</v>
      </c>
      <c r="P89" s="11">
        <f t="shared" si="12"/>
        <v>0.25527250510330607</v>
      </c>
      <c r="Q89" s="34">
        <f t="shared" si="13"/>
        <v>7.6914577931639263</v>
      </c>
    </row>
    <row r="90" spans="1:19">
      <c r="A90" t="s">
        <v>44</v>
      </c>
      <c r="B90" t="s">
        <v>107</v>
      </c>
      <c r="C90">
        <v>4</v>
      </c>
      <c r="D90">
        <v>1</v>
      </c>
      <c r="E90">
        <v>1000</v>
      </c>
      <c r="F90" s="7">
        <v>0.1007</v>
      </c>
      <c r="G90">
        <v>50.022100000000002</v>
      </c>
      <c r="H90">
        <f>50+40.5</f>
        <v>90.5</v>
      </c>
      <c r="I90">
        <f t="shared" si="7"/>
        <v>9.0499999999999997E-2</v>
      </c>
      <c r="J90" s="34">
        <f>I90*STD!$F$5/G90</f>
        <v>996.86938373239025</v>
      </c>
      <c r="K90" s="37">
        <v>86000</v>
      </c>
      <c r="L90" s="13">
        <f t="shared" si="8"/>
        <v>86</v>
      </c>
      <c r="M90" s="40">
        <f t="shared" si="9"/>
        <v>452468713.00893748</v>
      </c>
      <c r="N90" s="40">
        <f t="shared" si="10"/>
        <v>5261264.1047550868</v>
      </c>
      <c r="O90" s="41">
        <f t="shared" si="11"/>
        <v>6.7210901030438608</v>
      </c>
      <c r="P90" s="11">
        <f t="shared" si="12"/>
        <v>1.9344984512435677</v>
      </c>
      <c r="Q90" s="34">
        <f t="shared" si="13"/>
        <v>8.6555885542874282</v>
      </c>
    </row>
    <row r="91" spans="1:19" s="2" customFormat="1">
      <c r="A91" s="2" t="s">
        <v>44</v>
      </c>
      <c r="B91" s="2" t="s">
        <v>107</v>
      </c>
      <c r="C91" s="2">
        <v>5</v>
      </c>
      <c r="D91" s="2">
        <v>1</v>
      </c>
      <c r="E91" s="2">
        <v>5000</v>
      </c>
      <c r="F91" s="8">
        <v>0.10539999999999999</v>
      </c>
      <c r="G91" s="2">
        <v>50.014800000000001</v>
      </c>
      <c r="H91" s="42">
        <v>455</v>
      </c>
      <c r="I91" s="2">
        <f t="shared" si="7"/>
        <v>0.45500000000000002</v>
      </c>
      <c r="J91" s="38">
        <f>I91*STD!$F$5/G91</f>
        <v>5012.6162655853868</v>
      </c>
      <c r="K91" s="43">
        <v>1900000</v>
      </c>
      <c r="L91" s="2">
        <f t="shared" si="8"/>
        <v>1900</v>
      </c>
      <c r="M91" s="44">
        <f t="shared" si="9"/>
        <v>1477010246.679317</v>
      </c>
      <c r="N91" s="44">
        <f t="shared" si="10"/>
        <v>777373.81404174573</v>
      </c>
      <c r="O91" s="43">
        <f t="shared" si="11"/>
        <v>5.8906299072642314</v>
      </c>
      <c r="P91" s="11">
        <f t="shared" si="12"/>
        <v>3.2787536009528289</v>
      </c>
      <c r="Q91" s="38">
        <f t="shared" si="13"/>
        <v>9.1693835082170612</v>
      </c>
    </row>
    <row r="92" spans="1:19">
      <c r="A92" t="s">
        <v>45</v>
      </c>
      <c r="B92" t="s">
        <v>107</v>
      </c>
      <c r="C92">
        <v>1</v>
      </c>
      <c r="D92">
        <v>1</v>
      </c>
      <c r="E92">
        <v>1</v>
      </c>
      <c r="F92" s="7">
        <v>0.1016</v>
      </c>
      <c r="G92">
        <v>49.992800000000003</v>
      </c>
      <c r="H92">
        <f>50+40.5</f>
        <v>90.5</v>
      </c>
      <c r="I92">
        <f t="shared" si="7"/>
        <v>9.0499999999999997E-2</v>
      </c>
      <c r="J92" s="39">
        <f>I92*STD!$H$5/G92</f>
        <v>0.99745363332319847</v>
      </c>
      <c r="K92" s="37">
        <v>530</v>
      </c>
      <c r="L92" s="13">
        <f t="shared" si="8"/>
        <v>0.53</v>
      </c>
      <c r="M92" s="40">
        <f t="shared" si="9"/>
        <v>230012.95275590548</v>
      </c>
      <c r="N92" s="40">
        <f t="shared" si="10"/>
        <v>433986.7033130292</v>
      </c>
      <c r="O92" s="41">
        <f t="shared" si="11"/>
        <v>5.6374764235995114</v>
      </c>
      <c r="P92" s="11">
        <f t="shared" si="12"/>
        <v>-0.27572413039921095</v>
      </c>
      <c r="Q92" s="34">
        <f t="shared" si="13"/>
        <v>5.3617522932003006</v>
      </c>
      <c r="R92" s="34" t="e">
        <f>INTERCEPT(Q92:Q96,P92:P96)</f>
        <v>#NUM!</v>
      </c>
      <c r="S92" s="34" t="e">
        <f>SLOPE(Q92:Q96,P92:P96)</f>
        <v>#NUM!</v>
      </c>
    </row>
    <row r="93" spans="1:19">
      <c r="A93" t="s">
        <v>45</v>
      </c>
      <c r="B93" t="s">
        <v>107</v>
      </c>
      <c r="C93">
        <v>2</v>
      </c>
      <c r="D93">
        <v>1</v>
      </c>
      <c r="E93">
        <v>10</v>
      </c>
      <c r="F93" s="7">
        <v>0.10050000000000001</v>
      </c>
      <c r="G93">
        <v>50.009799999999998</v>
      </c>
      <c r="H93">
        <f>900+7.4</f>
        <v>907.4</v>
      </c>
      <c r="I93">
        <f t="shared" si="7"/>
        <v>0.90739999999999998</v>
      </c>
      <c r="J93" s="34">
        <f>I93*STD!$H$5/G93</f>
        <v>9.9975884726593591</v>
      </c>
      <c r="K93" s="37">
        <v>6600</v>
      </c>
      <c r="L93" s="13">
        <f t="shared" si="8"/>
        <v>6.6</v>
      </c>
      <c r="M93" s="40">
        <f t="shared" si="9"/>
        <v>1690673.8308457714</v>
      </c>
      <c r="N93" s="40">
        <f t="shared" si="10"/>
        <v>256162.7016432987</v>
      </c>
      <c r="O93" s="41">
        <f t="shared" si="11"/>
        <v>5.4085158949257455</v>
      </c>
      <c r="P93" s="11">
        <f t="shared" si="12"/>
        <v>0.81954393554186866</v>
      </c>
      <c r="Q93" s="34">
        <f t="shared" si="13"/>
        <v>6.2280598304676138</v>
      </c>
    </row>
    <row r="94" spans="1:19">
      <c r="A94" t="s">
        <v>45</v>
      </c>
      <c r="B94" t="s">
        <v>107</v>
      </c>
      <c r="C94">
        <v>3</v>
      </c>
      <c r="D94">
        <v>1</v>
      </c>
      <c r="E94">
        <v>100</v>
      </c>
      <c r="F94" s="7">
        <v>0.1013</v>
      </c>
      <c r="G94">
        <v>49.997199999999999</v>
      </c>
      <c r="H94">
        <v>9.1</v>
      </c>
      <c r="I94">
        <f t="shared" si="7"/>
        <v>9.1000000000000004E-3</v>
      </c>
      <c r="J94" s="34">
        <f>I94*STD!$F$5/G94</f>
        <v>100.28761610650197</v>
      </c>
      <c r="K94" s="37">
        <v>75000</v>
      </c>
      <c r="L94" s="13">
        <f t="shared" si="8"/>
        <v>75</v>
      </c>
      <c r="M94" s="40">
        <f t="shared" si="9"/>
        <v>12480848.963474832</v>
      </c>
      <c r="N94" s="40">
        <f t="shared" si="10"/>
        <v>166411.31951299775</v>
      </c>
      <c r="O94" s="41">
        <f t="shared" si="11"/>
        <v>5.2211828642313431</v>
      </c>
      <c r="P94" s="11">
        <f t="shared" si="12"/>
        <v>1.8750612633917001</v>
      </c>
      <c r="Q94" s="34">
        <f t="shared" si="13"/>
        <v>7.0962441276230432</v>
      </c>
    </row>
    <row r="95" spans="1:19">
      <c r="A95" t="s">
        <v>45</v>
      </c>
      <c r="B95" t="s">
        <v>107</v>
      </c>
      <c r="C95">
        <v>4</v>
      </c>
      <c r="D95">
        <v>1</v>
      </c>
      <c r="E95">
        <v>1000</v>
      </c>
      <c r="F95" s="7">
        <v>9.7900000000000001E-2</v>
      </c>
      <c r="G95">
        <v>49.990200000000002</v>
      </c>
      <c r="H95">
        <f>50+40.5</f>
        <v>90.5</v>
      </c>
      <c r="I95">
        <f t="shared" si="7"/>
        <v>9.0499999999999997E-2</v>
      </c>
      <c r="J95" s="34">
        <f>I95*STD!$F$5/G95</f>
        <v>997.50551108017169</v>
      </c>
      <c r="K95" s="37">
        <v>810000</v>
      </c>
      <c r="L95" s="13">
        <f t="shared" si="8"/>
        <v>810</v>
      </c>
      <c r="M95" s="40">
        <f t="shared" si="9"/>
        <v>95745025.536261514</v>
      </c>
      <c r="N95" s="40">
        <f t="shared" si="10"/>
        <v>118203.73522995248</v>
      </c>
      <c r="O95" s="41">
        <f t="shared" si="11"/>
        <v>5.0726312004380132</v>
      </c>
      <c r="P95" s="11">
        <f t="shared" si="12"/>
        <v>2.90848501887865</v>
      </c>
      <c r="Q95" s="34">
        <f t="shared" si="13"/>
        <v>7.9811162193166627</v>
      </c>
    </row>
    <row r="96" spans="1:19" s="2" customFormat="1">
      <c r="A96" s="2" t="s">
        <v>45</v>
      </c>
      <c r="B96" s="2" t="s">
        <v>107</v>
      </c>
      <c r="C96" s="2">
        <v>5</v>
      </c>
      <c r="D96" s="2">
        <v>1</v>
      </c>
      <c r="E96" s="2">
        <v>5000</v>
      </c>
      <c r="F96" s="8">
        <v>0.10390000000000001</v>
      </c>
      <c r="G96" s="2">
        <v>49.999699999999997</v>
      </c>
      <c r="H96" s="42">
        <v>455</v>
      </c>
      <c r="I96" s="2">
        <f t="shared" si="7"/>
        <v>0.45500000000000002</v>
      </c>
      <c r="J96" s="38">
        <f>I96*STD!$F$5/G96</f>
        <v>5014.1300847805087</v>
      </c>
      <c r="K96" s="43">
        <v>5500000</v>
      </c>
      <c r="L96" s="2">
        <f t="shared" si="8"/>
        <v>5500</v>
      </c>
      <c r="M96" s="44">
        <f t="shared" si="9"/>
        <v>-233814725.69778609</v>
      </c>
      <c r="N96" s="44">
        <f t="shared" si="10"/>
        <v>-42511.768308688377</v>
      </c>
      <c r="O96" s="43" t="e">
        <f t="shared" si="11"/>
        <v>#NUM!</v>
      </c>
      <c r="P96" s="11">
        <f t="shared" si="12"/>
        <v>3.7403626894942437</v>
      </c>
      <c r="Q96" s="38" t="e">
        <f t="shared" si="13"/>
        <v>#NUM!</v>
      </c>
    </row>
    <row r="97" spans="1:19">
      <c r="A97" t="s">
        <v>46</v>
      </c>
      <c r="B97" t="s">
        <v>107</v>
      </c>
      <c r="C97">
        <v>1</v>
      </c>
      <c r="D97">
        <v>1</v>
      </c>
      <c r="E97">
        <v>1</v>
      </c>
      <c r="F97" s="7">
        <v>0.1009</v>
      </c>
      <c r="G97" s="11">
        <v>49.991</v>
      </c>
      <c r="H97">
        <f>50+40.5</f>
        <v>90.5</v>
      </c>
      <c r="I97">
        <f t="shared" si="7"/>
        <v>9.0499999999999997E-2</v>
      </c>
      <c r="J97" s="39">
        <f>I97*STD!$H$5/G97</f>
        <v>0.99748954811866131</v>
      </c>
      <c r="K97" s="37">
        <v>2.9</v>
      </c>
      <c r="L97" s="13">
        <f t="shared" si="8"/>
        <v>2.8999999999999998E-3</v>
      </c>
      <c r="M97" s="40">
        <f t="shared" si="9"/>
        <v>492770.32804757188</v>
      </c>
      <c r="N97" s="40">
        <f t="shared" si="10"/>
        <v>169920802.7750248</v>
      </c>
      <c r="O97" s="41">
        <f t="shared" si="11"/>
        <v>8.2302465511900991</v>
      </c>
      <c r="P97" s="11">
        <f t="shared" si="12"/>
        <v>-2.5376020021010439</v>
      </c>
      <c r="Q97" s="34">
        <f t="shared" si="13"/>
        <v>5.6926445490890547</v>
      </c>
      <c r="R97" s="34">
        <f>INTERCEPT(Q97:Q101,P97:P101)</f>
        <v>7.2565987421804143</v>
      </c>
      <c r="S97" s="34">
        <f>SLOPE(Q97:Q101,P97:P101)</f>
        <v>0.60573652439963899</v>
      </c>
    </row>
    <row r="98" spans="1:19">
      <c r="A98" t="s">
        <v>46</v>
      </c>
      <c r="B98" t="s">
        <v>107</v>
      </c>
      <c r="C98">
        <v>2</v>
      </c>
      <c r="D98">
        <v>1</v>
      </c>
      <c r="E98">
        <v>10</v>
      </c>
      <c r="F98" s="7">
        <v>0.10580000000000001</v>
      </c>
      <c r="G98">
        <v>50.012700000000002</v>
      </c>
      <c r="H98">
        <f>900+7.4</f>
        <v>907.4</v>
      </c>
      <c r="I98">
        <f t="shared" si="7"/>
        <v>0.90739999999999998</v>
      </c>
      <c r="J98" s="34">
        <f>I98*STD!$H$5/G98</f>
        <v>9.9970087597750172</v>
      </c>
      <c r="K98" s="37">
        <v>190</v>
      </c>
      <c r="L98" s="13">
        <f t="shared" si="8"/>
        <v>0.19</v>
      </c>
      <c r="M98" s="40">
        <f t="shared" si="9"/>
        <v>4635869.4423440453</v>
      </c>
      <c r="N98" s="40">
        <f t="shared" si="10"/>
        <v>24399312.854442343</v>
      </c>
      <c r="O98" s="41">
        <f t="shared" si="11"/>
        <v>7.3873775956942174</v>
      </c>
      <c r="P98" s="11">
        <f t="shared" si="12"/>
        <v>-0.72124639904717103</v>
      </c>
      <c r="Q98" s="34">
        <f t="shared" si="13"/>
        <v>6.6661311966470462</v>
      </c>
    </row>
    <row r="99" spans="1:19">
      <c r="A99" t="s">
        <v>46</v>
      </c>
      <c r="B99" t="s">
        <v>107</v>
      </c>
      <c r="C99">
        <v>3</v>
      </c>
      <c r="D99">
        <v>1</v>
      </c>
      <c r="E99">
        <v>100</v>
      </c>
      <c r="F99" s="7">
        <v>0.1011</v>
      </c>
      <c r="G99">
        <v>50.083599999999997</v>
      </c>
      <c r="H99">
        <v>9.1</v>
      </c>
      <c r="I99">
        <f t="shared" si="7"/>
        <v>9.1000000000000004E-3</v>
      </c>
      <c r="J99" s="34">
        <f>I99*STD!$F$5/G99</f>
        <v>100.11460837479736</v>
      </c>
      <c r="K99" s="37">
        <v>2500</v>
      </c>
      <c r="L99" s="13">
        <f t="shared" si="8"/>
        <v>2.5</v>
      </c>
      <c r="M99" s="40">
        <f t="shared" si="9"/>
        <v>48356983.184965387</v>
      </c>
      <c r="N99" s="40">
        <f t="shared" si="10"/>
        <v>19342793.273986153</v>
      </c>
      <c r="O99" s="41">
        <f t="shared" si="11"/>
        <v>7.2865191903200373</v>
      </c>
      <c r="P99" s="11">
        <f t="shared" si="12"/>
        <v>0.3979400086720376</v>
      </c>
      <c r="Q99" s="34">
        <f t="shared" si="13"/>
        <v>7.6844591989920747</v>
      </c>
    </row>
    <row r="100" spans="1:19">
      <c r="A100" t="s">
        <v>46</v>
      </c>
      <c r="B100" t="s">
        <v>107</v>
      </c>
      <c r="C100">
        <v>4</v>
      </c>
      <c r="D100">
        <v>1</v>
      </c>
      <c r="E100">
        <v>1000</v>
      </c>
      <c r="F100" s="7">
        <v>0.1032</v>
      </c>
      <c r="G100">
        <v>50.001800000000003</v>
      </c>
      <c r="H100">
        <f>50+40.5</f>
        <v>90.5</v>
      </c>
      <c r="I100">
        <f t="shared" si="7"/>
        <v>9.0499999999999997E-2</v>
      </c>
      <c r="J100" s="34">
        <f>I100*STD!$F$5/G100</f>
        <v>997.2740981324672</v>
      </c>
      <c r="K100" s="37">
        <v>100000</v>
      </c>
      <c r="L100" s="13">
        <f t="shared" si="8"/>
        <v>100</v>
      </c>
      <c r="M100" s="40">
        <f t="shared" si="9"/>
        <v>434741472.86821705</v>
      </c>
      <c r="N100" s="40">
        <f t="shared" si="10"/>
        <v>4347414.7286821706</v>
      </c>
      <c r="O100" s="41">
        <f t="shared" si="11"/>
        <v>6.6382310723939035</v>
      </c>
      <c r="P100" s="11">
        <f t="shared" si="12"/>
        <v>2</v>
      </c>
      <c r="Q100" s="34">
        <f t="shared" si="13"/>
        <v>8.6382310723939035</v>
      </c>
    </row>
    <row r="101" spans="1:19" s="2" customFormat="1">
      <c r="A101" s="2" t="s">
        <v>46</v>
      </c>
      <c r="B101" s="2" t="s">
        <v>107</v>
      </c>
      <c r="C101" s="2">
        <v>5</v>
      </c>
      <c r="D101" s="2">
        <v>1</v>
      </c>
      <c r="E101" s="2">
        <v>5000</v>
      </c>
      <c r="F101" s="8">
        <v>0.1038</v>
      </c>
      <c r="G101" s="2">
        <v>50.0045</v>
      </c>
      <c r="H101" s="42">
        <v>455</v>
      </c>
      <c r="I101" s="2">
        <f t="shared" si="7"/>
        <v>0.45500000000000002</v>
      </c>
      <c r="J101" s="38">
        <f>I101*STD!$F$5/G101</f>
        <v>5013.6487716105548</v>
      </c>
      <c r="K101" s="43">
        <v>2300000</v>
      </c>
      <c r="L101" s="2">
        <f t="shared" si="8"/>
        <v>2300</v>
      </c>
      <c r="M101" s="44">
        <f t="shared" si="9"/>
        <v>1307270231.2138727</v>
      </c>
      <c r="N101" s="44">
        <f t="shared" si="10"/>
        <v>568378.36139733589</v>
      </c>
      <c r="O101" s="43">
        <f t="shared" si="11"/>
        <v>5.7546375356442141</v>
      </c>
      <c r="P101" s="11">
        <f t="shared" si="12"/>
        <v>3.3617278360175931</v>
      </c>
      <c r="Q101" s="38">
        <f t="shared" si="13"/>
        <v>9.1163653716618072</v>
      </c>
    </row>
    <row r="102" spans="1:19">
      <c r="A102" t="s">
        <v>48</v>
      </c>
      <c r="B102" t="s">
        <v>107</v>
      </c>
      <c r="C102">
        <v>1</v>
      </c>
      <c r="D102">
        <v>1</v>
      </c>
      <c r="E102">
        <v>1</v>
      </c>
      <c r="F102" s="7">
        <v>0.1013</v>
      </c>
      <c r="G102">
        <v>50.003500000000003</v>
      </c>
      <c r="H102">
        <f>50+40.5</f>
        <v>90.5</v>
      </c>
      <c r="I102">
        <f t="shared" si="7"/>
        <v>9.0499999999999997E-2</v>
      </c>
      <c r="J102" s="39">
        <f>I102*STD!$H$5/G102</f>
        <v>0.99724019318647683</v>
      </c>
      <c r="K102" s="37">
        <v>2.9</v>
      </c>
      <c r="L102" s="13">
        <f t="shared" si="8"/>
        <v>2.8999999999999998E-3</v>
      </c>
      <c r="M102" s="40">
        <f t="shared" si="9"/>
        <v>490824.18410661403</v>
      </c>
      <c r="N102" s="40">
        <f t="shared" si="10"/>
        <v>169249718.65745312</v>
      </c>
      <c r="O102" s="41">
        <f t="shared" si="11"/>
        <v>8.2285279554332984</v>
      </c>
      <c r="P102" s="11">
        <f t="shared" si="12"/>
        <v>-2.5376020021010439</v>
      </c>
      <c r="Q102" s="34">
        <f t="shared" si="13"/>
        <v>5.6909259533322549</v>
      </c>
      <c r="R102" s="34">
        <f>INTERCEPT(Q102:Q106,P102:P106)</f>
        <v>7.6690888211741237</v>
      </c>
      <c r="S102" s="34">
        <f>SLOPE(Q102:Q106,P102:P106)</f>
        <v>0.65214538414239631</v>
      </c>
    </row>
    <row r="103" spans="1:19">
      <c r="A103" t="s">
        <v>48</v>
      </c>
      <c r="B103" t="s">
        <v>107</v>
      </c>
      <c r="C103">
        <v>2</v>
      </c>
      <c r="D103">
        <v>1</v>
      </c>
      <c r="E103">
        <v>10</v>
      </c>
      <c r="F103" s="7">
        <v>9.8400000000000001E-2</v>
      </c>
      <c r="G103">
        <v>49.996600000000001</v>
      </c>
      <c r="H103">
        <f>900+7.4</f>
        <v>907.4</v>
      </c>
      <c r="I103">
        <f t="shared" si="7"/>
        <v>0.90739999999999998</v>
      </c>
      <c r="J103" s="34">
        <f>I103*STD!$H$5/G103</f>
        <v>10.000228015505053</v>
      </c>
      <c r="K103" s="37">
        <v>28</v>
      </c>
      <c r="L103" s="13">
        <f t="shared" si="8"/>
        <v>2.8000000000000001E-2</v>
      </c>
      <c r="M103" s="40">
        <f t="shared" si="9"/>
        <v>5066844.4634146327</v>
      </c>
      <c r="N103" s="40">
        <f t="shared" si="10"/>
        <v>180958730.83623686</v>
      </c>
      <c r="O103" s="41">
        <f t="shared" si="11"/>
        <v>8.2575795416444215</v>
      </c>
      <c r="P103" s="11">
        <f t="shared" si="12"/>
        <v>-1.5528419686577808</v>
      </c>
      <c r="Q103" s="34">
        <f t="shared" si="13"/>
        <v>6.7047375729866419</v>
      </c>
    </row>
    <row r="104" spans="1:19">
      <c r="A104" t="s">
        <v>48</v>
      </c>
      <c r="B104" t="s">
        <v>107</v>
      </c>
      <c r="C104">
        <v>3</v>
      </c>
      <c r="D104">
        <v>1</v>
      </c>
      <c r="E104">
        <v>100</v>
      </c>
      <c r="F104" s="7">
        <v>0.10249999999999999</v>
      </c>
      <c r="G104">
        <v>50.0062</v>
      </c>
      <c r="H104">
        <v>9.1</v>
      </c>
      <c r="I104">
        <f t="shared" si="7"/>
        <v>9.1000000000000004E-3</v>
      </c>
      <c r="J104" s="34">
        <f>I104*STD!$F$5/G104</f>
        <v>100.26956657374487</v>
      </c>
      <c r="K104" s="37">
        <v>330</v>
      </c>
      <c r="L104" s="13">
        <f t="shared" si="8"/>
        <v>0.33</v>
      </c>
      <c r="M104" s="40">
        <f t="shared" si="9"/>
        <v>48757053.209756106</v>
      </c>
      <c r="N104" s="40">
        <f t="shared" si="10"/>
        <v>147748646.09017003</v>
      </c>
      <c r="O104" s="41">
        <f t="shared" si="11"/>
        <v>8.1695235098696237</v>
      </c>
      <c r="P104" s="11">
        <f t="shared" si="12"/>
        <v>-0.48148606012211248</v>
      </c>
      <c r="Q104" s="34">
        <f t="shared" si="13"/>
        <v>7.6880374497475108</v>
      </c>
    </row>
    <row r="105" spans="1:19">
      <c r="A105" t="s">
        <v>48</v>
      </c>
      <c r="B105" t="s">
        <v>107</v>
      </c>
      <c r="C105">
        <v>4</v>
      </c>
      <c r="D105">
        <v>1</v>
      </c>
      <c r="E105">
        <v>1000</v>
      </c>
      <c r="F105" s="7">
        <v>0.1002</v>
      </c>
      <c r="G105">
        <v>50.035299999999999</v>
      </c>
      <c r="H105">
        <f>50+40.5</f>
        <v>90.5</v>
      </c>
      <c r="I105">
        <f t="shared" si="7"/>
        <v>9.0499999999999997E-2</v>
      </c>
      <c r="J105" s="34">
        <f>I105*STD!$F$5/G105</f>
        <v>996.60639588450556</v>
      </c>
      <c r="K105" s="37">
        <v>16000</v>
      </c>
      <c r="L105" s="13">
        <f t="shared" si="8"/>
        <v>16</v>
      </c>
      <c r="M105" s="40">
        <f t="shared" si="9"/>
        <v>489670011.97604793</v>
      </c>
      <c r="N105" s="40">
        <f t="shared" si="10"/>
        <v>30604375.748502996</v>
      </c>
      <c r="O105" s="41">
        <f t="shared" si="11"/>
        <v>7.4857835254216978</v>
      </c>
      <c r="P105" s="11">
        <f t="shared" si="12"/>
        <v>1.2041199826559248</v>
      </c>
      <c r="Q105" s="34">
        <f t="shared" si="13"/>
        <v>8.6899035080776237</v>
      </c>
    </row>
    <row r="106" spans="1:19" s="2" customFormat="1">
      <c r="A106" s="2" t="s">
        <v>48</v>
      </c>
      <c r="B106" s="2" t="s">
        <v>107</v>
      </c>
      <c r="C106" s="2">
        <v>5</v>
      </c>
      <c r="D106" s="2">
        <v>1</v>
      </c>
      <c r="E106" s="2">
        <v>5000</v>
      </c>
      <c r="F106" s="8">
        <v>0.1016</v>
      </c>
      <c r="G106" s="2">
        <v>50.016199999999998</v>
      </c>
      <c r="H106" s="42">
        <v>455</v>
      </c>
      <c r="I106" s="2">
        <f t="shared" si="7"/>
        <v>0.45500000000000002</v>
      </c>
      <c r="J106" s="38">
        <f>I106*STD!$F$5/G106</f>
        <v>5012.4759577896766</v>
      </c>
      <c r="K106" s="43">
        <v>910000</v>
      </c>
      <c r="L106" s="2">
        <f t="shared" si="8"/>
        <v>910</v>
      </c>
      <c r="M106" s="44">
        <f t="shared" si="9"/>
        <v>2019589153.5433073</v>
      </c>
      <c r="N106" s="44">
        <f t="shared" si="10"/>
        <v>2219328.7401574804</v>
      </c>
      <c r="O106" s="43">
        <f t="shared" si="11"/>
        <v>6.3462216372756668</v>
      </c>
      <c r="P106" s="11">
        <f t="shared" si="12"/>
        <v>2.9590413923210934</v>
      </c>
      <c r="Q106" s="38">
        <f t="shared" si="13"/>
        <v>9.3052630295967607</v>
      </c>
    </row>
    <row r="107" spans="1:19">
      <c r="A107" t="s">
        <v>49</v>
      </c>
      <c r="B107" t="s">
        <v>107</v>
      </c>
      <c r="C107">
        <v>1</v>
      </c>
      <c r="D107">
        <v>1</v>
      </c>
      <c r="E107">
        <v>1</v>
      </c>
      <c r="F107" s="7">
        <v>0.10249999999999999</v>
      </c>
      <c r="G107">
        <v>49.990200000000002</v>
      </c>
      <c r="H107">
        <f>50+40.5</f>
        <v>90.5</v>
      </c>
      <c r="I107">
        <f t="shared" si="7"/>
        <v>9.0499999999999997E-2</v>
      </c>
      <c r="J107" s="39">
        <f>I107*STD!$H$5/G107</f>
        <v>0.9975055110801716</v>
      </c>
      <c r="K107" s="37">
        <v>0.41</v>
      </c>
      <c r="L107" s="13">
        <f t="shared" si="8"/>
        <v>4.0999999999999999E-4</v>
      </c>
      <c r="M107" s="40">
        <f t="shared" si="9"/>
        <v>486292.72212682926</v>
      </c>
      <c r="N107" s="40">
        <f t="shared" si="10"/>
        <v>1186079810.0654373</v>
      </c>
      <c r="O107" s="41">
        <f t="shared" si="11"/>
        <v>9.0741139132313133</v>
      </c>
      <c r="P107" s="11">
        <f t="shared" si="12"/>
        <v>-3.3872161432802645</v>
      </c>
      <c r="Q107" s="34">
        <f t="shared" si="13"/>
        <v>5.6868977699510488</v>
      </c>
      <c r="R107" s="34">
        <f>INTERCEPT(Q107:Q111,P107:P111)</f>
        <v>8.6713622468058009</v>
      </c>
      <c r="S107" s="34">
        <f>SLOPE(Q107:Q111,P107:P111)</f>
        <v>0.7892985647182772</v>
      </c>
    </row>
    <row r="108" spans="1:19">
      <c r="A108" t="s">
        <v>49</v>
      </c>
      <c r="B108" t="s">
        <v>107</v>
      </c>
      <c r="C108">
        <v>2</v>
      </c>
      <c r="D108">
        <v>1</v>
      </c>
      <c r="E108">
        <v>10</v>
      </c>
      <c r="F108" s="7">
        <v>0.1012</v>
      </c>
      <c r="G108">
        <v>50.005200000000002</v>
      </c>
      <c r="H108">
        <f>900+7.4</f>
        <v>907.4</v>
      </c>
      <c r="I108">
        <f t="shared" si="7"/>
        <v>0.90739999999999998</v>
      </c>
      <c r="J108" s="34">
        <f>I108*STD!$H$5/G108</f>
        <v>9.998508155151864</v>
      </c>
      <c r="K108" s="37">
        <v>2.2000000000000002</v>
      </c>
      <c r="L108" s="13">
        <f t="shared" si="8"/>
        <v>2.2000000000000001E-3</v>
      </c>
      <c r="M108" s="40">
        <f t="shared" si="9"/>
        <v>4939401.0727272732</v>
      </c>
      <c r="N108" s="40">
        <f t="shared" si="10"/>
        <v>2245182305.7851238</v>
      </c>
      <c r="O108" s="41">
        <f t="shared" si="11"/>
        <v>9.3512516108992454</v>
      </c>
      <c r="P108" s="11">
        <f t="shared" si="12"/>
        <v>-2.6575773191777938</v>
      </c>
      <c r="Q108" s="34">
        <f t="shared" si="13"/>
        <v>6.693674291721452</v>
      </c>
    </row>
    <row r="109" spans="1:19">
      <c r="A109" t="s">
        <v>49</v>
      </c>
      <c r="B109" t="s">
        <v>107</v>
      </c>
      <c r="C109">
        <v>3</v>
      </c>
      <c r="D109">
        <v>1</v>
      </c>
      <c r="E109">
        <v>100</v>
      </c>
      <c r="F109" s="7">
        <v>9.9099999999999994E-2</v>
      </c>
      <c r="G109">
        <v>50.011600000000001</v>
      </c>
      <c r="H109">
        <v>9.1</v>
      </c>
      <c r="I109">
        <f t="shared" si="7"/>
        <v>9.1000000000000004E-3</v>
      </c>
      <c r="J109" s="34">
        <f>I109*STD!$F$5/G109</f>
        <v>100.25873997232642</v>
      </c>
      <c r="K109" s="37">
        <v>28</v>
      </c>
      <c r="L109" s="13">
        <f t="shared" si="8"/>
        <v>2.8000000000000001E-2</v>
      </c>
      <c r="M109" s="40">
        <f t="shared" si="9"/>
        <v>50582236.883955605</v>
      </c>
      <c r="N109" s="40">
        <f t="shared" si="10"/>
        <v>1806508460.1412716</v>
      </c>
      <c r="O109" s="41">
        <f t="shared" si="11"/>
        <v>9.2568399997728861</v>
      </c>
      <c r="P109" s="11">
        <f t="shared" si="12"/>
        <v>-1.5528419686577808</v>
      </c>
      <c r="Q109" s="34">
        <f t="shared" si="13"/>
        <v>7.7039980311151046</v>
      </c>
    </row>
    <row r="110" spans="1:19">
      <c r="A110" t="s">
        <v>49</v>
      </c>
      <c r="B110" t="s">
        <v>107</v>
      </c>
      <c r="C110">
        <v>4</v>
      </c>
      <c r="D110">
        <v>1</v>
      </c>
      <c r="E110">
        <v>1000</v>
      </c>
      <c r="F110" s="7">
        <v>9.6600000000000005E-2</v>
      </c>
      <c r="G110">
        <v>50.002099999999999</v>
      </c>
      <c r="H110">
        <f>50+40.5</f>
        <v>90.5</v>
      </c>
      <c r="I110">
        <f t="shared" si="7"/>
        <v>9.0499999999999997E-2</v>
      </c>
      <c r="J110" s="34">
        <f>I110*STD!$F$5/G110</f>
        <v>997.26811473918099</v>
      </c>
      <c r="K110" s="37">
        <v>670</v>
      </c>
      <c r="L110" s="13">
        <f t="shared" si="8"/>
        <v>0.67</v>
      </c>
      <c r="M110" s="40">
        <f t="shared" si="9"/>
        <v>515859198.68530017</v>
      </c>
      <c r="N110" s="40">
        <f t="shared" si="10"/>
        <v>769939102.51537335</v>
      </c>
      <c r="O110" s="41">
        <f t="shared" si="11"/>
        <v>8.8864563764875175</v>
      </c>
      <c r="P110" s="11">
        <f t="shared" si="12"/>
        <v>-0.17392519729917355</v>
      </c>
      <c r="Q110" s="34">
        <f t="shared" si="13"/>
        <v>8.7125311791883426</v>
      </c>
    </row>
    <row r="111" spans="1:19" s="2" customFormat="1">
      <c r="A111" s="2" t="s">
        <v>49</v>
      </c>
      <c r="B111" s="2" t="s">
        <v>107</v>
      </c>
      <c r="C111" s="2">
        <v>5</v>
      </c>
      <c r="D111" s="2">
        <v>1</v>
      </c>
      <c r="E111" s="2">
        <v>5000</v>
      </c>
      <c r="F111" s="8">
        <v>0.1002</v>
      </c>
      <c r="G111" s="2">
        <v>50.015000000000001</v>
      </c>
      <c r="H111" s="42">
        <v>455</v>
      </c>
      <c r="I111" s="2">
        <f t="shared" si="7"/>
        <v>0.45500000000000002</v>
      </c>
      <c r="J111" s="38">
        <f>I111*STD!$F$5/G111</f>
        <v>5012.59622113366</v>
      </c>
      <c r="K111" s="43">
        <v>17000</v>
      </c>
      <c r="L111" s="2">
        <f t="shared" si="8"/>
        <v>17</v>
      </c>
      <c r="M111" s="44">
        <f t="shared" si="9"/>
        <v>2493560329.3413177</v>
      </c>
      <c r="N111" s="44">
        <f t="shared" si="10"/>
        <v>146680019.37301868</v>
      </c>
      <c r="O111" s="43">
        <f t="shared" si="11"/>
        <v>8.1663709586487681</v>
      </c>
      <c r="P111" s="11">
        <f t="shared" si="12"/>
        <v>1.2304489213782739</v>
      </c>
      <c r="Q111" s="38">
        <f t="shared" si="13"/>
        <v>9.3968198800270422</v>
      </c>
    </row>
    <row r="112" spans="1:19">
      <c r="A112" t="s">
        <v>50</v>
      </c>
      <c r="B112" t="s">
        <v>107</v>
      </c>
      <c r="C112">
        <v>1</v>
      </c>
      <c r="D112">
        <v>1</v>
      </c>
      <c r="E112">
        <v>1</v>
      </c>
      <c r="F112" s="7">
        <v>0.1011</v>
      </c>
      <c r="G112">
        <v>50.008499999999998</v>
      </c>
      <c r="H112">
        <f>50+40.5</f>
        <v>90.5</v>
      </c>
      <c r="I112">
        <f t="shared" si="7"/>
        <v>9.0499999999999997E-2</v>
      </c>
      <c r="J112" s="39">
        <f>I112*STD!$H$5/G112</f>
        <v>0.99714048611736006</v>
      </c>
      <c r="K112" s="37">
        <v>960</v>
      </c>
      <c r="L112" s="13">
        <f t="shared" si="8"/>
        <v>0.96</v>
      </c>
      <c r="M112" s="40">
        <f t="shared" si="9"/>
        <v>18371.315529179039</v>
      </c>
      <c r="N112" s="40">
        <f t="shared" si="10"/>
        <v>19136.7870095615</v>
      </c>
      <c r="O112" s="41">
        <f t="shared" si="11"/>
        <v>4.2818690232448473</v>
      </c>
      <c r="P112" s="11">
        <f t="shared" si="12"/>
        <v>-1.7728766960431602E-2</v>
      </c>
      <c r="Q112" s="34">
        <f t="shared" si="13"/>
        <v>4.2641402562844162</v>
      </c>
      <c r="R112" s="34" t="e">
        <f>INTERCEPT(Q112:Q116,P112:P116)</f>
        <v>#NUM!</v>
      </c>
      <c r="S112" s="34" t="e">
        <f>SLOPE(Q112:Q116,P112:P116)</f>
        <v>#NUM!</v>
      </c>
    </row>
    <row r="113" spans="1:19">
      <c r="A113" t="s">
        <v>50</v>
      </c>
      <c r="B113" t="s">
        <v>107</v>
      </c>
      <c r="C113">
        <v>2</v>
      </c>
      <c r="D113">
        <v>1</v>
      </c>
      <c r="E113">
        <v>10</v>
      </c>
      <c r="F113" s="7">
        <v>9.98E-2</v>
      </c>
      <c r="G113">
        <v>50.008000000000003</v>
      </c>
      <c r="H113">
        <f>900+7.4</f>
        <v>907.4</v>
      </c>
      <c r="I113">
        <f t="shared" si="7"/>
        <v>0.90739999999999998</v>
      </c>
      <c r="J113" s="34">
        <f>I113*STD!$H$5/G113</f>
        <v>9.9979483282674764</v>
      </c>
      <c r="K113" s="37">
        <v>10000</v>
      </c>
      <c r="L113" s="13">
        <f t="shared" si="8"/>
        <v>10</v>
      </c>
      <c r="M113" s="40">
        <f t="shared" si="9"/>
        <v>-1028.0561122249719</v>
      </c>
      <c r="N113" s="40">
        <f t="shared" si="10"/>
        <v>-102.80561122249719</v>
      </c>
      <c r="O113" s="41" t="e">
        <f t="shared" si="11"/>
        <v>#NUM!</v>
      </c>
      <c r="P113" s="11">
        <f t="shared" si="12"/>
        <v>1</v>
      </c>
      <c r="Q113" s="34" t="e">
        <f t="shared" si="13"/>
        <v>#NUM!</v>
      </c>
    </row>
    <row r="114" spans="1:19">
      <c r="A114" t="s">
        <v>50</v>
      </c>
      <c r="B114" t="s">
        <v>107</v>
      </c>
      <c r="C114">
        <v>3</v>
      </c>
      <c r="D114">
        <v>1</v>
      </c>
      <c r="E114">
        <v>100</v>
      </c>
      <c r="F114" s="7">
        <v>0.1013</v>
      </c>
      <c r="G114" s="7">
        <v>50.011000000000003</v>
      </c>
      <c r="H114">
        <v>9.1</v>
      </c>
      <c r="I114">
        <f t="shared" si="7"/>
        <v>9.1000000000000004E-3</v>
      </c>
      <c r="J114" s="34">
        <f>I114*STD!$F$5/G114</f>
        <v>100.25994281258123</v>
      </c>
      <c r="K114" s="37">
        <v>94000</v>
      </c>
      <c r="L114" s="13">
        <f t="shared" si="8"/>
        <v>94</v>
      </c>
      <c r="M114" s="40">
        <f t="shared" si="9"/>
        <v>3090483.7117472836</v>
      </c>
      <c r="N114" s="40">
        <f t="shared" si="10"/>
        <v>32877.486295183866</v>
      </c>
      <c r="O114" s="41">
        <f t="shared" si="11"/>
        <v>4.5168986054050215</v>
      </c>
      <c r="P114" s="11">
        <f t="shared" si="12"/>
        <v>1.9731278535996986</v>
      </c>
      <c r="Q114" s="34">
        <f t="shared" si="13"/>
        <v>6.4900264590047199</v>
      </c>
    </row>
    <row r="115" spans="1:19">
      <c r="A115" t="s">
        <v>50</v>
      </c>
      <c r="B115" t="s">
        <v>107</v>
      </c>
      <c r="C115">
        <v>4</v>
      </c>
      <c r="D115">
        <v>1</v>
      </c>
      <c r="E115">
        <v>1000</v>
      </c>
      <c r="F115" s="7">
        <v>0.10009999999999999</v>
      </c>
      <c r="G115">
        <v>50.000300000000003</v>
      </c>
      <c r="H115">
        <f>50+40.5</f>
        <v>90.5</v>
      </c>
      <c r="I115">
        <f t="shared" si="7"/>
        <v>9.0499999999999997E-2</v>
      </c>
      <c r="J115" s="34">
        <f>I115*STD!$F$5/G115</f>
        <v>997.30401617590292</v>
      </c>
      <c r="K115" s="37">
        <v>940000</v>
      </c>
      <c r="L115" s="13">
        <f t="shared" si="8"/>
        <v>940</v>
      </c>
      <c r="M115" s="40">
        <f t="shared" si="9"/>
        <v>28623556.443556454</v>
      </c>
      <c r="N115" s="40">
        <f t="shared" si="10"/>
        <v>30450.591961230271</v>
      </c>
      <c r="O115" s="41">
        <f t="shared" si="11"/>
        <v>4.4835957397602542</v>
      </c>
      <c r="P115" s="11">
        <f t="shared" si="12"/>
        <v>2.9731278535996988</v>
      </c>
      <c r="Q115" s="34">
        <f t="shared" si="13"/>
        <v>7.4567235933599525</v>
      </c>
    </row>
    <row r="116" spans="1:19" s="2" customFormat="1">
      <c r="A116" s="2" t="s">
        <v>50</v>
      </c>
      <c r="B116" s="2" t="s">
        <v>107</v>
      </c>
      <c r="C116" s="2">
        <v>5</v>
      </c>
      <c r="D116" s="2">
        <v>1</v>
      </c>
      <c r="E116" s="2">
        <v>5000</v>
      </c>
      <c r="F116" s="8">
        <v>0.1</v>
      </c>
      <c r="G116" s="2">
        <v>49.996099999999998</v>
      </c>
      <c r="H116" s="42">
        <v>455</v>
      </c>
      <c r="I116" s="2">
        <f t="shared" si="7"/>
        <v>0.45500000000000002</v>
      </c>
      <c r="J116" s="38">
        <f>I116*STD!$F$5/G116</f>
        <v>5014.4911303081644</v>
      </c>
      <c r="K116" s="43">
        <v>6100000</v>
      </c>
      <c r="L116" s="2">
        <f t="shared" si="8"/>
        <v>6100</v>
      </c>
      <c r="M116" s="44">
        <f t="shared" si="9"/>
        <v>-542712099.99999964</v>
      </c>
      <c r="N116" s="44">
        <f t="shared" si="10"/>
        <v>-88969.196721311411</v>
      </c>
      <c r="O116" s="43" t="e">
        <f t="shared" si="11"/>
        <v>#NUM!</v>
      </c>
      <c r="P116" s="11">
        <f t="shared" si="12"/>
        <v>3.7853298350107671</v>
      </c>
      <c r="Q116" s="38" t="e">
        <f t="shared" si="13"/>
        <v>#NUM!</v>
      </c>
    </row>
    <row r="117" spans="1:19">
      <c r="A117" t="s">
        <v>51</v>
      </c>
      <c r="B117" t="s">
        <v>107</v>
      </c>
      <c r="C117">
        <v>1</v>
      </c>
      <c r="D117">
        <v>1</v>
      </c>
      <c r="E117">
        <v>1</v>
      </c>
      <c r="F117" s="7">
        <v>9.9500000000000005E-2</v>
      </c>
      <c r="G117">
        <v>50.011200000000002</v>
      </c>
      <c r="H117">
        <f>50+40.5</f>
        <v>90.5</v>
      </c>
      <c r="I117">
        <f t="shared" si="7"/>
        <v>9.0499999999999997E-2</v>
      </c>
      <c r="J117" s="39">
        <f>I117*STD!$H$5/G117</f>
        <v>0.99708665258981977</v>
      </c>
      <c r="K117" s="37">
        <v>160</v>
      </c>
      <c r="L117" s="13">
        <f t="shared" si="8"/>
        <v>0.16</v>
      </c>
      <c r="M117" s="40">
        <f t="shared" si="9"/>
        <v>420740.78391959792</v>
      </c>
      <c r="N117" s="40">
        <f t="shared" si="10"/>
        <v>2629629.8994974871</v>
      </c>
      <c r="O117" s="41">
        <f t="shared" si="11"/>
        <v>6.4198946291299066</v>
      </c>
      <c r="P117" s="11">
        <f t="shared" si="12"/>
        <v>-0.79588001734407521</v>
      </c>
      <c r="Q117" s="34">
        <f t="shared" si="13"/>
        <v>5.6240146117858316</v>
      </c>
      <c r="R117" s="34">
        <f>INTERCEPT(Q117:Q121,P117:P121)</f>
        <v>6.3326080627512722</v>
      </c>
      <c r="S117" s="34">
        <f>SLOPE(Q117:Q121,P117:P121)</f>
        <v>0.52313869093618559</v>
      </c>
    </row>
    <row r="118" spans="1:19">
      <c r="A118" t="s">
        <v>51</v>
      </c>
      <c r="B118" t="s">
        <v>107</v>
      </c>
      <c r="C118">
        <v>2</v>
      </c>
      <c r="D118">
        <v>1</v>
      </c>
      <c r="E118">
        <v>10</v>
      </c>
      <c r="F118" s="7">
        <v>0.106</v>
      </c>
      <c r="G118">
        <v>49.986499999999999</v>
      </c>
      <c r="H118">
        <f>900+7.4</f>
        <v>907.4</v>
      </c>
      <c r="I118">
        <f t="shared" si="7"/>
        <v>0.90739999999999998</v>
      </c>
      <c r="J118" s="34">
        <f>I118*STD!$H$5/G118</f>
        <v>10.002248607123922</v>
      </c>
      <c r="K118" s="37">
        <v>1800</v>
      </c>
      <c r="L118" s="13">
        <f t="shared" si="8"/>
        <v>1.8</v>
      </c>
      <c r="M118" s="40">
        <f t="shared" si="9"/>
        <v>3867940.566037735</v>
      </c>
      <c r="N118" s="40">
        <f t="shared" si="10"/>
        <v>2148855.8700209637</v>
      </c>
      <c r="O118" s="41">
        <f t="shared" si="11"/>
        <v>6.3322072870811432</v>
      </c>
      <c r="P118" s="11">
        <f t="shared" si="12"/>
        <v>0.25527250510330607</v>
      </c>
      <c r="Q118" s="34">
        <f t="shared" si="13"/>
        <v>6.5874797921844497</v>
      </c>
    </row>
    <row r="119" spans="1:19">
      <c r="A119" t="s">
        <v>51</v>
      </c>
      <c r="B119" t="s">
        <v>107</v>
      </c>
      <c r="C119">
        <v>3</v>
      </c>
      <c r="D119">
        <v>1</v>
      </c>
      <c r="E119">
        <v>100</v>
      </c>
      <c r="F119" s="7">
        <v>9.8000000000000004E-2</v>
      </c>
      <c r="G119">
        <v>49.9861</v>
      </c>
      <c r="H119">
        <v>9.1</v>
      </c>
      <c r="I119">
        <f t="shared" si="7"/>
        <v>9.1000000000000004E-3</v>
      </c>
      <c r="J119" s="34">
        <f>I119*STD!$F$5/G119</f>
        <v>100.30988614834925</v>
      </c>
      <c r="K119" s="37">
        <v>21000</v>
      </c>
      <c r="L119" s="13">
        <f t="shared" si="8"/>
        <v>21</v>
      </c>
      <c r="M119" s="40">
        <f t="shared" si="9"/>
        <v>40452978.571428575</v>
      </c>
      <c r="N119" s="40">
        <f t="shared" si="10"/>
        <v>1926332.3129251702</v>
      </c>
      <c r="O119" s="41">
        <f t="shared" si="11"/>
        <v>6.2847312096942449</v>
      </c>
      <c r="P119" s="11">
        <f t="shared" si="12"/>
        <v>1.3222192947339193</v>
      </c>
      <c r="Q119" s="34">
        <f t="shared" si="13"/>
        <v>7.6069505044281645</v>
      </c>
    </row>
    <row r="120" spans="1:19">
      <c r="A120" t="s">
        <v>51</v>
      </c>
      <c r="B120" t="s">
        <v>107</v>
      </c>
      <c r="C120">
        <v>4</v>
      </c>
      <c r="D120">
        <v>1</v>
      </c>
      <c r="E120">
        <v>1000</v>
      </c>
      <c r="F120" s="7">
        <v>0.1046</v>
      </c>
      <c r="G120">
        <v>50.801400000000001</v>
      </c>
      <c r="H120">
        <f>50+40.5</f>
        <v>90.5</v>
      </c>
      <c r="I120">
        <f t="shared" si="7"/>
        <v>9.0499999999999997E-2</v>
      </c>
      <c r="J120" s="34">
        <f>I120*STD!$F$5/G120</f>
        <v>981.5772793663167</v>
      </c>
      <c r="K120" s="37">
        <v>950000</v>
      </c>
      <c r="L120" s="13">
        <f t="shared" si="8"/>
        <v>950</v>
      </c>
      <c r="M120" s="40">
        <f t="shared" si="9"/>
        <v>15336233.269598454</v>
      </c>
      <c r="N120" s="40">
        <f t="shared" si="10"/>
        <v>16143.403441682583</v>
      </c>
      <c r="O120" s="41">
        <f t="shared" si="11"/>
        <v>4.2079951004059453</v>
      </c>
      <c r="P120" s="11">
        <f t="shared" si="12"/>
        <v>2.9777236052888476</v>
      </c>
      <c r="Q120" s="34">
        <f t="shared" si="13"/>
        <v>7.1857187056947938</v>
      </c>
    </row>
    <row r="121" spans="1:19" s="2" customFormat="1">
      <c r="A121" s="2" t="s">
        <v>51</v>
      </c>
      <c r="B121" s="2" t="s">
        <v>107</v>
      </c>
      <c r="C121" s="2">
        <v>5</v>
      </c>
      <c r="D121" s="2">
        <v>1</v>
      </c>
      <c r="E121" s="2">
        <v>5000</v>
      </c>
      <c r="F121" s="8">
        <v>0.1061</v>
      </c>
      <c r="G121" s="2">
        <v>50.012900000000002</v>
      </c>
      <c r="H121" s="42">
        <v>455</v>
      </c>
      <c r="I121" s="2">
        <f t="shared" si="7"/>
        <v>0.45500000000000002</v>
      </c>
      <c r="J121" s="38">
        <f>I121*STD!$F$5/G121</f>
        <v>5012.8066958724648</v>
      </c>
      <c r="K121" s="43">
        <v>4300000</v>
      </c>
      <c r="L121" s="2">
        <f t="shared" si="8"/>
        <v>4300</v>
      </c>
      <c r="M121" s="44">
        <f t="shared" si="9"/>
        <v>335999340.2450518</v>
      </c>
      <c r="N121" s="44">
        <f t="shared" si="10"/>
        <v>78139.381452337635</v>
      </c>
      <c r="O121" s="43">
        <f t="shared" si="11"/>
        <v>4.8928699690477133</v>
      </c>
      <c r="P121" s="11">
        <f t="shared" si="12"/>
        <v>3.6334684555795866</v>
      </c>
      <c r="Q121" s="38">
        <f t="shared" si="13"/>
        <v>8.5263384246272995</v>
      </c>
    </row>
    <row r="122" spans="1:19">
      <c r="A122" t="s">
        <v>53</v>
      </c>
      <c r="B122" t="s">
        <v>107</v>
      </c>
      <c r="C122">
        <v>1</v>
      </c>
      <c r="D122">
        <v>1</v>
      </c>
      <c r="E122">
        <v>1</v>
      </c>
      <c r="F122" s="7">
        <v>0.1008</v>
      </c>
      <c r="G122">
        <v>50.000100000000003</v>
      </c>
      <c r="H122">
        <f>50+40.5</f>
        <v>90.5</v>
      </c>
      <c r="I122">
        <f t="shared" si="7"/>
        <v>9.0499999999999997E-2</v>
      </c>
      <c r="J122" s="39">
        <f>I122*STD!$H$5/G122</f>
        <v>0.99730800538398912</v>
      </c>
      <c r="K122" s="37">
        <v>1000</v>
      </c>
      <c r="L122" s="13">
        <f t="shared" si="8"/>
        <v>1</v>
      </c>
      <c r="M122" s="40">
        <f t="shared" si="9"/>
        <v>-1335.3174603175203</v>
      </c>
      <c r="N122" s="40">
        <f t="shared" si="10"/>
        <v>-1335.3174603175203</v>
      </c>
      <c r="O122" s="41" t="e">
        <f t="shared" si="11"/>
        <v>#NUM!</v>
      </c>
      <c r="P122" s="11">
        <f t="shared" si="12"/>
        <v>0</v>
      </c>
      <c r="Q122" s="34" t="e">
        <f t="shared" si="13"/>
        <v>#NUM!</v>
      </c>
      <c r="R122" s="34" t="e">
        <f>INTERCEPT(Q122:Q126,P122:P126)</f>
        <v>#NUM!</v>
      </c>
      <c r="S122" s="34" t="e">
        <f>SLOPE(Q122:Q126,P122:P126)</f>
        <v>#NUM!</v>
      </c>
    </row>
    <row r="123" spans="1:19">
      <c r="A123" t="s">
        <v>53</v>
      </c>
      <c r="B123" t="s">
        <v>107</v>
      </c>
      <c r="C123">
        <v>2</v>
      </c>
      <c r="D123">
        <v>1</v>
      </c>
      <c r="E123">
        <v>10</v>
      </c>
      <c r="F123" s="7">
        <v>0.1014</v>
      </c>
      <c r="G123">
        <v>50.0351</v>
      </c>
      <c r="H123">
        <f>900+7.4</f>
        <v>907.4</v>
      </c>
      <c r="I123">
        <f t="shared" si="7"/>
        <v>0.90739999999999998</v>
      </c>
      <c r="J123" s="34">
        <f>I123*STD!$H$5/G123</f>
        <v>9.9925332416643506</v>
      </c>
      <c r="K123" s="37">
        <v>11000</v>
      </c>
      <c r="L123" s="13">
        <f t="shared" si="8"/>
        <v>11</v>
      </c>
      <c r="M123" s="40">
        <f t="shared" si="9"/>
        <v>-497127.21893491136</v>
      </c>
      <c r="N123" s="40">
        <f t="shared" si="10"/>
        <v>-45193.383539537397</v>
      </c>
      <c r="O123" s="41" t="e">
        <f t="shared" si="11"/>
        <v>#NUM!</v>
      </c>
      <c r="P123" s="11">
        <f t="shared" si="12"/>
        <v>1.0413926851582251</v>
      </c>
      <c r="Q123" s="34" t="e">
        <f t="shared" si="13"/>
        <v>#NUM!</v>
      </c>
    </row>
    <row r="124" spans="1:19">
      <c r="A124" t="s">
        <v>53</v>
      </c>
      <c r="B124" t="s">
        <v>107</v>
      </c>
      <c r="C124">
        <v>3</v>
      </c>
      <c r="D124">
        <v>1</v>
      </c>
      <c r="E124">
        <v>100</v>
      </c>
      <c r="F124" s="7">
        <v>9.5600000000000004E-2</v>
      </c>
      <c r="G124">
        <v>50.005600000000001</v>
      </c>
      <c r="H124">
        <v>9.1</v>
      </c>
      <c r="I124">
        <f t="shared" si="7"/>
        <v>9.1000000000000004E-3</v>
      </c>
      <c r="J124" s="34">
        <f>I124*STD!$F$5/G124</f>
        <v>100.27076967379654</v>
      </c>
      <c r="K124" s="37">
        <v>89000</v>
      </c>
      <c r="L124" s="13">
        <f t="shared" si="8"/>
        <v>89</v>
      </c>
      <c r="M124" s="40">
        <f t="shared" si="9"/>
        <v>5895414.2259414215</v>
      </c>
      <c r="N124" s="40">
        <f t="shared" si="10"/>
        <v>66240.609280240693</v>
      </c>
      <c r="O124" s="41">
        <f t="shared" si="11"/>
        <v>4.821124318430047</v>
      </c>
      <c r="P124" s="11">
        <f t="shared" si="12"/>
        <v>1.9493900066449128</v>
      </c>
      <c r="Q124" s="34">
        <f t="shared" si="13"/>
        <v>6.7705143250749602</v>
      </c>
    </row>
    <row r="125" spans="1:19">
      <c r="A125" t="s">
        <v>53</v>
      </c>
      <c r="B125" t="s">
        <v>107</v>
      </c>
      <c r="C125">
        <v>4</v>
      </c>
      <c r="D125">
        <v>1</v>
      </c>
      <c r="E125">
        <v>1000</v>
      </c>
      <c r="F125" s="7">
        <v>0.1013</v>
      </c>
      <c r="G125">
        <v>50.011499999999998</v>
      </c>
      <c r="H125">
        <f>50+40.5</f>
        <v>90.5</v>
      </c>
      <c r="I125">
        <f t="shared" si="7"/>
        <v>9.0499999999999997E-2</v>
      </c>
      <c r="J125" s="34">
        <f>I125*STD!$F$5/G125</f>
        <v>997.08067144556753</v>
      </c>
      <c r="K125" s="37">
        <v>1000000</v>
      </c>
      <c r="L125" s="13">
        <f t="shared" si="8"/>
        <v>1000</v>
      </c>
      <c r="M125" s="40">
        <f t="shared" si="9"/>
        <v>-1441263.573543929</v>
      </c>
      <c r="N125" s="40">
        <f t="shared" si="10"/>
        <v>-1441.2635735439289</v>
      </c>
      <c r="O125" s="41" t="e">
        <f t="shared" si="11"/>
        <v>#NUM!</v>
      </c>
      <c r="P125" s="11">
        <f t="shared" si="12"/>
        <v>3</v>
      </c>
      <c r="Q125" s="34" t="e">
        <f t="shared" si="13"/>
        <v>#NUM!</v>
      </c>
    </row>
    <row r="126" spans="1:19" s="2" customFormat="1">
      <c r="A126" s="2" t="s">
        <v>53</v>
      </c>
      <c r="B126" s="2" t="s">
        <v>107</v>
      </c>
      <c r="C126" s="2">
        <v>5</v>
      </c>
      <c r="D126" s="2">
        <v>1</v>
      </c>
      <c r="E126" s="2">
        <v>5000</v>
      </c>
      <c r="F126" s="8">
        <v>9.9099999999999994E-2</v>
      </c>
      <c r="G126" s="2">
        <v>50.013300000000001</v>
      </c>
      <c r="H126" s="42">
        <v>455</v>
      </c>
      <c r="I126" s="2">
        <f t="shared" si="7"/>
        <v>0.45500000000000002</v>
      </c>
      <c r="J126" s="38">
        <f>I126*STD!$F$5/G126</f>
        <v>5012.7666040833137</v>
      </c>
      <c r="K126" s="43">
        <v>6500000</v>
      </c>
      <c r="L126" s="2">
        <f t="shared" si="8"/>
        <v>6500</v>
      </c>
      <c r="M126" s="44">
        <f t="shared" si="9"/>
        <v>-750569626.63975799</v>
      </c>
      <c r="N126" s="44">
        <f t="shared" si="10"/>
        <v>-115472.25025227046</v>
      </c>
      <c r="O126" s="43" t="e">
        <f t="shared" si="11"/>
        <v>#NUM!</v>
      </c>
      <c r="P126" s="11">
        <f t="shared" si="12"/>
        <v>3.8129133566428557</v>
      </c>
      <c r="Q126" s="38" t="e">
        <f t="shared" si="13"/>
        <v>#NUM!</v>
      </c>
    </row>
    <row r="127" spans="1:19">
      <c r="A127" t="s">
        <v>111</v>
      </c>
      <c r="B127" t="s">
        <v>109</v>
      </c>
      <c r="C127">
        <v>1</v>
      </c>
      <c r="D127">
        <v>1</v>
      </c>
      <c r="E127">
        <v>1</v>
      </c>
      <c r="G127">
        <v>50.007100000000001</v>
      </c>
      <c r="H127">
        <f>50+40.5</f>
        <v>90.5</v>
      </c>
      <c r="I127">
        <f t="shared" si="7"/>
        <v>9.0499999999999997E-2</v>
      </c>
      <c r="J127" s="39">
        <f>I127*STD!$H$5/G127</f>
        <v>0.9971684020869036</v>
      </c>
      <c r="K127" s="37">
        <v>2400</v>
      </c>
      <c r="L127" s="13">
        <f t="shared" si="8"/>
        <v>2.4</v>
      </c>
    </row>
    <row r="128" spans="1:19">
      <c r="A128" t="s">
        <v>111</v>
      </c>
      <c r="B128" t="s">
        <v>109</v>
      </c>
      <c r="C128">
        <v>1</v>
      </c>
      <c r="D128">
        <v>2</v>
      </c>
      <c r="E128">
        <v>1</v>
      </c>
      <c r="G128">
        <v>50.019399999999997</v>
      </c>
      <c r="H128">
        <f>50+40.5</f>
        <v>90.5</v>
      </c>
      <c r="I128">
        <f t="shared" si="7"/>
        <v>9.0499999999999997E-2</v>
      </c>
      <c r="J128" s="39">
        <f>I128*STD!$H$5/G128</f>
        <v>0.9969231938008053</v>
      </c>
      <c r="K128" s="37">
        <v>1000</v>
      </c>
      <c r="L128" s="13">
        <f t="shared" si="8"/>
        <v>1</v>
      </c>
    </row>
    <row r="129" spans="1:12">
      <c r="A129" t="s">
        <v>111</v>
      </c>
      <c r="B129" t="s">
        <v>109</v>
      </c>
      <c r="C129">
        <v>1</v>
      </c>
      <c r="D129">
        <v>3</v>
      </c>
      <c r="E129">
        <v>1</v>
      </c>
      <c r="G129">
        <v>49.997599999999998</v>
      </c>
      <c r="H129">
        <f>50+40.5</f>
        <v>90.5</v>
      </c>
      <c r="I129">
        <f t="shared" si="7"/>
        <v>9.0499999999999997E-2</v>
      </c>
      <c r="J129" s="39">
        <f>I129*STD!$H$5/G129</f>
        <v>0.99735787317791247</v>
      </c>
      <c r="K129" s="37">
        <v>950</v>
      </c>
      <c r="L129" s="13">
        <f t="shared" si="8"/>
        <v>0.95</v>
      </c>
    </row>
    <row r="130" spans="1:12">
      <c r="A130" t="s">
        <v>111</v>
      </c>
      <c r="B130" t="s">
        <v>109</v>
      </c>
      <c r="C130">
        <v>2</v>
      </c>
      <c r="D130">
        <v>1</v>
      </c>
      <c r="E130">
        <v>10</v>
      </c>
      <c r="G130">
        <v>49.990200000000002</v>
      </c>
      <c r="H130">
        <f>900+7.4</f>
        <v>907.4</v>
      </c>
      <c r="I130">
        <f t="shared" si="7"/>
        <v>0.90739999999999998</v>
      </c>
      <c r="J130" s="34">
        <f>I130*STD!$H$5/G130</f>
        <v>10.001508295625943</v>
      </c>
      <c r="K130" s="37">
        <v>12000</v>
      </c>
      <c r="L130" s="13">
        <f t="shared" si="8"/>
        <v>12</v>
      </c>
    </row>
    <row r="131" spans="1:12">
      <c r="A131" t="s">
        <v>111</v>
      </c>
      <c r="B131" t="s">
        <v>109</v>
      </c>
      <c r="C131">
        <v>3</v>
      </c>
      <c r="D131">
        <v>1</v>
      </c>
      <c r="E131">
        <v>100</v>
      </c>
      <c r="G131">
        <v>49.998199999999997</v>
      </c>
      <c r="H131">
        <v>9.1</v>
      </c>
      <c r="I131">
        <f t="shared" ref="I131:I133" si="14">H131/1000</f>
        <v>9.1000000000000004E-3</v>
      </c>
      <c r="J131" s="34">
        <f>I131*STD!$F$5/G131</f>
        <v>100.28561028197016</v>
      </c>
      <c r="K131" s="37">
        <v>91000</v>
      </c>
      <c r="L131" s="13">
        <f t="shared" ref="L131:L136" si="15">K131/1000</f>
        <v>91</v>
      </c>
    </row>
    <row r="132" spans="1:12">
      <c r="A132" t="s">
        <v>111</v>
      </c>
      <c r="B132" t="s">
        <v>109</v>
      </c>
      <c r="C132">
        <v>4</v>
      </c>
      <c r="D132">
        <v>1</v>
      </c>
      <c r="E132">
        <v>1000</v>
      </c>
      <c r="G132">
        <v>50.014000000000003</v>
      </c>
      <c r="H132">
        <f>50+40.5</f>
        <v>90.5</v>
      </c>
      <c r="I132">
        <f t="shared" si="14"/>
        <v>9.0499999999999997E-2</v>
      </c>
      <c r="J132" s="34">
        <f>I132*STD!$F$5/G132</f>
        <v>997.03083136721716</v>
      </c>
      <c r="K132" s="37">
        <v>1000000</v>
      </c>
      <c r="L132" s="13">
        <f t="shared" si="15"/>
        <v>1000</v>
      </c>
    </row>
    <row r="133" spans="1:12" s="2" customFormat="1">
      <c r="A133" s="2" t="s">
        <v>111</v>
      </c>
      <c r="B133" s="2" t="s">
        <v>109</v>
      </c>
      <c r="C133" s="2">
        <v>5</v>
      </c>
      <c r="D133" s="2">
        <v>1</v>
      </c>
      <c r="E133" s="2">
        <v>5000</v>
      </c>
      <c r="F133" s="8"/>
      <c r="G133" s="2">
        <v>50.001300000000001</v>
      </c>
      <c r="H133" s="42">
        <v>455</v>
      </c>
      <c r="I133" s="2">
        <f t="shared" si="14"/>
        <v>0.45500000000000002</v>
      </c>
      <c r="J133" s="38">
        <f>I133*STD!$F$5/G133</f>
        <v>5013.969636789443</v>
      </c>
      <c r="K133" s="43">
        <v>6000000</v>
      </c>
      <c r="L133" s="2">
        <f t="shared" si="15"/>
        <v>6000</v>
      </c>
    </row>
    <row r="134" spans="1:12">
      <c r="A134" s="12" t="s">
        <v>106</v>
      </c>
      <c r="B134" t="s">
        <v>110</v>
      </c>
      <c r="C134" s="12">
        <v>0</v>
      </c>
      <c r="D134">
        <v>1</v>
      </c>
      <c r="K134" s="37">
        <v>0.4</v>
      </c>
      <c r="L134" s="13">
        <f t="shared" si="15"/>
        <v>4.0000000000000002E-4</v>
      </c>
    </row>
    <row r="135" spans="1:12">
      <c r="A135" s="12" t="s">
        <v>106</v>
      </c>
      <c r="B135" t="s">
        <v>110</v>
      </c>
      <c r="C135" s="12">
        <v>0</v>
      </c>
      <c r="D135">
        <v>2</v>
      </c>
      <c r="K135" s="37" t="s">
        <v>90</v>
      </c>
      <c r="L135" s="13" t="e">
        <f t="shared" si="15"/>
        <v>#VALUE!</v>
      </c>
    </row>
    <row r="136" spans="1:12">
      <c r="A136" s="12" t="s">
        <v>106</v>
      </c>
      <c r="B136" t="s">
        <v>110</v>
      </c>
      <c r="C136" s="12">
        <v>0</v>
      </c>
      <c r="D136">
        <v>3</v>
      </c>
      <c r="K136" s="37" t="s">
        <v>90</v>
      </c>
      <c r="L136" s="13" t="e">
        <f t="shared" si="15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D068-56F9-428D-B1EA-FA9F274B561C}">
  <dimension ref="A1:S136"/>
  <sheetViews>
    <sheetView tabSelected="1" topLeftCell="I1" workbookViewId="0">
      <pane ySplit="1" topLeftCell="A2" activePane="bottomLeft" state="frozen"/>
      <selection activeCell="H1" sqref="H1"/>
      <selection pane="bottomLeft" activeCell="Q62" sqref="Q62"/>
    </sheetView>
  </sheetViews>
  <sheetFormatPr baseColWidth="10" defaultColWidth="11.453125" defaultRowHeight="14.5"/>
  <cols>
    <col min="1" max="1" width="18.26953125" customWidth="1"/>
    <col min="2" max="2" width="18.54296875" customWidth="1"/>
    <col min="5" max="5" width="13.7265625" customWidth="1"/>
    <col min="7" max="7" width="22.453125" customWidth="1"/>
    <col min="8" max="8" width="21.54296875" style="7" customWidth="1"/>
    <col min="9" max="9" width="16.81640625" customWidth="1"/>
    <col min="10" max="10" width="16.26953125" customWidth="1"/>
    <col min="11" max="11" width="27.453125" style="34" customWidth="1"/>
    <col min="12" max="12" width="12.7265625" customWidth="1"/>
    <col min="13" max="13" width="11.1796875" customWidth="1"/>
    <col min="14" max="14" width="17.453125" customWidth="1"/>
  </cols>
  <sheetData>
    <row r="1" spans="1:19" s="2" customFormat="1" ht="75" customHeight="1">
      <c r="A1" s="2" t="s">
        <v>107</v>
      </c>
      <c r="B1" s="2" t="s">
        <v>108</v>
      </c>
      <c r="C1" s="2" t="s">
        <v>112</v>
      </c>
      <c r="D1" s="2" t="s">
        <v>113</v>
      </c>
      <c r="E1" s="2" t="s">
        <v>132</v>
      </c>
      <c r="F1" s="2" t="s">
        <v>125</v>
      </c>
      <c r="G1" s="14" t="s">
        <v>114</v>
      </c>
      <c r="H1" s="8" t="s">
        <v>115</v>
      </c>
      <c r="I1" s="2" t="s">
        <v>91</v>
      </c>
      <c r="J1" s="14" t="s">
        <v>124</v>
      </c>
      <c r="K1" s="38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</row>
    <row r="2" spans="1:19">
      <c r="A2" s="13" t="s">
        <v>8</v>
      </c>
      <c r="B2" t="s">
        <v>107</v>
      </c>
      <c r="C2">
        <v>1</v>
      </c>
      <c r="D2">
        <v>1</v>
      </c>
      <c r="E2" t="s">
        <v>126</v>
      </c>
      <c r="F2">
        <v>500</v>
      </c>
      <c r="G2" s="13">
        <v>1</v>
      </c>
      <c r="H2" s="45">
        <v>9.9599999999999994E-2</v>
      </c>
      <c r="I2" s="13">
        <v>50.024099999999997</v>
      </c>
      <c r="J2">
        <f>50+40.5</f>
        <v>90.5</v>
      </c>
      <c r="K2" s="39">
        <f>(J2/1000)*STD!$H$6/I2</f>
        <v>1.0403706563346731</v>
      </c>
      <c r="L2" s="13">
        <f>Data!K2/1000</f>
        <v>0.96</v>
      </c>
      <c r="M2" s="40">
        <f>(K2*(I2/1000)-L2*(I2/1000))/(H2/1000)</f>
        <v>40.366162144089586</v>
      </c>
      <c r="N2" s="40">
        <f>M2/L2</f>
        <v>42.048085566759987</v>
      </c>
      <c r="O2" s="41">
        <f>LOG(N2)</f>
        <v>1.6237462273225369</v>
      </c>
      <c r="P2" s="11">
        <f>LOG(L2)</f>
        <v>-1.7728766960431602E-2</v>
      </c>
      <c r="Q2" s="34">
        <f>LOG(M2)</f>
        <v>1.6060174603621054</v>
      </c>
      <c r="R2" s="34" t="e">
        <f>INTERCEPT(Q2:Q6,P2:P6)</f>
        <v>#NUM!</v>
      </c>
      <c r="S2" s="34" t="e">
        <f>SLOPE(Q2:Q6,P2:P6)</f>
        <v>#NUM!</v>
      </c>
    </row>
    <row r="3" spans="1:19">
      <c r="A3" t="s">
        <v>8</v>
      </c>
      <c r="B3" t="s">
        <v>107</v>
      </c>
      <c r="C3">
        <v>2</v>
      </c>
      <c r="D3">
        <v>1</v>
      </c>
      <c r="E3" t="s">
        <v>126</v>
      </c>
      <c r="F3">
        <v>500</v>
      </c>
      <c r="G3">
        <v>10</v>
      </c>
      <c r="H3" s="7">
        <v>0.1008</v>
      </c>
      <c r="I3">
        <v>50.005800000000001</v>
      </c>
      <c r="J3">
        <f>900+7.4</f>
        <v>907.4</v>
      </c>
      <c r="K3" s="39">
        <f>(J3/1000)*STD!$H$6/I3</f>
        <v>10.435113915104713</v>
      </c>
      <c r="L3" s="13">
        <f>Data!K3/1000</f>
        <v>11</v>
      </c>
      <c r="M3" s="40">
        <f t="shared" ref="M3:M66" si="0">(K3*(I3/1000)-L3*(I3/1000))/(H3/1000)</f>
        <v>-280.23393436564231</v>
      </c>
      <c r="N3" s="40">
        <f t="shared" ref="N3:N66" si="1">M3/L3</f>
        <v>-25.475812215058394</v>
      </c>
      <c r="O3" s="41" t="e">
        <f t="shared" ref="O3:O66" si="2">LOG(N3)</f>
        <v>#NUM!</v>
      </c>
      <c r="P3" s="11">
        <f t="shared" ref="P3:Q66" si="3">LOG(L3)</f>
        <v>1.0413926851582251</v>
      </c>
      <c r="Q3" s="34" t="e">
        <f t="shared" si="3"/>
        <v>#NUM!</v>
      </c>
    </row>
    <row r="4" spans="1:19">
      <c r="A4" t="s">
        <v>8</v>
      </c>
      <c r="B4" t="s">
        <v>107</v>
      </c>
      <c r="C4">
        <v>3</v>
      </c>
      <c r="D4">
        <v>1</v>
      </c>
      <c r="E4" t="s">
        <v>126</v>
      </c>
      <c r="F4">
        <v>500</v>
      </c>
      <c r="G4">
        <v>100</v>
      </c>
      <c r="H4" s="7">
        <v>9.9900000000000003E-2</v>
      </c>
      <c r="I4">
        <v>49.981999999999999</v>
      </c>
      <c r="J4">
        <v>9.1</v>
      </c>
      <c r="K4" s="34">
        <f>(J4/1000)*STD!$F$6/I4</f>
        <v>104.69997095549247</v>
      </c>
      <c r="L4" s="13">
        <f>Data!K4/1000</f>
        <v>87</v>
      </c>
      <c r="M4" s="40">
        <f t="shared" si="0"/>
        <v>8855.6551381123609</v>
      </c>
      <c r="N4" s="40">
        <f t="shared" si="1"/>
        <v>101.78913951853288</v>
      </c>
      <c r="O4" s="41">
        <f t="shared" si="2"/>
        <v>2.0077014430421305</v>
      </c>
      <c r="P4" s="11">
        <f t="shared" si="3"/>
        <v>1.9395192526186185</v>
      </c>
      <c r="Q4" s="34">
        <f t="shared" si="3"/>
        <v>3.9472206956607492</v>
      </c>
    </row>
    <row r="5" spans="1:19">
      <c r="A5" t="s">
        <v>8</v>
      </c>
      <c r="B5" t="s">
        <v>107</v>
      </c>
      <c r="C5">
        <v>4</v>
      </c>
      <c r="D5">
        <v>1</v>
      </c>
      <c r="E5" t="s">
        <v>126</v>
      </c>
      <c r="F5">
        <v>500</v>
      </c>
      <c r="G5">
        <v>1000</v>
      </c>
      <c r="H5" s="7">
        <v>0.10100000000000001</v>
      </c>
      <c r="I5">
        <v>49.991999999999997</v>
      </c>
      <c r="J5">
        <f>50+40.5</f>
        <v>90.5</v>
      </c>
      <c r="K5" s="34">
        <f>(J5/1000)*STD!$F$6/I5</f>
        <v>1041.0386811800149</v>
      </c>
      <c r="L5" s="13">
        <f>Data!K5/1000</f>
        <v>960</v>
      </c>
      <c r="M5" s="40">
        <f t="shared" si="0"/>
        <v>40111.740094567373</v>
      </c>
      <c r="N5" s="40">
        <f t="shared" si="1"/>
        <v>41.783062598507676</v>
      </c>
      <c r="O5" s="41">
        <f t="shared" si="2"/>
        <v>1.6210002695572987</v>
      </c>
      <c r="P5" s="11">
        <f t="shared" si="3"/>
        <v>2.9822712330395684</v>
      </c>
      <c r="Q5" s="34">
        <f t="shared" si="3"/>
        <v>4.6032715025968676</v>
      </c>
    </row>
    <row r="6" spans="1:19" s="2" customFormat="1">
      <c r="A6" s="2" t="s">
        <v>8</v>
      </c>
      <c r="B6" s="2" t="s">
        <v>107</v>
      </c>
      <c r="C6" s="2">
        <v>5</v>
      </c>
      <c r="D6" s="2">
        <v>1</v>
      </c>
      <c r="E6" s="2" t="s">
        <v>126</v>
      </c>
      <c r="F6" s="2">
        <v>500</v>
      </c>
      <c r="G6" s="2">
        <v>5000</v>
      </c>
      <c r="H6" s="8">
        <v>0.1007</v>
      </c>
      <c r="I6" s="2">
        <v>49.997100000000003</v>
      </c>
      <c r="J6" s="42">
        <v>455</v>
      </c>
      <c r="K6" s="38">
        <f>(J6/1000)*STD!$F$6/I6</f>
        <v>5233.417486511642</v>
      </c>
      <c r="L6" s="2">
        <f>Data!K6/1000</f>
        <v>4200</v>
      </c>
      <c r="M6" s="40">
        <f t="shared" si="0"/>
        <v>513087.16400070721</v>
      </c>
      <c r="N6" s="44">
        <f t="shared" si="1"/>
        <v>122.16361047635885</v>
      </c>
      <c r="O6" s="43">
        <f t="shared" si="2"/>
        <v>2.0869418595656262</v>
      </c>
      <c r="P6" s="66">
        <f>LOG(L6)</f>
        <v>3.6232492903979003</v>
      </c>
      <c r="Q6" s="38">
        <f>LOG(M6)</f>
        <v>5.7101911499635269</v>
      </c>
    </row>
    <row r="7" spans="1:19">
      <c r="A7" t="s">
        <v>11</v>
      </c>
      <c r="B7" t="s">
        <v>107</v>
      </c>
      <c r="C7">
        <v>1</v>
      </c>
      <c r="D7">
        <v>1</v>
      </c>
      <c r="E7" s="12" t="s">
        <v>126</v>
      </c>
      <c r="F7" s="12">
        <v>600</v>
      </c>
      <c r="G7">
        <v>1</v>
      </c>
      <c r="H7" s="7">
        <v>0.1009</v>
      </c>
      <c r="I7">
        <v>49.997300000000003</v>
      </c>
      <c r="J7">
        <f>50+40.5</f>
        <v>90.5</v>
      </c>
      <c r="K7" s="39">
        <f>(J7/1000)*STD!$H$6/I7</f>
        <v>1.0409283251205828</v>
      </c>
      <c r="L7" s="13">
        <f>Data!K7/1000</f>
        <v>0.56999999999999995</v>
      </c>
      <c r="M7" s="40">
        <f t="shared" si="0"/>
        <v>233.35128592221326</v>
      </c>
      <c r="N7" s="40">
        <f t="shared" si="1"/>
        <v>409.38822091616368</v>
      </c>
      <c r="O7" s="41">
        <f t="shared" si="2"/>
        <v>2.6121353428093759</v>
      </c>
      <c r="P7" s="11">
        <f t="shared" si="3"/>
        <v>-0.24412514432750865</v>
      </c>
      <c r="Q7" s="34">
        <f t="shared" si="3"/>
        <v>2.3680101984818673</v>
      </c>
      <c r="R7" s="34">
        <f>INTERCEPT(Q7:Q10,P7:P10)</f>
        <v>2.4814564270542254</v>
      </c>
      <c r="S7" s="34">
        <f>SLOPE(Q7:Q10,P7:P10)</f>
        <v>0.72825423865317174</v>
      </c>
    </row>
    <row r="8" spans="1:19">
      <c r="A8" t="s">
        <v>11</v>
      </c>
      <c r="B8" t="s">
        <v>107</v>
      </c>
      <c r="C8">
        <v>2</v>
      </c>
      <c r="D8">
        <v>1</v>
      </c>
      <c r="E8" s="12" t="s">
        <v>126</v>
      </c>
      <c r="F8" s="12">
        <v>600</v>
      </c>
      <c r="G8">
        <v>10</v>
      </c>
      <c r="H8" s="7">
        <v>0.1009</v>
      </c>
      <c r="I8">
        <v>50.010199999999998</v>
      </c>
      <c r="J8">
        <f>900+7.4</f>
        <v>907.4</v>
      </c>
      <c r="K8" s="39">
        <f>(J8/1000)*STD!$H$6/I8</f>
        <v>10.434195812373142</v>
      </c>
      <c r="L8" s="13">
        <f>Data!K8/1000</f>
        <v>8.3000000000000007</v>
      </c>
      <c r="M8" s="40">
        <f t="shared" si="0"/>
        <v>1057.7954352422523</v>
      </c>
      <c r="N8" s="40">
        <f t="shared" si="1"/>
        <v>127.44523316171714</v>
      </c>
      <c r="O8" s="41">
        <f t="shared" si="2"/>
        <v>2.1053235961781542</v>
      </c>
      <c r="P8" s="11">
        <f t="shared" si="3"/>
        <v>0.91907809237607396</v>
      </c>
      <c r="Q8" s="34">
        <f t="shared" si="3"/>
        <v>3.024401688554228</v>
      </c>
    </row>
    <row r="9" spans="1:19">
      <c r="A9" t="s">
        <v>11</v>
      </c>
      <c r="B9" t="s">
        <v>107</v>
      </c>
      <c r="C9">
        <v>3</v>
      </c>
      <c r="D9">
        <v>1</v>
      </c>
      <c r="E9" s="12" t="s">
        <v>126</v>
      </c>
      <c r="F9" s="12">
        <v>600</v>
      </c>
      <c r="G9">
        <v>100</v>
      </c>
      <c r="H9" s="7">
        <v>0.1002</v>
      </c>
      <c r="I9">
        <v>50.006999999999998</v>
      </c>
      <c r="J9">
        <v>9.1</v>
      </c>
      <c r="K9" s="34">
        <f>(J9/1000)*STD!$F$6/I9</f>
        <v>104.64762829798678</v>
      </c>
      <c r="L9" s="13">
        <f>Data!K9/1000</f>
        <v>87</v>
      </c>
      <c r="M9" s="40">
        <f t="shared" si="0"/>
        <v>8807.4346137467619</v>
      </c>
      <c r="N9" s="40">
        <f t="shared" si="1"/>
        <v>101.23488061777887</v>
      </c>
      <c r="O9" s="41">
        <f t="shared" si="2"/>
        <v>2.0053301750513652</v>
      </c>
      <c r="P9" s="11">
        <f t="shared" si="3"/>
        <v>1.9395192526186185</v>
      </c>
      <c r="Q9" s="34">
        <f t="shared" si="3"/>
        <v>3.9448494276699839</v>
      </c>
    </row>
    <row r="10" spans="1:19">
      <c r="A10" t="s">
        <v>11</v>
      </c>
      <c r="B10" t="s">
        <v>107</v>
      </c>
      <c r="C10">
        <v>4</v>
      </c>
      <c r="D10">
        <v>1</v>
      </c>
      <c r="E10" s="12" t="s">
        <v>126</v>
      </c>
      <c r="F10" s="12">
        <v>600</v>
      </c>
      <c r="G10">
        <v>1000</v>
      </c>
      <c r="H10" s="7">
        <v>9.9299999999999999E-2</v>
      </c>
      <c r="I10">
        <v>49.992800000000003</v>
      </c>
      <c r="J10">
        <f>50+40.5</f>
        <v>90.5</v>
      </c>
      <c r="K10" s="34">
        <f>(J10/1000)*STD!$F$6/I10</f>
        <v>1041.0220221622176</v>
      </c>
      <c r="L10" s="13">
        <f>Data!K10/1000</f>
        <v>950</v>
      </c>
      <c r="M10" s="40">
        <f t="shared" si="0"/>
        <v>45825.234134454331</v>
      </c>
      <c r="N10" s="40">
        <f t="shared" si="1"/>
        <v>48.237088562583509</v>
      </c>
      <c r="O10" s="41">
        <f t="shared" si="2"/>
        <v>1.6833810872879438</v>
      </c>
      <c r="P10" s="11">
        <f t="shared" si="3"/>
        <v>2.9777236052888476</v>
      </c>
      <c r="Q10" s="34">
        <f t="shared" si="3"/>
        <v>4.6611046925767914</v>
      </c>
    </row>
    <row r="11" spans="1:19" s="2" customFormat="1">
      <c r="A11" s="2" t="s">
        <v>11</v>
      </c>
      <c r="B11" s="2" t="s">
        <v>107</v>
      </c>
      <c r="C11" s="2">
        <v>5</v>
      </c>
      <c r="D11" s="2">
        <v>1</v>
      </c>
      <c r="E11" s="42" t="s">
        <v>126</v>
      </c>
      <c r="F11" s="2">
        <v>600</v>
      </c>
      <c r="G11" s="2">
        <v>5000</v>
      </c>
      <c r="H11" s="8">
        <v>9.9400000000000002E-2</v>
      </c>
      <c r="I11" s="2">
        <v>50.006900000000002</v>
      </c>
      <c r="J11" s="42">
        <v>455</v>
      </c>
      <c r="K11" s="38">
        <f>(J11/1000)*STD!$F$6/I11</f>
        <v>5232.3918782182309</v>
      </c>
      <c r="L11" s="2">
        <f>Data!K11/1000</f>
        <v>6500</v>
      </c>
      <c r="M11" s="40">
        <f t="shared" si="0"/>
        <v>-637717.83284837753</v>
      </c>
      <c r="N11" s="44">
        <f t="shared" si="1"/>
        <v>-98.110435822827313</v>
      </c>
      <c r="O11" s="43" t="e">
        <f t="shared" si="2"/>
        <v>#NUM!</v>
      </c>
      <c r="P11" s="66">
        <f t="shared" si="3"/>
        <v>3.8129133566428557</v>
      </c>
      <c r="Q11" s="38" t="e">
        <f t="shared" si="3"/>
        <v>#NUM!</v>
      </c>
    </row>
    <row r="12" spans="1:19">
      <c r="A12" t="s">
        <v>12</v>
      </c>
      <c r="B12" t="s">
        <v>107</v>
      </c>
      <c r="C12">
        <v>1</v>
      </c>
      <c r="D12">
        <v>1</v>
      </c>
      <c r="E12" s="12" t="s">
        <v>126</v>
      </c>
      <c r="F12" s="12">
        <v>800</v>
      </c>
      <c r="G12">
        <v>1</v>
      </c>
      <c r="H12" s="7">
        <v>0.10730000000000001</v>
      </c>
      <c r="I12">
        <v>49.9651</v>
      </c>
      <c r="J12">
        <f>50+40.5</f>
        <v>90.5</v>
      </c>
      <c r="K12" s="39">
        <f>(J12/1000)*STD!$H$6/I12</f>
        <v>1.0415991511985627</v>
      </c>
      <c r="L12" s="13">
        <f>Data!K12/1000</f>
        <v>6.7999999999999996E-3</v>
      </c>
      <c r="M12" s="40">
        <f t="shared" si="0"/>
        <v>481.86247035928517</v>
      </c>
      <c r="N12" s="40">
        <f t="shared" si="1"/>
        <v>70862.127994012524</v>
      </c>
      <c r="O12" s="41">
        <f t="shared" si="2"/>
        <v>4.8504141900826863</v>
      </c>
      <c r="P12" s="11">
        <f t="shared" si="3"/>
        <v>-2.1674910872937638</v>
      </c>
      <c r="Q12" s="34">
        <f t="shared" si="3"/>
        <v>2.6829231027889224</v>
      </c>
      <c r="R12" s="34">
        <f>INTERCEPT(Q12:Q16,P12:P16)</f>
        <v>4.5643819279411009</v>
      </c>
      <c r="S12" s="34">
        <f>SLOPE(Q12:Q16,P12:P16)</f>
        <v>0.6005997384012387</v>
      </c>
    </row>
    <row r="13" spans="1:19">
      <c r="A13" t="s">
        <v>12</v>
      </c>
      <c r="B13" t="s">
        <v>107</v>
      </c>
      <c r="C13">
        <v>2</v>
      </c>
      <c r="D13">
        <v>1</v>
      </c>
      <c r="E13" s="12" t="s">
        <v>126</v>
      </c>
      <c r="F13" s="12">
        <v>800</v>
      </c>
      <c r="G13">
        <v>10</v>
      </c>
      <c r="H13" s="7">
        <v>9.8199999999999996E-2</v>
      </c>
      <c r="I13">
        <v>50.011899999999997</v>
      </c>
      <c r="J13">
        <f>900+7.4</f>
        <v>907.4</v>
      </c>
      <c r="K13" s="39">
        <f>(J13/1000)*STD!$H$6/I13</f>
        <v>10.433841134128942</v>
      </c>
      <c r="L13" s="13">
        <f>Data!K13/1000</f>
        <v>1.9E-2</v>
      </c>
      <c r="M13" s="40">
        <f t="shared" si="0"/>
        <v>5304.1343514861846</v>
      </c>
      <c r="N13" s="40">
        <f t="shared" si="1"/>
        <v>279164.96586769394</v>
      </c>
      <c r="O13" s="41">
        <f t="shared" si="2"/>
        <v>5.4458609150792787</v>
      </c>
      <c r="P13" s="11">
        <f t="shared" si="3"/>
        <v>-1.7212463990471711</v>
      </c>
      <c r="Q13" s="34">
        <f t="shared" si="3"/>
        <v>3.7246145160321076</v>
      </c>
    </row>
    <row r="14" spans="1:19">
      <c r="A14" t="s">
        <v>12</v>
      </c>
      <c r="B14" t="s">
        <v>107</v>
      </c>
      <c r="C14">
        <v>3</v>
      </c>
      <c r="D14">
        <v>1</v>
      </c>
      <c r="E14" s="12" t="s">
        <v>126</v>
      </c>
      <c r="F14" s="12">
        <v>800</v>
      </c>
      <c r="G14">
        <v>100</v>
      </c>
      <c r="H14" s="7">
        <v>0.1087</v>
      </c>
      <c r="I14">
        <v>50.030200000000001</v>
      </c>
      <c r="J14">
        <v>9.1</v>
      </c>
      <c r="K14" s="34">
        <f>(J14/1000)*STD!$F$6/I14</f>
        <v>104.59910110887874</v>
      </c>
      <c r="L14" s="13">
        <f>Data!K14/1000</f>
        <v>0.28999999999999998</v>
      </c>
      <c r="M14" s="40">
        <f t="shared" si="0"/>
        <v>48009.247380841087</v>
      </c>
      <c r="N14" s="40">
        <f t="shared" si="1"/>
        <v>165549.12889945204</v>
      </c>
      <c r="O14" s="41">
        <f t="shared" si="2"/>
        <v>5.2189268998862959</v>
      </c>
      <c r="P14" s="11">
        <f t="shared" si="3"/>
        <v>-0.53760200210104392</v>
      </c>
      <c r="Q14" s="34">
        <f t="shared" si="3"/>
        <v>4.6813248977852524</v>
      </c>
    </row>
    <row r="15" spans="1:19">
      <c r="A15" t="s">
        <v>12</v>
      </c>
      <c r="B15" t="s">
        <v>107</v>
      </c>
      <c r="C15">
        <v>4</v>
      </c>
      <c r="D15">
        <v>1</v>
      </c>
      <c r="E15" s="12" t="s">
        <v>126</v>
      </c>
      <c r="F15" s="12">
        <v>800</v>
      </c>
      <c r="G15">
        <v>1000</v>
      </c>
      <c r="H15" s="7">
        <v>9.4200000000000006E-2</v>
      </c>
      <c r="I15">
        <v>49.988900000000001</v>
      </c>
      <c r="J15">
        <f>50+40.5</f>
        <v>90.5</v>
      </c>
      <c r="K15" s="34">
        <f>(J15/1000)*STD!$F$6/I15</f>
        <v>1041.1032399102862</v>
      </c>
      <c r="L15" s="13">
        <f>Data!K15/1000</f>
        <v>30</v>
      </c>
      <c r="M15" s="40">
        <f t="shared" si="0"/>
        <v>536559.85933706269</v>
      </c>
      <c r="N15" s="40">
        <f t="shared" si="1"/>
        <v>17885.328644568755</v>
      </c>
      <c r="O15" s="41">
        <f t="shared" si="2"/>
        <v>4.2524969247595976</v>
      </c>
      <c r="P15" s="11">
        <f t="shared" si="3"/>
        <v>1.4771212547196624</v>
      </c>
      <c r="Q15" s="34">
        <f t="shared" si="3"/>
        <v>5.7296181794792602</v>
      </c>
    </row>
    <row r="16" spans="1:19" s="2" customFormat="1">
      <c r="A16" s="2" t="s">
        <v>12</v>
      </c>
      <c r="B16" s="2" t="s">
        <v>107</v>
      </c>
      <c r="C16" s="2">
        <v>5</v>
      </c>
      <c r="D16" s="2">
        <v>1</v>
      </c>
      <c r="E16" s="42" t="s">
        <v>126</v>
      </c>
      <c r="F16" s="42">
        <v>800</v>
      </c>
      <c r="G16" s="2">
        <v>5000</v>
      </c>
      <c r="H16" s="8">
        <v>9.8599999999999993E-2</v>
      </c>
      <c r="I16" s="2">
        <v>49.997599999999998</v>
      </c>
      <c r="J16" s="42">
        <v>455</v>
      </c>
      <c r="K16" s="38">
        <f>(J16/1000)*STD!$F$6/I16</f>
        <v>5233.3651498246163</v>
      </c>
      <c r="L16" s="2">
        <f>Data!K16/1000</f>
        <v>2000</v>
      </c>
      <c r="M16" s="40">
        <f t="shared" si="0"/>
        <v>1639558.7973110669</v>
      </c>
      <c r="N16" s="44">
        <f t="shared" si="1"/>
        <v>819.77939865553344</v>
      </c>
      <c r="O16" s="43">
        <f t="shared" si="2"/>
        <v>2.9136970001446181</v>
      </c>
      <c r="P16" s="66">
        <f t="shared" si="3"/>
        <v>3.3010299956639813</v>
      </c>
      <c r="Q16" s="38">
        <f t="shared" si="3"/>
        <v>6.2147269958085998</v>
      </c>
    </row>
    <row r="17" spans="1:19">
      <c r="A17" t="s">
        <v>13</v>
      </c>
      <c r="B17" t="s">
        <v>107</v>
      </c>
      <c r="C17">
        <v>1</v>
      </c>
      <c r="D17">
        <v>1</v>
      </c>
      <c r="E17" s="12" t="s">
        <v>127</v>
      </c>
      <c r="F17" s="12">
        <v>800</v>
      </c>
      <c r="G17">
        <v>1</v>
      </c>
      <c r="H17" s="7">
        <v>9.4899999999999998E-2</v>
      </c>
      <c r="I17">
        <v>50.018500000000003</v>
      </c>
      <c r="J17">
        <f>50+40.5</f>
        <v>90.5</v>
      </c>
      <c r="K17" s="39">
        <f>(J17/1000)*STD!$H$6/I17</f>
        <v>1.0404871347511682</v>
      </c>
      <c r="L17" s="13">
        <f>Data!K17/1000</f>
        <v>0.15</v>
      </c>
      <c r="M17" s="40">
        <f t="shared" si="0"/>
        <v>469.34489725554585</v>
      </c>
      <c r="N17" s="40">
        <f t="shared" si="1"/>
        <v>3128.965981703639</v>
      </c>
      <c r="O17" s="41">
        <f t="shared" si="2"/>
        <v>3.495400841497518</v>
      </c>
      <c r="P17" s="11">
        <f t="shared" si="3"/>
        <v>-0.82390874094431876</v>
      </c>
      <c r="Q17" s="34">
        <f t="shared" si="3"/>
        <v>2.6714921005531993</v>
      </c>
      <c r="R17" s="34">
        <f>INTERCEPT(Q17:Q21,P17:P21)</f>
        <v>3.3514542713931776</v>
      </c>
      <c r="S17" s="34">
        <f>SLOPE(Q17:Q21,P17:P21)</f>
        <v>0.6862840520858341</v>
      </c>
    </row>
    <row r="18" spans="1:19">
      <c r="A18" t="s">
        <v>13</v>
      </c>
      <c r="B18" t="s">
        <v>107</v>
      </c>
      <c r="C18">
        <v>2</v>
      </c>
      <c r="D18">
        <v>1</v>
      </c>
      <c r="E18" s="12" t="s">
        <v>127</v>
      </c>
      <c r="F18" s="12">
        <v>800</v>
      </c>
      <c r="G18">
        <v>10</v>
      </c>
      <c r="H18" s="7">
        <v>0.10920000000000001</v>
      </c>
      <c r="I18">
        <v>49.990900000000003</v>
      </c>
      <c r="J18">
        <f>900+7.4</f>
        <v>907.4</v>
      </c>
      <c r="K18" s="39">
        <f>(J18/1000)*STD!$H$6/I18</f>
        <v>10.438224145113274</v>
      </c>
      <c r="L18" s="13">
        <f>Data!K18/1000</f>
        <v>2.2000000000000002</v>
      </c>
      <c r="M18" s="40">
        <f t="shared" si="0"/>
        <v>3771.3941338456334</v>
      </c>
      <c r="N18" s="40">
        <f t="shared" si="1"/>
        <v>1714.2700608389241</v>
      </c>
      <c r="O18" s="41">
        <f t="shared" si="2"/>
        <v>3.2340792403953502</v>
      </c>
      <c r="P18" s="11">
        <f t="shared" si="3"/>
        <v>0.34242268082220628</v>
      </c>
      <c r="Q18" s="34">
        <f t="shared" si="3"/>
        <v>3.5765019212175564</v>
      </c>
    </row>
    <row r="19" spans="1:19">
      <c r="A19" t="s">
        <v>13</v>
      </c>
      <c r="B19" t="s">
        <v>107</v>
      </c>
      <c r="C19">
        <v>3</v>
      </c>
      <c r="D19">
        <v>1</v>
      </c>
      <c r="E19" s="12" t="s">
        <v>127</v>
      </c>
      <c r="F19" s="12">
        <v>800</v>
      </c>
      <c r="G19">
        <v>100</v>
      </c>
      <c r="H19" s="7">
        <v>9.5500000000000002E-2</v>
      </c>
      <c r="I19">
        <v>50.003999999999998</v>
      </c>
      <c r="J19">
        <v>9.1</v>
      </c>
      <c r="K19" s="34">
        <f>(J19/1000)*STD!$F$6/I19</f>
        <v>104.65390665341623</v>
      </c>
      <c r="L19" s="13">
        <f>Data!K19/1000</f>
        <v>32</v>
      </c>
      <c r="M19" s="40">
        <f t="shared" si="0"/>
        <v>38041.737678507066</v>
      </c>
      <c r="N19" s="40">
        <f t="shared" si="1"/>
        <v>1188.8043024533458</v>
      </c>
      <c r="O19" s="41">
        <f t="shared" si="2"/>
        <v>3.0751103681933891</v>
      </c>
      <c r="P19" s="11">
        <f t="shared" si="3"/>
        <v>1.505149978319906</v>
      </c>
      <c r="Q19" s="34">
        <f t="shared" si="3"/>
        <v>4.5802603465132945</v>
      </c>
    </row>
    <row r="20" spans="1:19">
      <c r="A20" t="s">
        <v>13</v>
      </c>
      <c r="B20" t="s">
        <v>107</v>
      </c>
      <c r="C20">
        <v>4</v>
      </c>
      <c r="D20">
        <v>1</v>
      </c>
      <c r="E20" s="12" t="s">
        <v>127</v>
      </c>
      <c r="F20" s="12">
        <v>800</v>
      </c>
      <c r="G20">
        <v>1000</v>
      </c>
      <c r="H20" s="7">
        <v>9.6600000000000005E-2</v>
      </c>
      <c r="I20">
        <v>50.007399999999997</v>
      </c>
      <c r="J20">
        <f>50+40.5</f>
        <v>90.5</v>
      </c>
      <c r="K20" s="34">
        <f>(J20/1000)*STD!$F$6/I20</f>
        <v>1040.7180887138966</v>
      </c>
      <c r="L20" s="13">
        <f>Data!K20/1000</f>
        <v>570</v>
      </c>
      <c r="M20" s="40">
        <f t="shared" si="0"/>
        <v>243678.96221067605</v>
      </c>
      <c r="N20" s="40">
        <f t="shared" si="1"/>
        <v>427.5069512468001</v>
      </c>
      <c r="O20" s="41">
        <f t="shared" si="2"/>
        <v>2.6309431807333938</v>
      </c>
      <c r="P20" s="11">
        <f t="shared" si="3"/>
        <v>2.7558748556724915</v>
      </c>
      <c r="Q20" s="34">
        <f t="shared" si="3"/>
        <v>5.3868180364058853</v>
      </c>
    </row>
    <row r="21" spans="1:19" s="2" customFormat="1">
      <c r="A21" s="2" t="s">
        <v>13</v>
      </c>
      <c r="B21" s="2" t="s">
        <v>107</v>
      </c>
      <c r="C21" s="2">
        <v>5</v>
      </c>
      <c r="D21" s="2">
        <v>1</v>
      </c>
      <c r="E21" s="2" t="s">
        <v>127</v>
      </c>
      <c r="F21" s="42">
        <v>800</v>
      </c>
      <c r="G21" s="2">
        <v>5000</v>
      </c>
      <c r="H21" s="8">
        <v>0.10929999999999999</v>
      </c>
      <c r="I21" s="2">
        <v>50.016399999999997</v>
      </c>
      <c r="J21" s="42">
        <v>455</v>
      </c>
      <c r="K21" s="38">
        <f>(J21/1000)*STD!$F$6/I21</f>
        <v>5231.3980497371113</v>
      </c>
      <c r="L21" s="2">
        <f>Data!K21/1000</f>
        <v>4300</v>
      </c>
      <c r="M21" s="40">
        <f t="shared" si="0"/>
        <v>426213.88302718411</v>
      </c>
      <c r="N21" s="44">
        <f t="shared" si="1"/>
        <v>99.119507680740497</v>
      </c>
      <c r="O21" s="43">
        <f t="shared" si="2"/>
        <v>1.9961591362648117</v>
      </c>
      <c r="P21" s="66">
        <f t="shared" si="3"/>
        <v>3.6334684555795866</v>
      </c>
      <c r="Q21" s="38">
        <f t="shared" si="3"/>
        <v>5.6296275918443985</v>
      </c>
    </row>
    <row r="22" spans="1:19">
      <c r="A22" t="s">
        <v>15</v>
      </c>
      <c r="B22" t="s">
        <v>107</v>
      </c>
      <c r="C22">
        <v>1</v>
      </c>
      <c r="D22">
        <v>1</v>
      </c>
      <c r="E22" s="12" t="s">
        <v>128</v>
      </c>
      <c r="F22" s="12">
        <v>600</v>
      </c>
      <c r="G22">
        <v>1</v>
      </c>
      <c r="H22" s="7">
        <v>0.1069</v>
      </c>
      <c r="I22">
        <v>49.989699999999999</v>
      </c>
      <c r="J22">
        <f>50+40.5</f>
        <v>90.5</v>
      </c>
      <c r="K22" s="39">
        <f>(J22/1000)*STD!$H$6/I22</f>
        <v>1.0410865788262644</v>
      </c>
      <c r="L22" s="13">
        <f>Data!K22/1000</f>
        <v>0.55000000000000004</v>
      </c>
      <c r="M22" s="40">
        <f t="shared" si="0"/>
        <v>229.64706033256604</v>
      </c>
      <c r="N22" s="40">
        <f t="shared" si="1"/>
        <v>417.54010969557459</v>
      </c>
      <c r="O22" s="41">
        <f t="shared" si="2"/>
        <v>2.6206982009759341</v>
      </c>
      <c r="P22" s="11">
        <f t="shared" si="3"/>
        <v>-0.25963731050575611</v>
      </c>
      <c r="Q22" s="34">
        <f t="shared" si="3"/>
        <v>2.3610608904701782</v>
      </c>
      <c r="R22" s="34">
        <f>INTERCEPT(Q22:Q25,P22:P25)</f>
        <v>2.5618576990783</v>
      </c>
      <c r="S22" s="34">
        <f>SLOPE(Q22:Q25,P22:P25)</f>
        <v>0.88537087311568152</v>
      </c>
    </row>
    <row r="23" spans="1:19">
      <c r="A23" t="s">
        <v>15</v>
      </c>
      <c r="B23" t="s">
        <v>107</v>
      </c>
      <c r="C23">
        <v>2</v>
      </c>
      <c r="D23">
        <v>1</v>
      </c>
      <c r="E23" s="12" t="s">
        <v>128</v>
      </c>
      <c r="F23" s="12">
        <v>600</v>
      </c>
      <c r="G23">
        <v>10</v>
      </c>
      <c r="H23" s="7">
        <v>9.4100000000000003E-2</v>
      </c>
      <c r="I23">
        <v>50.017899999999997</v>
      </c>
      <c r="J23">
        <f>900+7.4</f>
        <v>907.4</v>
      </c>
      <c r="K23" s="39">
        <f>(J23/1000)*STD!$H$6/I23</f>
        <v>10.43258952127025</v>
      </c>
      <c r="L23" s="13">
        <f>Data!K23/1000</f>
        <v>7.4</v>
      </c>
      <c r="M23" s="40">
        <f t="shared" si="0"/>
        <v>1611.9421829537009</v>
      </c>
      <c r="N23" s="40">
        <f t="shared" si="1"/>
        <v>217.83002472347309</v>
      </c>
      <c r="O23" s="41">
        <f t="shared" si="2"/>
        <v>2.338117740768817</v>
      </c>
      <c r="P23" s="11">
        <f t="shared" si="3"/>
        <v>0.86923171973097624</v>
      </c>
      <c r="Q23" s="34">
        <f t="shared" si="3"/>
        <v>3.2073494604997932</v>
      </c>
    </row>
    <row r="24" spans="1:19">
      <c r="A24" t="s">
        <v>15</v>
      </c>
      <c r="B24" t="s">
        <v>107</v>
      </c>
      <c r="C24">
        <v>3</v>
      </c>
      <c r="D24">
        <v>1</v>
      </c>
      <c r="E24" s="12" t="s">
        <v>128</v>
      </c>
      <c r="F24" s="12">
        <v>600</v>
      </c>
      <c r="G24">
        <v>100</v>
      </c>
      <c r="H24" s="7">
        <v>0.1002</v>
      </c>
      <c r="I24">
        <v>50.002600000000001</v>
      </c>
      <c r="J24">
        <v>9.1</v>
      </c>
      <c r="K24" s="34">
        <f>(J24/1000)*STD!$F$6/I24</f>
        <v>104.65683681043436</v>
      </c>
      <c r="L24" s="13">
        <f>Data!K24/1000</f>
        <v>64</v>
      </c>
      <c r="M24" s="40">
        <f t="shared" si="0"/>
        <v>20288.897687599052</v>
      </c>
      <c r="N24" s="40">
        <f t="shared" si="1"/>
        <v>317.01402636873519</v>
      </c>
      <c r="O24" s="41">
        <f t="shared" si="2"/>
        <v>2.5010784781161086</v>
      </c>
      <c r="P24" s="11">
        <f t="shared" si="3"/>
        <v>1.8061799739838871</v>
      </c>
      <c r="Q24" s="34">
        <f t="shared" si="3"/>
        <v>4.3072584520999957</v>
      </c>
    </row>
    <row r="25" spans="1:19">
      <c r="A25" t="s">
        <v>15</v>
      </c>
      <c r="B25" t="s">
        <v>107</v>
      </c>
      <c r="C25">
        <v>4</v>
      </c>
      <c r="D25">
        <v>1</v>
      </c>
      <c r="E25" s="12" t="s">
        <v>128</v>
      </c>
      <c r="F25" s="12">
        <v>600</v>
      </c>
      <c r="G25">
        <v>1000</v>
      </c>
      <c r="H25" s="6">
        <v>0.1</v>
      </c>
      <c r="I25">
        <v>49.994</v>
      </c>
      <c r="J25">
        <f>50+40.5</f>
        <v>90.5</v>
      </c>
      <c r="K25" s="34">
        <f>(J25/1000)*STD!$F$6/I25</f>
        <v>1040.9970346351824</v>
      </c>
      <c r="L25" s="13">
        <f>Data!K25/1000</f>
        <v>800</v>
      </c>
      <c r="M25" s="40">
        <f t="shared" si="0"/>
        <v>120484.05749551313</v>
      </c>
      <c r="N25" s="40">
        <f t="shared" si="1"/>
        <v>150.60507186939142</v>
      </c>
      <c r="O25" s="41">
        <f t="shared" si="2"/>
        <v>2.1778395976800851</v>
      </c>
      <c r="P25" s="11">
        <f t="shared" si="3"/>
        <v>2.9030899869919438</v>
      </c>
      <c r="Q25" s="34">
        <f t="shared" si="3"/>
        <v>5.0809295846720284</v>
      </c>
    </row>
    <row r="26" spans="1:19" s="2" customFormat="1">
      <c r="A26" s="2" t="s">
        <v>15</v>
      </c>
      <c r="B26" s="2" t="s">
        <v>107</v>
      </c>
      <c r="C26" s="2">
        <v>5</v>
      </c>
      <c r="D26" s="2">
        <v>1</v>
      </c>
      <c r="E26" s="2" t="s">
        <v>128</v>
      </c>
      <c r="F26" s="42">
        <v>600</v>
      </c>
      <c r="G26" s="2">
        <v>5000</v>
      </c>
      <c r="H26" s="8">
        <v>9.7699999999999995E-2</v>
      </c>
      <c r="I26" s="2">
        <v>49.990400000000001</v>
      </c>
      <c r="J26" s="42">
        <v>455</v>
      </c>
      <c r="K26" s="38">
        <f>(J26/1000)*STD!$F$6/I26</f>
        <v>5234.1188991260569</v>
      </c>
      <c r="L26" s="2">
        <f>Data!K26/1000</f>
        <v>6500</v>
      </c>
      <c r="M26" s="40">
        <f t="shared" si="0"/>
        <v>-647716.50547726476</v>
      </c>
      <c r="N26" s="44">
        <f t="shared" si="1"/>
        <v>-99.648693150348421</v>
      </c>
      <c r="O26" s="43" t="e">
        <f t="shared" si="2"/>
        <v>#NUM!</v>
      </c>
      <c r="P26" s="66">
        <f t="shared" si="3"/>
        <v>3.8129133566428557</v>
      </c>
      <c r="Q26" s="38" t="e">
        <f t="shared" si="3"/>
        <v>#NUM!</v>
      </c>
    </row>
    <row r="27" spans="1:19">
      <c r="A27" t="s">
        <v>16</v>
      </c>
      <c r="B27" t="s">
        <v>107</v>
      </c>
      <c r="C27">
        <v>1</v>
      </c>
      <c r="D27">
        <v>1</v>
      </c>
      <c r="E27" s="12" t="s">
        <v>129</v>
      </c>
      <c r="F27" s="12">
        <v>600</v>
      </c>
      <c r="G27">
        <v>1</v>
      </c>
      <c r="H27" s="7">
        <v>0.1</v>
      </c>
      <c r="I27">
        <v>50.000500000000002</v>
      </c>
      <c r="J27">
        <f>50+40.5</f>
        <v>90.5</v>
      </c>
      <c r="K27" s="39">
        <f>(J27/1000)*STD!$H$6/I27</f>
        <v>1.0408617063739625</v>
      </c>
      <c r="L27" s="13">
        <f>Data!K27/1000</f>
        <v>1.6E-2</v>
      </c>
      <c r="M27" s="40">
        <f t="shared" si="0"/>
        <v>512.43597749551316</v>
      </c>
      <c r="N27" s="40">
        <f t="shared" si="1"/>
        <v>32027.248593469572</v>
      </c>
      <c r="O27" s="41">
        <f t="shared" si="2"/>
        <v>4.5055196307650087</v>
      </c>
      <c r="P27" s="11">
        <f t="shared" si="3"/>
        <v>-1.7958800173440752</v>
      </c>
      <c r="Q27" s="34">
        <f t="shared" si="3"/>
        <v>2.7096396134209337</v>
      </c>
      <c r="R27" s="34">
        <f>INTERCEPT(Q27:Q31,P27:P31)</f>
        <v>4.0955405836318954</v>
      </c>
      <c r="S27" s="34">
        <f>SLOPE(Q27:Q31,P27:P31)</f>
        <v>0.59771973940659218</v>
      </c>
    </row>
    <row r="28" spans="1:19">
      <c r="A28" t="s">
        <v>16</v>
      </c>
      <c r="B28" t="s">
        <v>107</v>
      </c>
      <c r="C28">
        <v>2</v>
      </c>
      <c r="D28">
        <v>1</v>
      </c>
      <c r="E28" s="12" t="s">
        <v>129</v>
      </c>
      <c r="F28" s="12">
        <v>600</v>
      </c>
      <c r="G28">
        <v>10</v>
      </c>
      <c r="H28" s="7">
        <v>0.1017</v>
      </c>
      <c r="I28">
        <v>50.011099999999999</v>
      </c>
      <c r="J28">
        <f>900+7.4</f>
        <v>907.4</v>
      </c>
      <c r="K28" s="39">
        <f>(J28/1000)*STD!$H$6/I28</f>
        <v>10.43400803853431</v>
      </c>
      <c r="L28" s="13">
        <f>Data!K28/1000</f>
        <v>0.18</v>
      </c>
      <c r="M28" s="40">
        <f t="shared" si="0"/>
        <v>5042.4210562039643</v>
      </c>
      <c r="N28" s="40">
        <f t="shared" si="1"/>
        <v>28013.450312244247</v>
      </c>
      <c r="O28" s="41">
        <f t="shared" si="2"/>
        <v>4.4473666025502867</v>
      </c>
      <c r="P28" s="11">
        <f t="shared" si="3"/>
        <v>-0.74472749489669399</v>
      </c>
      <c r="Q28" s="34">
        <f t="shared" si="3"/>
        <v>3.7026391076535927</v>
      </c>
    </row>
    <row r="29" spans="1:19">
      <c r="A29" t="s">
        <v>16</v>
      </c>
      <c r="B29" t="s">
        <v>107</v>
      </c>
      <c r="C29">
        <v>3</v>
      </c>
      <c r="D29">
        <v>1</v>
      </c>
      <c r="E29" s="12" t="s">
        <v>129</v>
      </c>
      <c r="F29" s="12">
        <v>600</v>
      </c>
      <c r="G29">
        <v>100</v>
      </c>
      <c r="H29" s="7">
        <v>9.9699999999999997E-2</v>
      </c>
      <c r="I29">
        <v>51.193600000000004</v>
      </c>
      <c r="J29">
        <v>9.1</v>
      </c>
      <c r="K29" s="34">
        <f>(J29/1000)*STD!$F$6/I29</f>
        <v>102.2220345570037</v>
      </c>
      <c r="L29" s="13">
        <f>Data!K29/1000</f>
        <v>2.4</v>
      </c>
      <c r="M29" s="40">
        <f t="shared" si="0"/>
        <v>51256.26186857999</v>
      </c>
      <c r="N29" s="40">
        <f t="shared" si="1"/>
        <v>21356.775778574996</v>
      </c>
      <c r="O29" s="41">
        <f t="shared" si="2"/>
        <v>4.329535688091239</v>
      </c>
      <c r="P29" s="11">
        <f t="shared" si="3"/>
        <v>0.38021124171160603</v>
      </c>
      <c r="Q29" s="34">
        <f t="shared" si="3"/>
        <v>4.7097469298028454</v>
      </c>
    </row>
    <row r="30" spans="1:19">
      <c r="A30" t="s">
        <v>16</v>
      </c>
      <c r="B30" t="s">
        <v>107</v>
      </c>
      <c r="C30">
        <v>4</v>
      </c>
      <c r="D30">
        <v>1</v>
      </c>
      <c r="E30" s="12" t="s">
        <v>129</v>
      </c>
      <c r="F30" s="12">
        <v>600</v>
      </c>
      <c r="G30">
        <v>1000</v>
      </c>
      <c r="H30" s="7">
        <v>0.1</v>
      </c>
      <c r="I30">
        <v>50.011499999999998</v>
      </c>
      <c r="J30">
        <f>50+40.5</f>
        <v>90.5</v>
      </c>
      <c r="K30" s="34">
        <f>(J30/1000)*STD!$F$6/I30</f>
        <v>1040.6327694540519</v>
      </c>
      <c r="L30" s="13">
        <f>Data!K30/1000</f>
        <v>190</v>
      </c>
      <c r="M30" s="40">
        <f t="shared" si="0"/>
        <v>425414.2074955132</v>
      </c>
      <c r="N30" s="40">
        <f t="shared" si="1"/>
        <v>2239.0221447132271</v>
      </c>
      <c r="O30" s="41">
        <f t="shared" si="2"/>
        <v>3.350058388924809</v>
      </c>
      <c r="P30" s="11">
        <f t="shared" si="3"/>
        <v>2.2787536009528289</v>
      </c>
      <c r="Q30" s="34">
        <f t="shared" si="3"/>
        <v>5.6288119898776383</v>
      </c>
    </row>
    <row r="31" spans="1:19" s="2" customFormat="1">
      <c r="A31" s="2" t="s">
        <v>16</v>
      </c>
      <c r="B31" s="2" t="s">
        <v>107</v>
      </c>
      <c r="C31" s="2">
        <v>5</v>
      </c>
      <c r="D31" s="2">
        <v>1</v>
      </c>
      <c r="E31" s="42" t="s">
        <v>129</v>
      </c>
      <c r="F31" s="42">
        <v>600</v>
      </c>
      <c r="G31" s="2">
        <v>5000</v>
      </c>
      <c r="H31" s="8">
        <v>9.74E-2</v>
      </c>
      <c r="I31" s="2">
        <v>50.007599999999996</v>
      </c>
      <c r="J31" s="42">
        <v>455</v>
      </c>
      <c r="K31" s="38">
        <f>(J31/1000)*STD!$F$6/I31</f>
        <v>5232.3186358647736</v>
      </c>
      <c r="L31" s="2">
        <f>Data!K31/1000</f>
        <v>3600</v>
      </c>
      <c r="M31" s="40">
        <f>(K31*(I31/1000)-L31*(I31/1000))/(H31/1000)</f>
        <v>838073.27941346285</v>
      </c>
      <c r="N31" s="44">
        <f t="shared" si="1"/>
        <v>232.79813317040635</v>
      </c>
      <c r="O31" s="43">
        <f t="shared" si="2"/>
        <v>2.3669794933445094</v>
      </c>
      <c r="P31" s="66">
        <f t="shared" si="3"/>
        <v>3.5563025007672873</v>
      </c>
      <c r="Q31" s="38">
        <f t="shared" si="3"/>
        <v>5.9232819941117967</v>
      </c>
    </row>
    <row r="32" spans="1:19">
      <c r="A32" t="s">
        <v>18</v>
      </c>
      <c r="B32" t="s">
        <v>107</v>
      </c>
      <c r="C32">
        <v>1</v>
      </c>
      <c r="D32">
        <v>1</v>
      </c>
      <c r="E32" s="12" t="s">
        <v>129</v>
      </c>
      <c r="F32" s="12">
        <v>700</v>
      </c>
      <c r="G32">
        <v>1</v>
      </c>
      <c r="H32" s="7">
        <v>9.6699999999999994E-2</v>
      </c>
      <c r="I32" s="7">
        <v>49.997</v>
      </c>
      <c r="J32">
        <f>50+40.5</f>
        <v>90.5</v>
      </c>
      <c r="K32" s="39">
        <f>(J32/1000)*STD!$H$6/I32</f>
        <v>1.0409345710652902</v>
      </c>
      <c r="L32" s="13">
        <f>Data!K32/1000</f>
        <v>6.4999999999999997E-4</v>
      </c>
      <c r="M32" s="40">
        <f t="shared" si="0"/>
        <v>537.86047259101667</v>
      </c>
      <c r="N32" s="40">
        <f t="shared" si="1"/>
        <v>827477.65014002565</v>
      </c>
      <c r="O32" s="41">
        <f t="shared" si="2"/>
        <v>5.9177562724756232</v>
      </c>
      <c r="P32" s="11">
        <f t="shared" si="3"/>
        <v>-3.1870866433571443</v>
      </c>
      <c r="Q32" s="34">
        <f t="shared" si="3"/>
        <v>2.7306696291184784</v>
      </c>
      <c r="R32" s="34">
        <f>INTERCEPT(Q32:Q36,P32:P36)</f>
        <v>5.6173900609868941</v>
      </c>
      <c r="S32" s="34">
        <f>SLOPE(Q32:Q36,P32:P36)</f>
        <v>0.75582324435813153</v>
      </c>
    </row>
    <row r="33" spans="1:19">
      <c r="A33" t="s">
        <v>18</v>
      </c>
      <c r="B33" t="s">
        <v>107</v>
      </c>
      <c r="C33">
        <v>2</v>
      </c>
      <c r="D33">
        <v>1</v>
      </c>
      <c r="E33" s="12" t="s">
        <v>129</v>
      </c>
      <c r="F33" s="12">
        <v>700</v>
      </c>
      <c r="G33">
        <v>10</v>
      </c>
      <c r="H33" s="7">
        <v>0.10100000000000001</v>
      </c>
      <c r="I33" s="7">
        <v>49.994799999999998</v>
      </c>
      <c r="J33">
        <f>900+7.4</f>
        <v>907.4</v>
      </c>
      <c r="K33" s="39">
        <f>(J33/1000)*STD!$H$6/I33</f>
        <v>10.437409878946276</v>
      </c>
      <c r="L33" s="13">
        <f>Data!K33/1000</f>
        <v>1.6999999999999999E-3</v>
      </c>
      <c r="M33" s="40">
        <f t="shared" si="0"/>
        <v>5165.6557253063684</v>
      </c>
      <c r="N33" s="40">
        <f t="shared" si="1"/>
        <v>3038621.0148860994</v>
      </c>
      <c r="O33" s="41">
        <f t="shared" si="2"/>
        <v>6.4826765370633606</v>
      </c>
      <c r="P33" s="11">
        <f t="shared" si="3"/>
        <v>-2.7695510786217259</v>
      </c>
      <c r="Q33" s="34">
        <f t="shared" si="3"/>
        <v>3.7131254584416347</v>
      </c>
    </row>
    <row r="34" spans="1:19">
      <c r="A34" t="s">
        <v>18</v>
      </c>
      <c r="B34" t="s">
        <v>107</v>
      </c>
      <c r="C34">
        <v>3</v>
      </c>
      <c r="D34">
        <v>1</v>
      </c>
      <c r="E34" s="12" t="s">
        <v>129</v>
      </c>
      <c r="F34" s="12">
        <v>700</v>
      </c>
      <c r="G34">
        <v>100</v>
      </c>
      <c r="H34" s="7">
        <v>9.8900000000000002E-2</v>
      </c>
      <c r="I34">
        <v>49.995800000000003</v>
      </c>
      <c r="J34">
        <v>9.1</v>
      </c>
      <c r="K34" s="34">
        <f>(J34/1000)*STD!$F$6/I34</f>
        <v>104.67107133594071</v>
      </c>
      <c r="L34" s="13">
        <f>Data!K34/1000</f>
        <v>2.4E-2</v>
      </c>
      <c r="M34" s="40">
        <f t="shared" si="0"/>
        <v>52901.052063674666</v>
      </c>
      <c r="N34" s="40">
        <f t="shared" si="1"/>
        <v>2204210.5026531112</v>
      </c>
      <c r="O34" s="41">
        <f t="shared" si="2"/>
        <v>6.3432530673917302</v>
      </c>
      <c r="P34" s="11">
        <f t="shared" si="3"/>
        <v>-1.6197887582883939</v>
      </c>
      <c r="Q34" s="34">
        <f t="shared" si="3"/>
        <v>4.7234643091033366</v>
      </c>
    </row>
    <row r="35" spans="1:19">
      <c r="A35" t="s">
        <v>18</v>
      </c>
      <c r="B35" t="s">
        <v>107</v>
      </c>
      <c r="C35">
        <v>4</v>
      </c>
      <c r="D35">
        <v>1</v>
      </c>
      <c r="E35" s="12" t="s">
        <v>129</v>
      </c>
      <c r="F35" s="12">
        <v>700</v>
      </c>
      <c r="G35">
        <v>1000</v>
      </c>
      <c r="H35" s="7">
        <v>9.9099999999999994E-2</v>
      </c>
      <c r="I35">
        <v>50.0167</v>
      </c>
      <c r="J35">
        <f>50+40.5</f>
        <v>90.5</v>
      </c>
      <c r="K35" s="34">
        <f>(J35/1000)*STD!$F$6/I35</f>
        <v>1040.5245797813791</v>
      </c>
      <c r="L35" s="13">
        <f>Data!K35/1000</f>
        <v>0.64</v>
      </c>
      <c r="M35" s="40">
        <f t="shared" si="0"/>
        <v>524839.50617105258</v>
      </c>
      <c r="N35" s="40">
        <f t="shared" si="1"/>
        <v>820061.72839226958</v>
      </c>
      <c r="O35" s="41">
        <f t="shared" si="2"/>
        <v>5.9138465442021868</v>
      </c>
      <c r="P35" s="11">
        <f t="shared" si="3"/>
        <v>-0.19382002601611281</v>
      </c>
      <c r="Q35" s="34">
        <f t="shared" si="3"/>
        <v>5.7200265181860743</v>
      </c>
    </row>
    <row r="36" spans="1:19" s="2" customFormat="1">
      <c r="A36" s="2" t="s">
        <v>18</v>
      </c>
      <c r="B36" s="2" t="s">
        <v>107</v>
      </c>
      <c r="C36" s="2">
        <v>5</v>
      </c>
      <c r="D36" s="2">
        <v>1</v>
      </c>
      <c r="E36" s="42" t="s">
        <v>129</v>
      </c>
      <c r="F36" s="42">
        <v>700</v>
      </c>
      <c r="G36" s="2">
        <v>5000</v>
      </c>
      <c r="H36" s="8">
        <v>0.1016</v>
      </c>
      <c r="I36" s="2">
        <v>50.011000000000003</v>
      </c>
      <c r="J36" s="42">
        <v>455</v>
      </c>
      <c r="K36" s="38">
        <f>(J36/1000)*STD!$F$6/I36</f>
        <v>5231.9629164558046</v>
      </c>
      <c r="L36" s="2">
        <f>Data!K36/1000</f>
        <v>27</v>
      </c>
      <c r="M36" s="40">
        <f t="shared" si="0"/>
        <v>2562061.0277054259</v>
      </c>
      <c r="N36" s="44">
        <f t="shared" si="1"/>
        <v>94891.149174275037</v>
      </c>
      <c r="O36" s="43">
        <f t="shared" si="2"/>
        <v>4.9772257061677312</v>
      </c>
      <c r="P36" s="66">
        <f t="shared" si="3"/>
        <v>1.4313637641589874</v>
      </c>
      <c r="Q36" s="38">
        <f t="shared" si="3"/>
        <v>6.408589470326719</v>
      </c>
    </row>
    <row r="37" spans="1:19">
      <c r="A37" t="s">
        <v>19</v>
      </c>
      <c r="B37" t="s">
        <v>107</v>
      </c>
      <c r="C37">
        <v>1</v>
      </c>
      <c r="D37">
        <v>1</v>
      </c>
      <c r="E37" s="12" t="s">
        <v>129</v>
      </c>
      <c r="F37" s="12">
        <v>800</v>
      </c>
      <c r="G37">
        <v>1</v>
      </c>
      <c r="H37" s="7">
        <v>0.10349999999999999</v>
      </c>
      <c r="I37">
        <v>50.0092</v>
      </c>
      <c r="J37">
        <f>50+40.5</f>
        <v>90.5</v>
      </c>
      <c r="K37" s="39">
        <f>(J37/1000)*STD!$H$6/I37</f>
        <v>1.0406806297551512</v>
      </c>
      <c r="L37" s="13" t="e">
        <f>Data!K37/1000</f>
        <v>#VALUE!</v>
      </c>
      <c r="M37" s="40" t="e">
        <f t="shared" si="0"/>
        <v>#VALUE!</v>
      </c>
      <c r="N37" s="40" t="e">
        <f t="shared" si="1"/>
        <v>#VALUE!</v>
      </c>
      <c r="O37" s="41" t="e">
        <f t="shared" si="2"/>
        <v>#VALUE!</v>
      </c>
      <c r="P37" s="11" t="e">
        <f t="shared" si="3"/>
        <v>#VALUE!</v>
      </c>
      <c r="Q37" s="34" t="e">
        <f t="shared" si="3"/>
        <v>#VALUE!</v>
      </c>
      <c r="R37" s="34">
        <f>INTERCEPT(Q38:Q41,P38:P41)</f>
        <v>6.7151848773106808</v>
      </c>
      <c r="S37" s="34">
        <f>SLOPE(Q38:Q41,P38:P41)</f>
        <v>0.88525016896495379</v>
      </c>
    </row>
    <row r="38" spans="1:19">
      <c r="A38" t="s">
        <v>19</v>
      </c>
      <c r="B38" t="s">
        <v>107</v>
      </c>
      <c r="C38">
        <v>2</v>
      </c>
      <c r="D38">
        <v>1</v>
      </c>
      <c r="E38" s="12" t="s">
        <v>129</v>
      </c>
      <c r="F38" s="12">
        <v>800</v>
      </c>
      <c r="G38">
        <v>10</v>
      </c>
      <c r="H38" s="7">
        <v>0.1026</v>
      </c>
      <c r="I38">
        <v>50.014099999999999</v>
      </c>
      <c r="J38">
        <f>900+7.4</f>
        <v>907.4</v>
      </c>
      <c r="K38" s="39">
        <f>(J38/1000)*STD!$H$6/I38</f>
        <v>10.433382174545644</v>
      </c>
      <c r="L38" s="13">
        <f>Data!K38/1000</f>
        <v>3.2000000000000003E-4</v>
      </c>
      <c r="M38" s="40">
        <f t="shared" si="0"/>
        <v>5085.7720750871658</v>
      </c>
      <c r="N38" s="40">
        <f t="shared" si="1"/>
        <v>15893037.734647391</v>
      </c>
      <c r="O38" s="41">
        <f t="shared" si="2"/>
        <v>7.2012069145331541</v>
      </c>
      <c r="P38" s="11">
        <f t="shared" si="3"/>
        <v>-3.4948500216800942</v>
      </c>
      <c r="Q38" s="34">
        <f t="shared" si="3"/>
        <v>3.7063568928530604</v>
      </c>
    </row>
    <row r="39" spans="1:19">
      <c r="A39" t="s">
        <v>19</v>
      </c>
      <c r="B39" t="s">
        <v>107</v>
      </c>
      <c r="C39">
        <v>3</v>
      </c>
      <c r="D39">
        <v>1</v>
      </c>
      <c r="E39" s="12" t="s">
        <v>129</v>
      </c>
      <c r="F39" s="12">
        <v>800</v>
      </c>
      <c r="G39">
        <v>100</v>
      </c>
      <c r="H39" s="7">
        <v>0.1031</v>
      </c>
      <c r="I39">
        <v>50.005400000000002</v>
      </c>
      <c r="J39">
        <v>9.1</v>
      </c>
      <c r="K39" s="34">
        <f>(J39/1000)*STD!$F$6/I39</f>
        <v>104.65097666046917</v>
      </c>
      <c r="L39" s="13">
        <f>Data!K39/1000</f>
        <v>1.0999999999999999E-2</v>
      </c>
      <c r="M39" s="40">
        <f t="shared" si="0"/>
        <v>50752.317060110814</v>
      </c>
      <c r="N39" s="40">
        <f t="shared" si="1"/>
        <v>4613847.00546462</v>
      </c>
      <c r="O39" s="41">
        <f t="shared" si="2"/>
        <v>6.6640631892782451</v>
      </c>
      <c r="P39" s="11">
        <f t="shared" si="3"/>
        <v>-1.9586073148417751</v>
      </c>
      <c r="Q39" s="34">
        <f t="shared" si="3"/>
        <v>4.7054558744364696</v>
      </c>
    </row>
    <row r="40" spans="1:19">
      <c r="A40" t="s">
        <v>19</v>
      </c>
      <c r="B40" t="s">
        <v>107</v>
      </c>
      <c r="C40">
        <v>4</v>
      </c>
      <c r="D40">
        <v>1</v>
      </c>
      <c r="E40" s="12" t="s">
        <v>129</v>
      </c>
      <c r="F40" s="12">
        <v>800</v>
      </c>
      <c r="G40">
        <v>1000</v>
      </c>
      <c r="H40" s="7">
        <v>9.9099999999999994E-2</v>
      </c>
      <c r="I40">
        <v>50.014899999999997</v>
      </c>
      <c r="J40">
        <f>50+40.5</f>
        <v>90.5</v>
      </c>
      <c r="K40" s="34">
        <f>(J40/1000)*STD!$F$6/I40</f>
        <v>1040.5620275068293</v>
      </c>
      <c r="L40" s="13">
        <f>Data!K40/1000</f>
        <v>4.7E-2</v>
      </c>
      <c r="M40" s="40">
        <f t="shared" si="0"/>
        <v>525138.79968972062</v>
      </c>
      <c r="N40" s="40">
        <f t="shared" si="1"/>
        <v>11173165.950845119</v>
      </c>
      <c r="O40" s="41">
        <f t="shared" si="2"/>
        <v>7.0481762492270468</v>
      </c>
      <c r="P40" s="11">
        <f t="shared" si="3"/>
        <v>-1.3279021420642825</v>
      </c>
      <c r="Q40" s="34">
        <f t="shared" si="3"/>
        <v>5.7202741071627639</v>
      </c>
    </row>
    <row r="41" spans="1:19" s="2" customFormat="1">
      <c r="A41" s="2" t="s">
        <v>19</v>
      </c>
      <c r="B41" s="2" t="s">
        <v>107</v>
      </c>
      <c r="C41" s="2">
        <v>5</v>
      </c>
      <c r="D41" s="2">
        <v>1</v>
      </c>
      <c r="E41" s="42" t="s">
        <v>129</v>
      </c>
      <c r="F41" s="42">
        <v>800</v>
      </c>
      <c r="G41" s="2">
        <v>5000</v>
      </c>
      <c r="H41" s="8">
        <v>9.7900000000000001E-2</v>
      </c>
      <c r="I41" s="2">
        <v>50.003799999999998</v>
      </c>
      <c r="J41" s="42">
        <v>455</v>
      </c>
      <c r="K41" s="38">
        <f>(J41/1000)*STD!$F$6/I41</f>
        <v>5232.7162618615239</v>
      </c>
      <c r="L41" s="2">
        <f>Data!K41/1000</f>
        <v>0.46</v>
      </c>
      <c r="M41" s="40">
        <f t="shared" si="0"/>
        <v>2672448.3724910244</v>
      </c>
      <c r="N41" s="44">
        <f t="shared" si="1"/>
        <v>5809670.3749804879</v>
      </c>
      <c r="O41" s="43">
        <f t="shared" si="2"/>
        <v>6.7641514923923811</v>
      </c>
      <c r="P41" s="66">
        <f t="shared" si="3"/>
        <v>-0.33724216831842591</v>
      </c>
      <c r="Q41" s="38">
        <f t="shared" si="3"/>
        <v>6.4269093240739545</v>
      </c>
    </row>
    <row r="42" spans="1:19">
      <c r="A42" t="s">
        <v>20</v>
      </c>
      <c r="B42" t="s">
        <v>107</v>
      </c>
      <c r="C42">
        <v>1</v>
      </c>
      <c r="D42">
        <v>1</v>
      </c>
      <c r="E42" s="12" t="s">
        <v>130</v>
      </c>
      <c r="F42" s="12">
        <v>600</v>
      </c>
      <c r="G42">
        <v>1</v>
      </c>
      <c r="H42" s="7">
        <v>0.1019</v>
      </c>
      <c r="I42">
        <v>49.9985</v>
      </c>
      <c r="J42">
        <f>50+40.5</f>
        <v>90.5</v>
      </c>
      <c r="K42" s="39">
        <f>(J42/1000)*STD!$H$6/I42</f>
        <v>1.040903342091289</v>
      </c>
      <c r="L42" s="13">
        <f>Data!K42/1000</f>
        <v>1</v>
      </c>
      <c r="M42" s="40">
        <f>(K42*(I42/1000)-L42*(I42/1000))/(H42/1000)</f>
        <v>20.06973257655854</v>
      </c>
      <c r="N42" s="40">
        <f t="shared" si="1"/>
        <v>20.06973257655854</v>
      </c>
      <c r="O42" s="41">
        <f t="shared" si="2"/>
        <v>1.3025415856763882</v>
      </c>
      <c r="P42" s="11">
        <f t="shared" si="3"/>
        <v>0</v>
      </c>
      <c r="Q42" s="34">
        <f t="shared" si="3"/>
        <v>1.3025415856763882</v>
      </c>
      <c r="R42" s="34" t="e">
        <f>INTERCEPT(Q42:Q46,P42:P46)</f>
        <v>#NUM!</v>
      </c>
      <c r="S42" s="34" t="e">
        <f>SLOPE(Q42:Q46,P42:P46)</f>
        <v>#NUM!</v>
      </c>
    </row>
    <row r="43" spans="1:19">
      <c r="A43" t="s">
        <v>20</v>
      </c>
      <c r="B43" t="s">
        <v>107</v>
      </c>
      <c r="C43">
        <v>2</v>
      </c>
      <c r="D43">
        <v>1</v>
      </c>
      <c r="E43" s="12" t="s">
        <v>130</v>
      </c>
      <c r="F43" s="12">
        <v>600</v>
      </c>
      <c r="G43">
        <v>10</v>
      </c>
      <c r="H43" s="7">
        <v>0.1022</v>
      </c>
      <c r="I43">
        <v>50.035200000000003</v>
      </c>
      <c r="J43">
        <f>900+7.4</f>
        <v>907.4</v>
      </c>
      <c r="K43" s="39">
        <f>(J43/1000)*STD!$H$6/I43</f>
        <v>10.428982384720021</v>
      </c>
      <c r="L43" s="13">
        <f>Data!K43/1000</f>
        <v>11</v>
      </c>
      <c r="M43" s="40">
        <f t="shared" si="0"/>
        <v>-279.55949690857949</v>
      </c>
      <c r="N43" s="40">
        <f t="shared" si="1"/>
        <v>-25.414499718961771</v>
      </c>
      <c r="O43" s="41" t="e">
        <f t="shared" si="2"/>
        <v>#NUM!</v>
      </c>
      <c r="P43" s="11">
        <f t="shared" si="3"/>
        <v>1.0413926851582251</v>
      </c>
      <c r="Q43" s="34" t="e">
        <f t="shared" si="3"/>
        <v>#NUM!</v>
      </c>
    </row>
    <row r="44" spans="1:19">
      <c r="A44" t="s">
        <v>20</v>
      </c>
      <c r="B44" t="s">
        <v>107</v>
      </c>
      <c r="C44">
        <v>3</v>
      </c>
      <c r="D44">
        <v>1</v>
      </c>
      <c r="E44" s="12" t="s">
        <v>130</v>
      </c>
      <c r="F44" s="12">
        <v>600</v>
      </c>
      <c r="G44">
        <v>100</v>
      </c>
      <c r="H44" s="7">
        <v>0.1018</v>
      </c>
      <c r="I44">
        <v>50.004399999999997</v>
      </c>
      <c r="J44">
        <v>9.1</v>
      </c>
      <c r="K44" s="34">
        <f>(J44/1000)*STD!$F$6/I44</f>
        <v>104.65306949583287</v>
      </c>
      <c r="L44" s="13">
        <f>Data!K44/1000</f>
        <v>96</v>
      </c>
      <c r="M44" s="40">
        <f t="shared" si="0"/>
        <v>4250.4081365169486</v>
      </c>
      <c r="N44" s="40">
        <f t="shared" si="1"/>
        <v>44.275084755384881</v>
      </c>
      <c r="O44" s="41">
        <f t="shared" si="2"/>
        <v>1.6461594012288143</v>
      </c>
      <c r="P44" s="11">
        <f t="shared" si="3"/>
        <v>1.9822712330395684</v>
      </c>
      <c r="Q44" s="34">
        <f t="shared" si="3"/>
        <v>3.628430634268383</v>
      </c>
    </row>
    <row r="45" spans="1:19">
      <c r="A45" t="s">
        <v>20</v>
      </c>
      <c r="B45" t="s">
        <v>107</v>
      </c>
      <c r="C45">
        <v>4</v>
      </c>
      <c r="D45">
        <v>1</v>
      </c>
      <c r="E45" s="12" t="s">
        <v>130</v>
      </c>
      <c r="F45" s="12">
        <v>600</v>
      </c>
      <c r="G45">
        <v>1000</v>
      </c>
      <c r="H45" s="6">
        <v>9.8799999999999999E-2</v>
      </c>
      <c r="I45">
        <v>50.011099999999999</v>
      </c>
      <c r="J45">
        <f>50+40.5</f>
        <v>90.5</v>
      </c>
      <c r="K45" s="34">
        <f>(J45/1000)*STD!$F$6/I45</f>
        <v>1040.6410926684539</v>
      </c>
      <c r="L45" s="13">
        <f>Data!K45/1000</f>
        <v>1100</v>
      </c>
      <c r="M45" s="40">
        <f t="shared" si="0"/>
        <v>-30046.601725189117</v>
      </c>
      <c r="N45" s="40">
        <f t="shared" si="1"/>
        <v>-27.315092477444651</v>
      </c>
      <c r="O45" s="41" t="e">
        <f t="shared" si="2"/>
        <v>#NUM!</v>
      </c>
      <c r="P45" s="11">
        <f t="shared" si="3"/>
        <v>3.0413926851582249</v>
      </c>
      <c r="Q45" s="34" t="e">
        <f t="shared" si="3"/>
        <v>#NUM!</v>
      </c>
    </row>
    <row r="46" spans="1:19" s="2" customFormat="1">
      <c r="A46" s="2" t="s">
        <v>20</v>
      </c>
      <c r="B46" s="2" t="s">
        <v>107</v>
      </c>
      <c r="C46" s="2">
        <v>5</v>
      </c>
      <c r="D46" s="2">
        <v>1</v>
      </c>
      <c r="E46" s="42" t="s">
        <v>130</v>
      </c>
      <c r="F46" s="42">
        <v>600</v>
      </c>
      <c r="G46" s="2">
        <v>5000</v>
      </c>
      <c r="H46" s="8">
        <v>9.9500000000000005E-2</v>
      </c>
      <c r="I46" s="2">
        <v>50.001100000000001</v>
      </c>
      <c r="J46" s="42">
        <v>455</v>
      </c>
      <c r="K46" s="38">
        <f>(J46/1000)*STD!$F$6/I46</f>
        <v>5232.998822323334</v>
      </c>
      <c r="L46" s="2">
        <f>Data!K46/1000</f>
        <v>6700</v>
      </c>
      <c r="M46" s="40">
        <f t="shared" si="0"/>
        <v>-737202.73954903218</v>
      </c>
      <c r="N46" s="44">
        <f t="shared" si="1"/>
        <v>-110.03025963418391</v>
      </c>
      <c r="O46" s="43" t="e">
        <f t="shared" si="2"/>
        <v>#NUM!</v>
      </c>
      <c r="P46" s="66">
        <f t="shared" si="3"/>
        <v>3.8260748027008264</v>
      </c>
      <c r="Q46" s="38" t="e">
        <f t="shared" si="3"/>
        <v>#NUM!</v>
      </c>
    </row>
    <row r="47" spans="1:19">
      <c r="A47" t="s">
        <v>22</v>
      </c>
      <c r="B47" t="s">
        <v>107</v>
      </c>
      <c r="C47">
        <v>1</v>
      </c>
      <c r="D47">
        <v>1</v>
      </c>
      <c r="E47" s="12" t="s">
        <v>130</v>
      </c>
      <c r="F47" s="12">
        <v>700</v>
      </c>
      <c r="G47">
        <v>1</v>
      </c>
      <c r="H47" s="7">
        <v>0.1</v>
      </c>
      <c r="I47">
        <v>49.997900000000001</v>
      </c>
      <c r="J47">
        <f>50+40.5</f>
        <v>90.5</v>
      </c>
      <c r="K47" s="39">
        <f>(J47/1000)*STD!$H$6/I47</f>
        <v>1.0409158334560313</v>
      </c>
      <c r="L47" s="13">
        <f>Data!K47/1000</f>
        <v>3.1E-2</v>
      </c>
      <c r="M47" s="40">
        <f t="shared" si="0"/>
        <v>504.93670849551307</v>
      </c>
      <c r="N47" s="40">
        <f t="shared" si="1"/>
        <v>16288.280919210099</v>
      </c>
      <c r="O47" s="41">
        <f t="shared" si="2"/>
        <v>4.2118752508709782</v>
      </c>
      <c r="P47" s="11">
        <f t="shared" si="3"/>
        <v>-1.5086383061657274</v>
      </c>
      <c r="Q47" s="34">
        <f t="shared" si="3"/>
        <v>2.7032369447052509</v>
      </c>
      <c r="R47" s="34">
        <f>INTERCEPT(Q47:Q51,P47:P51)</f>
        <v>3.8364607693824619</v>
      </c>
      <c r="S47" s="34">
        <f>SLOPE(Q47:Q51,P47:P51)</f>
        <v>0.50944080368452216</v>
      </c>
    </row>
    <row r="48" spans="1:19">
      <c r="A48" t="s">
        <v>22</v>
      </c>
      <c r="B48" t="s">
        <v>107</v>
      </c>
      <c r="C48">
        <v>2</v>
      </c>
      <c r="D48">
        <v>1</v>
      </c>
      <c r="E48" s="12" t="s">
        <v>130</v>
      </c>
      <c r="F48" s="12">
        <v>700</v>
      </c>
      <c r="G48">
        <v>10</v>
      </c>
      <c r="H48" s="7">
        <v>0.10100000000000001</v>
      </c>
      <c r="I48">
        <v>49.991599999999998</v>
      </c>
      <c r="J48">
        <f>900+7.4</f>
        <v>907.4</v>
      </c>
      <c r="K48" s="39">
        <f>(J48/1000)*STD!$H$6/I48</f>
        <v>10.438077985420415</v>
      </c>
      <c r="L48" s="13">
        <f>Data!K48/1000</f>
        <v>0.52</v>
      </c>
      <c r="M48" s="40">
        <f t="shared" si="0"/>
        <v>4909.114726890527</v>
      </c>
      <c r="N48" s="40">
        <f t="shared" si="1"/>
        <v>9440.6052440202438</v>
      </c>
      <c r="O48" s="41">
        <f t="shared" si="2"/>
        <v>3.9749998381235065</v>
      </c>
      <c r="P48" s="11">
        <f t="shared" si="3"/>
        <v>-0.28399665636520083</v>
      </c>
      <c r="Q48" s="34">
        <f t="shared" si="3"/>
        <v>3.691003181758306</v>
      </c>
    </row>
    <row r="49" spans="1:19">
      <c r="A49" t="s">
        <v>22</v>
      </c>
      <c r="B49" t="s">
        <v>107</v>
      </c>
      <c r="C49">
        <v>3</v>
      </c>
      <c r="D49">
        <v>1</v>
      </c>
      <c r="E49" s="12" t="s">
        <v>130</v>
      </c>
      <c r="F49" s="12">
        <v>700</v>
      </c>
      <c r="G49">
        <v>100</v>
      </c>
      <c r="H49" s="7">
        <v>0.1016</v>
      </c>
      <c r="I49">
        <v>50.011000000000003</v>
      </c>
      <c r="J49">
        <v>9.1</v>
      </c>
      <c r="K49" s="34">
        <f>(J49/1000)*STD!$F$6/I49</f>
        <v>104.63925832911609</v>
      </c>
      <c r="L49" s="13">
        <f>Data!K49/1000</f>
        <v>5</v>
      </c>
      <c r="M49" s="40">
        <f t="shared" si="0"/>
        <v>49045.855790328991</v>
      </c>
      <c r="N49" s="40">
        <f t="shared" si="1"/>
        <v>9809.1711580657975</v>
      </c>
      <c r="O49" s="41">
        <f t="shared" si="2"/>
        <v>3.9916323125088238</v>
      </c>
      <c r="P49" s="11">
        <f t="shared" si="3"/>
        <v>0.69897000433601886</v>
      </c>
      <c r="Q49" s="34">
        <f t="shared" si="3"/>
        <v>4.690602316844843</v>
      </c>
    </row>
    <row r="50" spans="1:19">
      <c r="A50" t="s">
        <v>22</v>
      </c>
      <c r="B50" t="s">
        <v>107</v>
      </c>
      <c r="C50">
        <v>4</v>
      </c>
      <c r="D50">
        <v>1</v>
      </c>
      <c r="E50" s="12" t="s">
        <v>130</v>
      </c>
      <c r="F50" s="12">
        <v>700</v>
      </c>
      <c r="G50">
        <v>1000</v>
      </c>
      <c r="H50" s="7">
        <v>0.1</v>
      </c>
      <c r="I50">
        <v>49.990499999999997</v>
      </c>
      <c r="J50">
        <f>50+40.5</f>
        <v>90.5</v>
      </c>
      <c r="K50" s="34">
        <f>(J50/1000)*STD!$F$6/I50</f>
        <v>1041.0699182754986</v>
      </c>
      <c r="L50" s="13">
        <f>Data!K50/1000</f>
        <v>380</v>
      </c>
      <c r="M50" s="40">
        <f t="shared" si="0"/>
        <v>330472.15749551309</v>
      </c>
      <c r="N50" s="40">
        <f t="shared" si="1"/>
        <v>869.66357235661337</v>
      </c>
      <c r="O50" s="41">
        <f t="shared" si="2"/>
        <v>2.9393512791400385</v>
      </c>
      <c r="P50" s="11">
        <f t="shared" si="3"/>
        <v>2.5797835966168101</v>
      </c>
      <c r="Q50" s="34">
        <f t="shared" si="3"/>
        <v>5.5191348757568486</v>
      </c>
    </row>
    <row r="51" spans="1:19" s="2" customFormat="1">
      <c r="A51" s="2" t="s">
        <v>22</v>
      </c>
      <c r="B51" s="2" t="s">
        <v>107</v>
      </c>
      <c r="C51" s="2">
        <v>5</v>
      </c>
      <c r="D51" s="2">
        <v>1</v>
      </c>
      <c r="E51" s="42" t="s">
        <v>130</v>
      </c>
      <c r="F51" s="42">
        <v>700</v>
      </c>
      <c r="G51" s="2">
        <v>5000</v>
      </c>
      <c r="H51" s="8">
        <v>0.1013</v>
      </c>
      <c r="I51" s="2">
        <v>50.0047</v>
      </c>
      <c r="J51" s="42">
        <v>455</v>
      </c>
      <c r="K51" s="38">
        <f>(J51/1000)*STD!$F$6/I51</f>
        <v>5232.6220818217334</v>
      </c>
      <c r="L51" s="2">
        <f>Data!K51/1000</f>
        <v>4900</v>
      </c>
      <c r="M51" s="40">
        <f t="shared" si="0"/>
        <v>164192.17586249957</v>
      </c>
      <c r="N51" s="44">
        <f t="shared" si="1"/>
        <v>33.508607318877466</v>
      </c>
      <c r="O51" s="43">
        <f t="shared" si="2"/>
        <v>1.5251563781099533</v>
      </c>
      <c r="P51" s="66">
        <f t="shared" si="3"/>
        <v>3.6901960800285138</v>
      </c>
      <c r="Q51" s="38">
        <f t="shared" si="3"/>
        <v>5.2153524581384669</v>
      </c>
    </row>
    <row r="52" spans="1:19">
      <c r="A52" t="s">
        <v>23</v>
      </c>
      <c r="B52" t="s">
        <v>107</v>
      </c>
      <c r="C52">
        <v>1</v>
      </c>
      <c r="D52">
        <v>1</v>
      </c>
      <c r="E52" s="12" t="s">
        <v>130</v>
      </c>
      <c r="F52" s="12">
        <v>750</v>
      </c>
      <c r="G52">
        <v>1</v>
      </c>
      <c r="H52" s="7">
        <v>0.1</v>
      </c>
      <c r="I52">
        <v>50.000700000000002</v>
      </c>
      <c r="J52">
        <f>50+40.5</f>
        <v>90.5</v>
      </c>
      <c r="K52" s="39">
        <f>(J52/1000)*STD!$H$6/I52</f>
        <v>1.0408575429854243</v>
      </c>
      <c r="L52" s="13">
        <f>Data!K52/1000</f>
        <v>4.4000000000000003E-3</v>
      </c>
      <c r="M52" s="40">
        <f t="shared" si="0"/>
        <v>518.23602669551303</v>
      </c>
      <c r="N52" s="40">
        <f t="shared" si="1"/>
        <v>117780.91515807113</v>
      </c>
      <c r="O52" s="41">
        <f t="shared" si="2"/>
        <v>5.0710749244662132</v>
      </c>
      <c r="P52" s="11">
        <f t="shared" si="3"/>
        <v>-2.3565473235138126</v>
      </c>
      <c r="Q52" s="34">
        <f t="shared" si="3"/>
        <v>2.7145276009524002</v>
      </c>
      <c r="R52" s="34">
        <f>INTERCEPT(Q52:Q56,P52:P56)</f>
        <v>4.5388587862422529</v>
      </c>
      <c r="S52" s="34">
        <f>SLOPE(Q52:Q56,P52:P56)</f>
        <v>0.59263784666008124</v>
      </c>
    </row>
    <row r="53" spans="1:19">
      <c r="A53" t="s">
        <v>23</v>
      </c>
      <c r="B53" t="s">
        <v>107</v>
      </c>
      <c r="C53">
        <v>2</v>
      </c>
      <c r="D53">
        <v>1</v>
      </c>
      <c r="E53" s="12" t="s">
        <v>130</v>
      </c>
      <c r="F53" s="12">
        <v>750</v>
      </c>
      <c r="G53">
        <v>10</v>
      </c>
      <c r="H53" s="7">
        <v>0.10100000000000001</v>
      </c>
      <c r="I53">
        <v>49.992699999999999</v>
      </c>
      <c r="J53">
        <f>900+7.4</f>
        <v>907.4</v>
      </c>
      <c r="K53" s="39">
        <f>(J53/1000)*STD!$H$6/I53</f>
        <v>10.437848314172735</v>
      </c>
      <c r="L53" s="13">
        <f>Data!K53/1000</f>
        <v>2.9000000000000001E-2</v>
      </c>
      <c r="M53" s="40">
        <f t="shared" si="0"/>
        <v>5152.142882336072</v>
      </c>
      <c r="N53" s="40">
        <f t="shared" si="1"/>
        <v>177660.09939089903</v>
      </c>
      <c r="O53" s="41">
        <f t="shared" si="2"/>
        <v>5.2495899007365079</v>
      </c>
      <c r="P53" s="11">
        <f t="shared" si="3"/>
        <v>-1.5376020021010439</v>
      </c>
      <c r="Q53" s="34">
        <f t="shared" si="3"/>
        <v>3.7119878986354635</v>
      </c>
    </row>
    <row r="54" spans="1:19">
      <c r="A54" t="s">
        <v>23</v>
      </c>
      <c r="B54" t="s">
        <v>107</v>
      </c>
      <c r="C54">
        <v>3</v>
      </c>
      <c r="D54">
        <v>1</v>
      </c>
      <c r="E54" s="12" t="s">
        <v>130</v>
      </c>
      <c r="F54" s="12">
        <v>750</v>
      </c>
      <c r="G54">
        <v>100</v>
      </c>
      <c r="H54" s="7">
        <v>0.1013</v>
      </c>
      <c r="I54">
        <v>50.048099999999998</v>
      </c>
      <c r="J54">
        <v>9.1</v>
      </c>
      <c r="K54" s="34">
        <f>(J54/1000)*STD!$F$6/I54</f>
        <v>104.56169061957247</v>
      </c>
      <c r="L54" s="13">
        <f>Data!K54/1000</f>
        <v>0.51</v>
      </c>
      <c r="M54" s="40">
        <f t="shared" si="0"/>
        <v>51407.59543235365</v>
      </c>
      <c r="N54" s="40">
        <f t="shared" si="1"/>
        <v>100799.2067301052</v>
      </c>
      <c r="O54" s="41">
        <f t="shared" si="2"/>
        <v>5.003457114310959</v>
      </c>
      <c r="P54" s="11">
        <f t="shared" si="3"/>
        <v>-0.29242982390206362</v>
      </c>
      <c r="Q54" s="34">
        <f t="shared" si="3"/>
        <v>4.7110272904088957</v>
      </c>
    </row>
    <row r="55" spans="1:19">
      <c r="A55" t="s">
        <v>23</v>
      </c>
      <c r="B55" t="s">
        <v>107</v>
      </c>
      <c r="C55">
        <v>4</v>
      </c>
      <c r="D55">
        <v>1</v>
      </c>
      <c r="E55" s="12" t="s">
        <v>130</v>
      </c>
      <c r="F55" s="12">
        <v>750</v>
      </c>
      <c r="G55">
        <v>1000</v>
      </c>
      <c r="H55" s="7">
        <v>9.8000000000000004E-2</v>
      </c>
      <c r="I55">
        <v>50.0017</v>
      </c>
      <c r="J55">
        <f>50+40.5</f>
        <v>90.5</v>
      </c>
      <c r="K55" s="34">
        <f>(J55/1000)*STD!$F$6/I55</f>
        <v>1040.8367265423237</v>
      </c>
      <c r="L55" s="13">
        <f>Data!K55/1000</f>
        <v>22</v>
      </c>
      <c r="M55" s="40">
        <f t="shared" si="0"/>
        <v>519832.33009746223</v>
      </c>
      <c r="N55" s="40">
        <f t="shared" si="1"/>
        <v>23628.742277157373</v>
      </c>
      <c r="O55" s="41">
        <f t="shared" si="2"/>
        <v>4.3734406053976098</v>
      </c>
      <c r="P55" s="11">
        <f t="shared" si="3"/>
        <v>1.3424226808222062</v>
      </c>
      <c r="Q55" s="34">
        <f t="shared" si="3"/>
        <v>5.7158632862198164</v>
      </c>
    </row>
    <row r="56" spans="1:19" s="2" customFormat="1">
      <c r="A56" s="2" t="s">
        <v>23</v>
      </c>
      <c r="B56" s="2" t="s">
        <v>107</v>
      </c>
      <c r="C56" s="2">
        <v>5</v>
      </c>
      <c r="D56" s="2">
        <v>1</v>
      </c>
      <c r="E56" s="42" t="s">
        <v>130</v>
      </c>
      <c r="F56" s="42">
        <v>750</v>
      </c>
      <c r="G56" s="2">
        <v>5000</v>
      </c>
      <c r="H56" s="8">
        <v>0.10440000000000001</v>
      </c>
      <c r="I56" s="2">
        <v>49.9968</v>
      </c>
      <c r="J56" s="42">
        <v>455</v>
      </c>
      <c r="K56" s="38">
        <f>(J56/1000)*STD!$F$6/I56</f>
        <v>5233.4488890263228</v>
      </c>
      <c r="L56" s="2">
        <f>Data!K56/1000</f>
        <v>2300</v>
      </c>
      <c r="M56" s="40">
        <f t="shared" si="0"/>
        <v>1404818.5576137095</v>
      </c>
      <c r="N56" s="44">
        <f t="shared" si="1"/>
        <v>610.79067722335196</v>
      </c>
      <c r="O56" s="43">
        <f t="shared" si="2"/>
        <v>2.7858923996002418</v>
      </c>
      <c r="P56" s="66">
        <f t="shared" si="3"/>
        <v>3.3617278360175931</v>
      </c>
      <c r="Q56" s="38">
        <f t="shared" si="3"/>
        <v>6.1476202356178344</v>
      </c>
    </row>
    <row r="57" spans="1:19">
      <c r="A57" t="s">
        <v>24</v>
      </c>
      <c r="B57" t="s">
        <v>107</v>
      </c>
      <c r="C57">
        <v>1</v>
      </c>
      <c r="D57">
        <v>1</v>
      </c>
      <c r="E57" s="12" t="s">
        <v>131</v>
      </c>
      <c r="F57" s="12">
        <v>600</v>
      </c>
      <c r="G57">
        <v>1</v>
      </c>
      <c r="H57" s="7">
        <v>0.1036</v>
      </c>
      <c r="I57">
        <v>49.9923</v>
      </c>
      <c r="J57">
        <f>50+40.5</f>
        <v>90.5</v>
      </c>
      <c r="K57" s="39">
        <f>(J57/1000)*STD!$H$6/I57</f>
        <v>1.0410324339858601</v>
      </c>
      <c r="L57" s="13">
        <f>Data!K57/1000</f>
        <v>1.4</v>
      </c>
      <c r="M57" s="40">
        <f t="shared" si="0"/>
        <v>-173.22021477267074</v>
      </c>
      <c r="N57" s="40">
        <f t="shared" si="1"/>
        <v>-123.72872483762197</v>
      </c>
      <c r="O57" s="41" t="e">
        <f t="shared" si="2"/>
        <v>#NUM!</v>
      </c>
      <c r="P57" s="11">
        <f t="shared" si="3"/>
        <v>0.14612803567823801</v>
      </c>
      <c r="Q57" s="34" t="e">
        <f t="shared" si="3"/>
        <v>#NUM!</v>
      </c>
      <c r="R57" s="34" t="e">
        <f>INTERCEPT(Q57:Q61,P57:P61)</f>
        <v>#NUM!</v>
      </c>
      <c r="S57" s="34" t="e">
        <f>SLOPE(Q57:Q61,P57:P61)</f>
        <v>#NUM!</v>
      </c>
    </row>
    <row r="58" spans="1:19">
      <c r="A58" t="s">
        <v>24</v>
      </c>
      <c r="B58" t="s">
        <v>107</v>
      </c>
      <c r="C58">
        <v>2</v>
      </c>
      <c r="D58">
        <v>1</v>
      </c>
      <c r="E58" s="12" t="s">
        <v>131</v>
      </c>
      <c r="F58" s="12">
        <v>600</v>
      </c>
      <c r="G58">
        <v>10</v>
      </c>
      <c r="H58" s="7">
        <v>9.8900000000000002E-2</v>
      </c>
      <c r="I58">
        <v>49.992899999999999</v>
      </c>
      <c r="J58">
        <f>900+7.4</f>
        <v>907.4</v>
      </c>
      <c r="K58" s="39">
        <f>(J58/1000)*STD!$H$6/I58</f>
        <v>10.437806556849937</v>
      </c>
      <c r="L58" s="13">
        <f>Data!K58/1000</f>
        <v>11</v>
      </c>
      <c r="M58" s="40">
        <f t="shared" si="0"/>
        <v>-284.18281682564924</v>
      </c>
      <c r="N58" s="40">
        <f t="shared" si="1"/>
        <v>-25.834801529604476</v>
      </c>
      <c r="O58" s="41" t="e">
        <f t="shared" si="2"/>
        <v>#NUM!</v>
      </c>
      <c r="P58" s="11">
        <f t="shared" si="3"/>
        <v>1.0413926851582251</v>
      </c>
      <c r="Q58" s="34" t="e">
        <f t="shared" si="3"/>
        <v>#NUM!</v>
      </c>
    </row>
    <row r="59" spans="1:19">
      <c r="A59" t="s">
        <v>24</v>
      </c>
      <c r="B59" t="s">
        <v>107</v>
      </c>
      <c r="C59">
        <v>3</v>
      </c>
      <c r="D59">
        <v>1</v>
      </c>
      <c r="E59" s="12" t="s">
        <v>131</v>
      </c>
      <c r="F59" s="12">
        <v>600</v>
      </c>
      <c r="G59">
        <v>100</v>
      </c>
      <c r="H59" s="7">
        <v>0.1036</v>
      </c>
      <c r="I59">
        <v>49.995100000000001</v>
      </c>
      <c r="J59">
        <v>9.1</v>
      </c>
      <c r="K59" s="34">
        <f>(J59/1000)*STD!$F$6/I59</f>
        <v>104.6725368745622</v>
      </c>
      <c r="L59" s="13">
        <f>Data!K59/1000</f>
        <v>97</v>
      </c>
      <c r="M59" s="40">
        <f t="shared" si="0"/>
        <v>3702.5989217898168</v>
      </c>
      <c r="N59" s="40">
        <f t="shared" si="1"/>
        <v>38.171122905049657</v>
      </c>
      <c r="O59" s="41">
        <f t="shared" si="2"/>
        <v>1.5817349360636814</v>
      </c>
      <c r="P59" s="11">
        <f t="shared" si="3"/>
        <v>1.9867717342662448</v>
      </c>
      <c r="Q59" s="34">
        <f t="shared" si="3"/>
        <v>3.5685066703299264</v>
      </c>
    </row>
    <row r="60" spans="1:19">
      <c r="A60" t="s">
        <v>24</v>
      </c>
      <c r="B60" t="s">
        <v>107</v>
      </c>
      <c r="C60">
        <v>4</v>
      </c>
      <c r="D60">
        <v>1</v>
      </c>
      <c r="E60" s="12" t="s">
        <v>131</v>
      </c>
      <c r="F60" s="12">
        <v>600</v>
      </c>
      <c r="G60">
        <v>1000</v>
      </c>
      <c r="H60" s="7">
        <v>0.10009999999999999</v>
      </c>
      <c r="I60">
        <v>50.022300000000001</v>
      </c>
      <c r="J60">
        <f>50+40.5</f>
        <v>90.5</v>
      </c>
      <c r="K60" s="34">
        <f>(J60/1000)*STD!$F$6/I60</f>
        <v>1040.4080929815564</v>
      </c>
      <c r="L60" s="13">
        <f>Data!K60/1000</f>
        <v>910</v>
      </c>
      <c r="M60" s="40">
        <f t="shared" si="0"/>
        <v>65167.959535977046</v>
      </c>
      <c r="N60" s="40">
        <f t="shared" si="1"/>
        <v>71.613142347227523</v>
      </c>
      <c r="O60" s="41">
        <f t="shared" si="2"/>
        <v>1.854992730759226</v>
      </c>
      <c r="P60" s="11">
        <f t="shared" si="3"/>
        <v>2.9590413923210934</v>
      </c>
      <c r="Q60" s="34">
        <f t="shared" si="3"/>
        <v>4.8140341230803196</v>
      </c>
    </row>
    <row r="61" spans="1:19" s="2" customFormat="1">
      <c r="A61" s="2" t="s">
        <v>24</v>
      </c>
      <c r="B61" s="2" t="s">
        <v>107</v>
      </c>
      <c r="C61" s="2">
        <v>5</v>
      </c>
      <c r="D61" s="2">
        <v>1</v>
      </c>
      <c r="E61" s="42" t="s">
        <v>131</v>
      </c>
      <c r="F61" s="42">
        <v>600</v>
      </c>
      <c r="G61" s="2">
        <v>5000</v>
      </c>
      <c r="H61" s="8">
        <v>0.1009</v>
      </c>
      <c r="I61" s="2">
        <v>49.995100000000001</v>
      </c>
      <c r="J61" s="42">
        <v>455</v>
      </c>
      <c r="K61" s="38">
        <f>(J61/1000)*STD!$F$6/I61</f>
        <v>5233.6268437281105</v>
      </c>
      <c r="L61" s="2">
        <f>Data!K61/1000</f>
        <v>6100</v>
      </c>
      <c r="M61" s="40">
        <f t="shared" si="0"/>
        <v>-429280.60044726171</v>
      </c>
      <c r="N61" s="44">
        <f t="shared" si="1"/>
        <v>-70.373868925780613</v>
      </c>
      <c r="O61" s="43" t="e">
        <f t="shared" si="2"/>
        <v>#NUM!</v>
      </c>
      <c r="P61" s="66">
        <f t="shared" si="3"/>
        <v>3.7853298350107671</v>
      </c>
      <c r="Q61" s="38" t="e">
        <f t="shared" si="3"/>
        <v>#NUM!</v>
      </c>
    </row>
    <row r="62" spans="1:19" s="46" customFormat="1">
      <c r="A62" s="46" t="s">
        <v>26</v>
      </c>
      <c r="B62" s="46" t="s">
        <v>107</v>
      </c>
      <c r="C62" s="47">
        <v>1</v>
      </c>
      <c r="D62" s="47">
        <v>1</v>
      </c>
      <c r="E62" s="51" t="s">
        <v>131</v>
      </c>
      <c r="F62" s="47">
        <v>700</v>
      </c>
      <c r="G62" s="46">
        <v>1</v>
      </c>
      <c r="H62" s="48">
        <v>9.8799999999999999E-2</v>
      </c>
      <c r="I62" s="46">
        <v>50.021299999999997</v>
      </c>
      <c r="J62" s="46">
        <f>50+40.5</f>
        <v>90.5</v>
      </c>
      <c r="K62" s="49">
        <f>(J62/1000)*STD!$H$6/I62</f>
        <v>1.0404288922829137</v>
      </c>
      <c r="L62" s="13">
        <f>Data!K62/1000</f>
        <v>2.7E-2</v>
      </c>
      <c r="M62" s="40">
        <f t="shared" si="0"/>
        <v>513.08735475254355</v>
      </c>
      <c r="N62" s="52">
        <f t="shared" si="1"/>
        <v>19003.235361205316</v>
      </c>
      <c r="O62" s="53">
        <f t="shared" si="2"/>
        <v>4.2788275472633721</v>
      </c>
      <c r="P62" s="11">
        <f t="shared" si="3"/>
        <v>-1.5686362358410126</v>
      </c>
      <c r="Q62" s="54">
        <f>LOG(M62)</f>
        <v>2.710191311422359</v>
      </c>
    </row>
    <row r="63" spans="1:19" s="46" customFormat="1">
      <c r="A63" s="46" t="s">
        <v>26</v>
      </c>
      <c r="B63" s="46" t="s">
        <v>107</v>
      </c>
      <c r="C63" s="47">
        <v>1</v>
      </c>
      <c r="D63" s="47">
        <v>2</v>
      </c>
      <c r="E63" s="51" t="s">
        <v>131</v>
      </c>
      <c r="F63" s="47">
        <v>700</v>
      </c>
      <c r="G63" s="46">
        <v>1</v>
      </c>
      <c r="H63" s="48">
        <v>9.7600000000000006E-2</v>
      </c>
      <c r="I63" s="46">
        <v>49.9983</v>
      </c>
      <c r="J63" s="46">
        <f>50+40.5</f>
        <v>90.5</v>
      </c>
      <c r="K63" s="49">
        <f>(J63/1000)*STD!$H$6/I63</f>
        <v>1.0409075058462249</v>
      </c>
      <c r="L63" s="13">
        <f>Data!K63/1000</f>
        <v>3.3000000000000002E-2</v>
      </c>
      <c r="M63" s="40">
        <f t="shared" si="0"/>
        <v>516.32850255687822</v>
      </c>
      <c r="N63" s="52">
        <f t="shared" si="1"/>
        <v>15646.31825929934</v>
      </c>
      <c r="O63" s="53">
        <f t="shared" si="2"/>
        <v>4.1944121599156157</v>
      </c>
      <c r="P63" s="11">
        <f t="shared" si="3"/>
        <v>-1.4814860601221125</v>
      </c>
      <c r="Q63" s="54">
        <f t="shared" si="3"/>
        <v>2.7129260997935032</v>
      </c>
    </row>
    <row r="64" spans="1:19" s="46" customFormat="1">
      <c r="A64" s="46" t="s">
        <v>26</v>
      </c>
      <c r="B64" s="46" t="s">
        <v>107</v>
      </c>
      <c r="C64" s="47">
        <v>1</v>
      </c>
      <c r="D64" s="47">
        <v>3</v>
      </c>
      <c r="E64" s="51" t="s">
        <v>131</v>
      </c>
      <c r="F64" s="47">
        <v>700</v>
      </c>
      <c r="G64" s="46">
        <v>1</v>
      </c>
      <c r="H64" s="48">
        <v>9.7199999999999995E-2</v>
      </c>
      <c r="I64" s="46">
        <v>49.993600000000001</v>
      </c>
      <c r="J64" s="46">
        <f>50+40.5</f>
        <v>90.5</v>
      </c>
      <c r="K64" s="49">
        <f>(J64/1000)*STD!$H$6/I64</f>
        <v>1.0410053636775769</v>
      </c>
      <c r="L64" s="13">
        <f>Data!K64/1000</f>
        <v>4.4999999999999998E-2</v>
      </c>
      <c r="M64" s="40">
        <f>(K64*(I64/1000)-L64*(I64/1000))/(H64/1000)</f>
        <v>512.28285750567193</v>
      </c>
      <c r="N64" s="52">
        <f t="shared" si="1"/>
        <v>11384.063500126043</v>
      </c>
      <c r="O64" s="53">
        <f t="shared" si="2"/>
        <v>4.0562973095707315</v>
      </c>
      <c r="P64" s="11">
        <f t="shared" si="3"/>
        <v>-1.3467874862246563</v>
      </c>
      <c r="Q64" s="54">
        <f t="shared" si="3"/>
        <v>2.709509823346075</v>
      </c>
    </row>
    <row r="65" spans="1:19">
      <c r="A65" t="s">
        <v>26</v>
      </c>
      <c r="B65" t="s">
        <v>107</v>
      </c>
      <c r="C65" s="3">
        <v>2</v>
      </c>
      <c r="D65">
        <v>1</v>
      </c>
      <c r="E65" s="12" t="s">
        <v>131</v>
      </c>
      <c r="F65" s="67">
        <v>700</v>
      </c>
      <c r="G65">
        <v>10</v>
      </c>
      <c r="H65" s="7">
        <v>9.69E-2</v>
      </c>
      <c r="I65">
        <v>50.006500000000003</v>
      </c>
      <c r="J65">
        <f>900+7.4</f>
        <v>907.4</v>
      </c>
      <c r="K65" s="39">
        <f>(J65/1000)*STD!$H$6/I65</f>
        <v>10.43496784249934</v>
      </c>
      <c r="L65" s="13">
        <f>Data!K65/1000</f>
        <v>0.44</v>
      </c>
      <c r="M65" s="40">
        <f t="shared" si="0"/>
        <v>5158.0326049116948</v>
      </c>
      <c r="N65" s="40">
        <f t="shared" si="1"/>
        <v>11722.801374799306</v>
      </c>
      <c r="O65" s="41">
        <f t="shared" si="2"/>
        <v>4.0690314065829813</v>
      </c>
      <c r="P65" s="11">
        <f t="shared" si="3"/>
        <v>-0.35654732351381258</v>
      </c>
      <c r="Q65" s="34">
        <f t="shared" si="3"/>
        <v>3.7124840830691692</v>
      </c>
    </row>
    <row r="66" spans="1:19">
      <c r="A66" t="s">
        <v>26</v>
      </c>
      <c r="B66" t="s">
        <v>107</v>
      </c>
      <c r="C66" s="3">
        <v>2</v>
      </c>
      <c r="D66">
        <v>2</v>
      </c>
      <c r="E66" s="12" t="s">
        <v>131</v>
      </c>
      <c r="F66" s="67">
        <v>700</v>
      </c>
      <c r="G66">
        <v>10</v>
      </c>
      <c r="H66" s="7">
        <v>9.9500000000000005E-2</v>
      </c>
      <c r="I66">
        <v>49.994599999999998</v>
      </c>
      <c r="J66">
        <f>900+7.4</f>
        <v>907.4</v>
      </c>
      <c r="K66" s="39">
        <f>(J66/1000)*STD!$H$6/I66</f>
        <v>10.43745163309524</v>
      </c>
      <c r="L66" s="13">
        <f>Data!K66/1000</f>
        <v>0.4</v>
      </c>
      <c r="M66" s="40">
        <f t="shared" si="0"/>
        <v>5043.4007981501827</v>
      </c>
      <c r="N66" s="40">
        <f t="shared" si="1"/>
        <v>12608.501995375456</v>
      </c>
      <c r="O66" s="41">
        <f t="shared" si="2"/>
        <v>4.1006634915066345</v>
      </c>
      <c r="P66" s="11">
        <f t="shared" si="3"/>
        <v>-0.3979400086720376</v>
      </c>
      <c r="Q66" s="34">
        <f t="shared" si="3"/>
        <v>3.7027234828345974</v>
      </c>
    </row>
    <row r="67" spans="1:19">
      <c r="A67" t="s">
        <v>26</v>
      </c>
      <c r="B67" t="s">
        <v>107</v>
      </c>
      <c r="C67" s="3">
        <v>2</v>
      </c>
      <c r="D67">
        <v>3</v>
      </c>
      <c r="E67" s="12" t="s">
        <v>131</v>
      </c>
      <c r="F67" s="67">
        <v>700</v>
      </c>
      <c r="G67">
        <v>10</v>
      </c>
      <c r="H67" s="7">
        <v>9.5699999999999993E-2</v>
      </c>
      <c r="I67">
        <v>50.005499999999998</v>
      </c>
      <c r="J67">
        <f>900+7.4</f>
        <v>907.4</v>
      </c>
      <c r="K67" s="39">
        <f>(J67/1000)*STD!$H$6/I67</f>
        <v>10.435176518901786</v>
      </c>
      <c r="L67" s="13">
        <f>Data!K67/1000</f>
        <v>0.52</v>
      </c>
      <c r="M67" s="40">
        <f t="shared" ref="M67:M79" si="4">(K67*(I67/1000)-L67*(I67/1000))/(H67/1000)</f>
        <v>5180.9128465615795</v>
      </c>
      <c r="N67" s="40">
        <f t="shared" ref="N67:N126" si="5">M67/L67</f>
        <v>9963.2939356953448</v>
      </c>
      <c r="O67" s="41">
        <f t="shared" ref="O67:O126" si="6">LOG(N67)</f>
        <v>3.9984029430017252</v>
      </c>
      <c r="P67" s="11">
        <f t="shared" ref="P67:Q126" si="7">LOG(L67)</f>
        <v>-0.28399665636520083</v>
      </c>
      <c r="Q67" s="34">
        <f t="shared" si="7"/>
        <v>3.7144062866365246</v>
      </c>
    </row>
    <row r="68" spans="1:19" s="46" customFormat="1">
      <c r="A68" s="46" t="s">
        <v>26</v>
      </c>
      <c r="B68" s="46" t="s">
        <v>107</v>
      </c>
      <c r="C68" s="47">
        <v>3</v>
      </c>
      <c r="D68" s="47">
        <v>1</v>
      </c>
      <c r="E68" s="51" t="s">
        <v>131</v>
      </c>
      <c r="F68" s="47">
        <v>700</v>
      </c>
      <c r="G68" s="46">
        <v>100</v>
      </c>
      <c r="H68" s="48">
        <v>9.8699999999999996E-2</v>
      </c>
      <c r="I68" s="46">
        <v>49.997500000000002</v>
      </c>
      <c r="J68" s="46">
        <v>9.1</v>
      </c>
      <c r="K68" s="49">
        <f>(J68/1000)*STD!$F$6/I68</f>
        <v>104.66751234156557</v>
      </c>
      <c r="L68" s="13">
        <f>Data!K68/1000</f>
        <v>5.4</v>
      </c>
      <c r="M68" s="40">
        <f t="shared" si="4"/>
        <v>50284.979212739869</v>
      </c>
      <c r="N68" s="52">
        <f t="shared" si="5"/>
        <v>9312.033187544419</v>
      </c>
      <c r="O68" s="53">
        <f t="shared" si="6"/>
        <v>3.9690445151088336</v>
      </c>
      <c r="P68" s="11">
        <f t="shared" si="7"/>
        <v>0.7323937598229685</v>
      </c>
      <c r="Q68" s="54">
        <f t="shared" si="7"/>
        <v>4.7014382749318022</v>
      </c>
    </row>
    <row r="69" spans="1:19" s="46" customFormat="1">
      <c r="A69" s="46" t="s">
        <v>26</v>
      </c>
      <c r="B69" s="46" t="s">
        <v>107</v>
      </c>
      <c r="C69" s="47">
        <v>3</v>
      </c>
      <c r="D69" s="47">
        <v>2</v>
      </c>
      <c r="E69" s="51" t="s">
        <v>131</v>
      </c>
      <c r="F69" s="47">
        <v>700</v>
      </c>
      <c r="G69" s="46">
        <v>100</v>
      </c>
      <c r="H69" s="48">
        <v>9.4299999999999995E-2</v>
      </c>
      <c r="I69" s="46">
        <v>50.017200000000003</v>
      </c>
      <c r="J69" s="46">
        <v>9.1</v>
      </c>
      <c r="K69" s="49">
        <f>(J69/1000)*STD!$F$6/I69</f>
        <v>104.62628752304057</v>
      </c>
      <c r="L69" s="13">
        <f>Data!K69/1000</f>
        <v>7.3</v>
      </c>
      <c r="M69" s="40">
        <f t="shared" si="4"/>
        <v>51622.358306441427</v>
      </c>
      <c r="N69" s="52">
        <f t="shared" si="5"/>
        <v>7071.5559323892367</v>
      </c>
      <c r="O69" s="53">
        <f t="shared" si="6"/>
        <v>3.8495149807708331</v>
      </c>
      <c r="P69" s="11">
        <f t="shared" si="7"/>
        <v>0.86332286012045589</v>
      </c>
      <c r="Q69" s="54">
        <f t="shared" si="7"/>
        <v>4.7128378408912894</v>
      </c>
    </row>
    <row r="70" spans="1:19" s="46" customFormat="1">
      <c r="A70" s="46" t="s">
        <v>26</v>
      </c>
      <c r="B70" s="46" t="s">
        <v>107</v>
      </c>
      <c r="C70" s="47">
        <v>3</v>
      </c>
      <c r="D70" s="47">
        <v>3</v>
      </c>
      <c r="E70" s="51" t="s">
        <v>131</v>
      </c>
      <c r="F70" s="47">
        <v>700</v>
      </c>
      <c r="G70" s="46">
        <v>100</v>
      </c>
      <c r="H70" s="48">
        <v>9.8100000000000007E-2</v>
      </c>
      <c r="I70" s="46">
        <v>49.997700000000002</v>
      </c>
      <c r="J70" s="46">
        <v>9.1</v>
      </c>
      <c r="K70" s="49">
        <f>(J70/1000)*STD!$F$6/I70</f>
        <v>104.6670936522565</v>
      </c>
      <c r="L70" s="13">
        <f>Data!K70/1000</f>
        <v>6.1</v>
      </c>
      <c r="M70" s="40">
        <f t="shared" si="4"/>
        <v>50235.759207924821</v>
      </c>
      <c r="N70" s="52">
        <f t="shared" si="5"/>
        <v>8235.3703619548887</v>
      </c>
      <c r="O70" s="53">
        <f t="shared" si="6"/>
        <v>3.9156831350827574</v>
      </c>
      <c r="P70" s="11">
        <f t="shared" si="7"/>
        <v>0.78532983501076703</v>
      </c>
      <c r="Q70" s="54">
        <f t="shared" si="7"/>
        <v>4.7010129700935241</v>
      </c>
    </row>
    <row r="71" spans="1:19">
      <c r="A71" t="s">
        <v>26</v>
      </c>
      <c r="B71" t="s">
        <v>107</v>
      </c>
      <c r="C71" s="3">
        <v>4</v>
      </c>
      <c r="D71">
        <v>1</v>
      </c>
      <c r="E71" s="12" t="s">
        <v>131</v>
      </c>
      <c r="F71" s="67">
        <v>700</v>
      </c>
      <c r="G71">
        <v>1000</v>
      </c>
      <c r="H71" s="7">
        <v>9.8400000000000001E-2</v>
      </c>
      <c r="I71">
        <v>49.9925</v>
      </c>
      <c r="J71">
        <f>50+40.5</f>
        <v>90.5</v>
      </c>
      <c r="K71" s="39">
        <f>(J71/1000)*STD!$F$6/I71</f>
        <v>1041.0282692314108</v>
      </c>
      <c r="L71" s="13">
        <f>Data!K71/1000</f>
        <v>370</v>
      </c>
      <c r="M71" s="40">
        <f t="shared" si="4"/>
        <v>340918.50355235068</v>
      </c>
      <c r="N71" s="40">
        <f t="shared" si="5"/>
        <v>921.40136095229911</v>
      </c>
      <c r="O71" s="41">
        <f t="shared" si="6"/>
        <v>2.9644488493901111</v>
      </c>
      <c r="P71" s="11">
        <f t="shared" si="7"/>
        <v>2.568201724066995</v>
      </c>
      <c r="Q71" s="34">
        <f t="shared" si="7"/>
        <v>5.5326505734571061</v>
      </c>
    </row>
    <row r="72" spans="1:19">
      <c r="A72" t="s">
        <v>26</v>
      </c>
      <c r="B72" t="s">
        <v>107</v>
      </c>
      <c r="C72" s="3">
        <v>4</v>
      </c>
      <c r="D72">
        <v>2</v>
      </c>
      <c r="E72" s="12" t="s">
        <v>131</v>
      </c>
      <c r="F72" s="67">
        <v>700</v>
      </c>
      <c r="G72">
        <v>1000</v>
      </c>
      <c r="H72" s="7">
        <v>0.1042</v>
      </c>
      <c r="I72">
        <v>50.0167</v>
      </c>
      <c r="J72">
        <f>50+40.5</f>
        <v>90.5</v>
      </c>
      <c r="K72" s="39">
        <f>(J72/1000)*STD!$F$6/I72</f>
        <v>1040.5245797813791</v>
      </c>
      <c r="L72" s="13">
        <f>Data!K72/1000</f>
        <v>360</v>
      </c>
      <c r="M72" s="40">
        <f t="shared" si="4"/>
        <v>326656.36995730619</v>
      </c>
      <c r="N72" s="40">
        <f t="shared" si="5"/>
        <v>907.37880543696167</v>
      </c>
      <c r="O72" s="41">
        <f t="shared" si="6"/>
        <v>2.9577886307937025</v>
      </c>
      <c r="P72" s="11">
        <f t="shared" si="7"/>
        <v>2.5563025007672873</v>
      </c>
      <c r="Q72" s="34">
        <f t="shared" si="7"/>
        <v>5.5140911315609893</v>
      </c>
    </row>
    <row r="73" spans="1:19" ht="15.75" customHeight="1">
      <c r="A73" t="s">
        <v>26</v>
      </c>
      <c r="B73" t="s">
        <v>107</v>
      </c>
      <c r="C73" s="3">
        <v>4</v>
      </c>
      <c r="D73">
        <v>3</v>
      </c>
      <c r="E73" s="12" t="s">
        <v>131</v>
      </c>
      <c r="F73" s="67">
        <v>700</v>
      </c>
      <c r="G73">
        <v>1000</v>
      </c>
      <c r="H73" s="7">
        <v>9.6199999999999994E-2</v>
      </c>
      <c r="I73">
        <v>50.010399999999997</v>
      </c>
      <c r="J73">
        <f>50+40.5</f>
        <v>90.5</v>
      </c>
      <c r="K73" s="39">
        <f>(J73/1000)*STD!$F$6/I73</f>
        <v>1040.6556586140346</v>
      </c>
      <c r="L73" s="13">
        <f>Data!K73/1000</f>
        <v>360</v>
      </c>
      <c r="M73" s="40">
        <f t="shared" si="4"/>
        <v>353844.71673130267</v>
      </c>
      <c r="N73" s="40">
        <f t="shared" si="5"/>
        <v>982.90199092028524</v>
      </c>
      <c r="O73" s="41">
        <f t="shared" si="6"/>
        <v>2.9925102147552494</v>
      </c>
      <c r="P73" s="11">
        <f t="shared" si="7"/>
        <v>2.5563025007672873</v>
      </c>
      <c r="Q73" s="34">
        <f t="shared" si="7"/>
        <v>5.5488127155225371</v>
      </c>
    </row>
    <row r="74" spans="1:19" s="46" customFormat="1">
      <c r="A74" s="46" t="s">
        <v>26</v>
      </c>
      <c r="B74" s="46" t="s">
        <v>107</v>
      </c>
      <c r="C74" s="47">
        <v>5</v>
      </c>
      <c r="D74" s="47">
        <v>1</v>
      </c>
      <c r="E74" s="51" t="s">
        <v>131</v>
      </c>
      <c r="F74" s="47">
        <v>700</v>
      </c>
      <c r="G74" s="46">
        <v>5000</v>
      </c>
      <c r="H74" s="48">
        <v>9.7299999999999998E-2</v>
      </c>
      <c r="I74" s="46">
        <v>49.998399999999997</v>
      </c>
      <c r="J74" s="51">
        <v>455</v>
      </c>
      <c r="K74" s="49">
        <f>(J74/1000)*STD!$F$6/I74</f>
        <v>5233.2814133026513</v>
      </c>
      <c r="L74" s="13">
        <f>Data!K74/1000</f>
        <v>4600</v>
      </c>
      <c r="M74" s="40">
        <f t="shared" si="4"/>
        <v>325416.82851871819</v>
      </c>
      <c r="N74" s="52">
        <f t="shared" si="5"/>
        <v>70.742788808417004</v>
      </c>
      <c r="O74" s="53">
        <f t="shared" si="6"/>
        <v>1.8496821764885312</v>
      </c>
      <c r="P74" s="11">
        <f t="shared" si="7"/>
        <v>3.6627578316815739</v>
      </c>
      <c r="Q74" s="54">
        <f t="shared" si="7"/>
        <v>5.5124400081701053</v>
      </c>
    </row>
    <row r="75" spans="1:19" s="46" customFormat="1">
      <c r="A75" s="46" t="s">
        <v>26</v>
      </c>
      <c r="B75" s="46" t="s">
        <v>107</v>
      </c>
      <c r="C75" s="47">
        <v>5</v>
      </c>
      <c r="D75" s="47">
        <v>2</v>
      </c>
      <c r="E75" s="51" t="s">
        <v>131</v>
      </c>
      <c r="F75" s="47">
        <v>700</v>
      </c>
      <c r="G75" s="46">
        <v>5000</v>
      </c>
      <c r="H75" s="48">
        <v>0.1007</v>
      </c>
      <c r="I75" s="46">
        <v>49.993899999999996</v>
      </c>
      <c r="J75" s="51">
        <v>455</v>
      </c>
      <c r="K75" s="49">
        <f>(J75/1000)*STD!$F$6/I75</f>
        <v>5233.752466098289</v>
      </c>
      <c r="L75" s="13">
        <f>Data!K75/1000</f>
        <v>4300</v>
      </c>
      <c r="M75" s="40">
        <f t="shared" si="4"/>
        <v>463574.25436813547</v>
      </c>
      <c r="N75" s="52">
        <f t="shared" si="5"/>
        <v>107.80796613212453</v>
      </c>
      <c r="O75" s="53">
        <f t="shared" si="6"/>
        <v>2.0326508528674245</v>
      </c>
      <c r="P75" s="11">
        <f t="shared" si="7"/>
        <v>3.6334684555795866</v>
      </c>
      <c r="Q75" s="54">
        <f t="shared" si="7"/>
        <v>5.6661193084470112</v>
      </c>
    </row>
    <row r="76" spans="1:19" s="55" customFormat="1">
      <c r="A76" s="55" t="s">
        <v>26</v>
      </c>
      <c r="B76" s="55" t="s">
        <v>107</v>
      </c>
      <c r="C76" s="56">
        <v>5</v>
      </c>
      <c r="D76" s="56">
        <v>3</v>
      </c>
      <c r="E76" s="55" t="s">
        <v>131</v>
      </c>
      <c r="F76" s="56">
        <v>700</v>
      </c>
      <c r="G76" s="55">
        <v>5000</v>
      </c>
      <c r="H76" s="57">
        <v>9.7100000000000006E-2</v>
      </c>
      <c r="I76" s="55">
        <v>50.014099999999999</v>
      </c>
      <c r="J76" s="55">
        <v>455</v>
      </c>
      <c r="K76" s="58">
        <f>(J76/1000)*STD!$F$6/I76</f>
        <v>5231.6386262048354</v>
      </c>
      <c r="L76" s="2">
        <f>Data!K76/1000</f>
        <v>4900</v>
      </c>
      <c r="M76" s="40">
        <f t="shared" si="4"/>
        <v>170819.84979270113</v>
      </c>
      <c r="N76" s="60">
        <f t="shared" si="5"/>
        <v>34.861193835245132</v>
      </c>
      <c r="O76" s="59">
        <f t="shared" si="6"/>
        <v>1.5423422556133735</v>
      </c>
      <c r="P76" s="66">
        <f t="shared" si="7"/>
        <v>3.6901960800285138</v>
      </c>
      <c r="Q76" s="58">
        <f t="shared" si="7"/>
        <v>5.2325383356418875</v>
      </c>
    </row>
    <row r="77" spans="1:19">
      <c r="A77" t="s">
        <v>42</v>
      </c>
      <c r="B77" t="s">
        <v>107</v>
      </c>
      <c r="C77">
        <v>1</v>
      </c>
      <c r="D77">
        <v>1</v>
      </c>
      <c r="E77" s="12" t="s">
        <v>131</v>
      </c>
      <c r="F77" s="68">
        <v>800</v>
      </c>
      <c r="G77">
        <v>1</v>
      </c>
      <c r="H77" s="7">
        <v>9.7100000000000006E-2</v>
      </c>
      <c r="I77">
        <v>49.996400000000001</v>
      </c>
      <c r="J77">
        <f>50+40.5</f>
        <v>90.5</v>
      </c>
      <c r="K77" s="39">
        <f>(J77/1000)*STD!$H$6/I77</f>
        <v>1.0409470631795752</v>
      </c>
      <c r="L77" s="13">
        <f>Data!K77/1000</f>
        <v>1.6E-2</v>
      </c>
      <c r="M77" s="40">
        <f t="shared" si="4"/>
        <v>527.74112615397848</v>
      </c>
      <c r="N77" s="40">
        <f t="shared" si="5"/>
        <v>32983.820384623657</v>
      </c>
      <c r="O77" s="41">
        <f t="shared" si="6"/>
        <v>4.5183009568230377</v>
      </c>
      <c r="P77" s="11">
        <f t="shared" si="7"/>
        <v>-1.7958800173440752</v>
      </c>
      <c r="Q77" s="34">
        <f t="shared" si="7"/>
        <v>2.7224209394789622</v>
      </c>
      <c r="R77" s="34">
        <f>INTERCEPT(Q77:Q81,P77:P81)</f>
        <v>4.1294755798842866</v>
      </c>
      <c r="S77" s="34">
        <f>SLOPE(Q77:Q81,P77:P81)</f>
        <v>0.58044324330381347</v>
      </c>
    </row>
    <row r="78" spans="1:19">
      <c r="A78" t="s">
        <v>42</v>
      </c>
      <c r="B78" t="s">
        <v>107</v>
      </c>
      <c r="C78">
        <v>2</v>
      </c>
      <c r="D78">
        <v>1</v>
      </c>
      <c r="E78" s="12" t="s">
        <v>131</v>
      </c>
      <c r="F78" s="68">
        <v>800</v>
      </c>
      <c r="G78">
        <v>10</v>
      </c>
      <c r="H78" s="7">
        <v>9.7900000000000001E-2</v>
      </c>
      <c r="I78">
        <v>50.016300000000001</v>
      </c>
      <c r="J78">
        <f>900+7.4</f>
        <v>907.4</v>
      </c>
      <c r="K78" s="39">
        <f>(J78/1000)*STD!$H$6/I78</f>
        <v>10.432923255337624</v>
      </c>
      <c r="L78" s="13">
        <f>Data!K78/1000</f>
        <v>0.23</v>
      </c>
      <c r="M78" s="40">
        <f t="shared" si="4"/>
        <v>5212.5890747287358</v>
      </c>
      <c r="N78" s="40">
        <f t="shared" si="5"/>
        <v>22663.430759690156</v>
      </c>
      <c r="O78" s="41">
        <f t="shared" si="6"/>
        <v>4.3553256534189231</v>
      </c>
      <c r="P78" s="11">
        <f t="shared" si="7"/>
        <v>-0.63827216398240705</v>
      </c>
      <c r="Q78" s="34">
        <f t="shared" si="7"/>
        <v>3.7170534894365161</v>
      </c>
    </row>
    <row r="79" spans="1:19">
      <c r="A79" t="s">
        <v>42</v>
      </c>
      <c r="B79" t="s">
        <v>107</v>
      </c>
      <c r="C79">
        <v>3</v>
      </c>
      <c r="D79">
        <v>1</v>
      </c>
      <c r="E79" s="12" t="s">
        <v>131</v>
      </c>
      <c r="F79" s="68">
        <v>800</v>
      </c>
      <c r="G79">
        <v>100</v>
      </c>
      <c r="H79" s="7">
        <v>9.7799999999999998E-2</v>
      </c>
      <c r="I79">
        <v>50.002499999999998</v>
      </c>
      <c r="J79">
        <v>9.1</v>
      </c>
      <c r="K79" s="34">
        <f>(J79/1000)*STD!$F$6/I79</f>
        <v>104.65704611364282</v>
      </c>
      <c r="L79" s="13">
        <f>Data!K79/1000</f>
        <v>1.2</v>
      </c>
      <c r="M79" s="40">
        <f t="shared" si="4"/>
        <v>52894.794972366311</v>
      </c>
      <c r="N79" s="40">
        <f t="shared" si="5"/>
        <v>44078.995810305263</v>
      </c>
      <c r="O79" s="41">
        <f t="shared" si="6"/>
        <v>4.644231692036767</v>
      </c>
      <c r="P79" s="11">
        <f t="shared" si="7"/>
        <v>7.9181246047624818E-2</v>
      </c>
      <c r="Q79" s="34">
        <f t="shared" si="7"/>
        <v>4.7234129380843921</v>
      </c>
    </row>
    <row r="80" spans="1:19">
      <c r="A80" t="s">
        <v>42</v>
      </c>
      <c r="B80" t="s">
        <v>107</v>
      </c>
      <c r="C80">
        <v>4</v>
      </c>
      <c r="D80">
        <v>1</v>
      </c>
      <c r="E80" s="12" t="s">
        <v>131</v>
      </c>
      <c r="F80" s="68">
        <v>800</v>
      </c>
      <c r="G80">
        <v>1000</v>
      </c>
      <c r="H80" s="7">
        <v>0.1013</v>
      </c>
      <c r="I80">
        <v>50.020499999999998</v>
      </c>
      <c r="J80">
        <f>50+40.5</f>
        <v>90.5</v>
      </c>
      <c r="K80" s="34">
        <f>(J80/1000)*STD!$F$6/I80</f>
        <v>1040.4455323227739</v>
      </c>
      <c r="L80" s="13">
        <f>Data!K80/1000</f>
        <v>190</v>
      </c>
      <c r="M80" s="40">
        <f>(K80*(I80/1000)-L80*(I80/1000))/(H80/1000)</f>
        <v>419937.91460563982</v>
      </c>
      <c r="N80" s="40">
        <f t="shared" si="5"/>
        <v>2210.1995505559989</v>
      </c>
      <c r="O80" s="41">
        <f t="shared" si="6"/>
        <v>3.3444314862611035</v>
      </c>
      <c r="P80" s="11">
        <f t="shared" si="7"/>
        <v>2.2787536009528289</v>
      </c>
      <c r="Q80" s="34">
        <f t="shared" si="7"/>
        <v>5.6231850872139324</v>
      </c>
    </row>
    <row r="81" spans="1:19" s="2" customFormat="1">
      <c r="A81" s="2" t="s">
        <v>42</v>
      </c>
      <c r="B81" s="2" t="s">
        <v>107</v>
      </c>
      <c r="C81" s="2">
        <v>5</v>
      </c>
      <c r="D81" s="2">
        <v>1</v>
      </c>
      <c r="E81" s="42" t="s">
        <v>131</v>
      </c>
      <c r="F81" s="2">
        <v>800</v>
      </c>
      <c r="G81" s="2">
        <v>5000</v>
      </c>
      <c r="H81" s="8">
        <v>9.8900000000000002E-2</v>
      </c>
      <c r="I81" s="2">
        <v>50.054499999999997</v>
      </c>
      <c r="J81" s="42">
        <v>455</v>
      </c>
      <c r="K81" s="38">
        <f>(J81/1000)*STD!$F$6/I81</f>
        <v>5227.4160647868075</v>
      </c>
      <c r="L81" s="2">
        <f>Data!K81/1000</f>
        <v>3700</v>
      </c>
      <c r="M81" s="40">
        <f t="shared" ref="M81:M92" si="8">(K81*(I81/1000)-L81*(I81/1000))/(H81/1000)</f>
        <v>773043.95768322784</v>
      </c>
      <c r="N81" s="44">
        <f t="shared" si="5"/>
        <v>208.93079937384536</v>
      </c>
      <c r="O81" s="43">
        <f t="shared" si="6"/>
        <v>2.3200024658881708</v>
      </c>
      <c r="P81" s="66">
        <f t="shared" si="7"/>
        <v>3.568201724066995</v>
      </c>
      <c r="Q81" s="38">
        <f t="shared" si="7"/>
        <v>5.8882041899551654</v>
      </c>
    </row>
    <row r="82" spans="1:19">
      <c r="A82" t="s">
        <v>43</v>
      </c>
      <c r="B82" t="s">
        <v>107</v>
      </c>
      <c r="C82">
        <v>1</v>
      </c>
      <c r="D82">
        <v>1</v>
      </c>
      <c r="E82" s="12" t="s">
        <v>133</v>
      </c>
      <c r="F82" s="68">
        <v>600</v>
      </c>
      <c r="G82">
        <v>1</v>
      </c>
      <c r="H82" s="7">
        <v>0.1046</v>
      </c>
      <c r="I82">
        <v>49.993400000000001</v>
      </c>
      <c r="J82">
        <f>50+40.5</f>
        <v>90.5</v>
      </c>
      <c r="K82" s="39">
        <f>(J82/1000)*STD!$H$6/I82</f>
        <v>1.041009528248755</v>
      </c>
      <c r="L82" s="13">
        <f>Data!K82/1000</f>
        <v>0.19</v>
      </c>
      <c r="M82" s="40">
        <f t="shared" si="8"/>
        <v>406.73862093261289</v>
      </c>
      <c r="N82" s="40">
        <f t="shared" si="5"/>
        <v>2140.7295838558571</v>
      </c>
      <c r="O82" s="41">
        <f t="shared" si="6"/>
        <v>3.3305618108458583</v>
      </c>
      <c r="P82" s="11">
        <f t="shared" si="7"/>
        <v>-0.72124639904717103</v>
      </c>
      <c r="Q82" s="34">
        <f t="shared" si="7"/>
        <v>2.6093154117986872</v>
      </c>
      <c r="R82" s="34">
        <f>INTERCEPT(Q82:Q86,P82:P86)</f>
        <v>3.2687816815933397</v>
      </c>
      <c r="S82" s="34">
        <f>SLOPE(Q82:Q86,P82:P86)</f>
        <v>0.68416568951272383</v>
      </c>
    </row>
    <row r="83" spans="1:19">
      <c r="A83" t="s">
        <v>43</v>
      </c>
      <c r="B83" t="s">
        <v>107</v>
      </c>
      <c r="C83">
        <v>2</v>
      </c>
      <c r="D83">
        <v>1</v>
      </c>
      <c r="E83" s="12" t="s">
        <v>133</v>
      </c>
      <c r="F83" s="68">
        <v>600</v>
      </c>
      <c r="G83">
        <v>10</v>
      </c>
      <c r="H83" s="7">
        <v>0.1031</v>
      </c>
      <c r="I83">
        <v>49.994199999999999</v>
      </c>
      <c r="J83">
        <f>900+7.4</f>
        <v>907.4</v>
      </c>
      <c r="K83" s="39">
        <f>(J83/1000)*STD!$H$6/I83</f>
        <v>10.437535142395383</v>
      </c>
      <c r="L83" s="13">
        <f>Data!K83/1000</f>
        <v>2.8</v>
      </c>
      <c r="M83" s="40">
        <f t="shared" si="8"/>
        <v>3703.5156102419323</v>
      </c>
      <c r="N83" s="40">
        <f t="shared" si="5"/>
        <v>1322.684146514976</v>
      </c>
      <c r="O83" s="41">
        <f t="shared" si="6"/>
        <v>3.1214561481915384</v>
      </c>
      <c r="P83" s="11">
        <f t="shared" si="7"/>
        <v>0.44715803134221921</v>
      </c>
      <c r="Q83" s="34">
        <f t="shared" si="7"/>
        <v>3.5686141795337578</v>
      </c>
    </row>
    <row r="84" spans="1:19">
      <c r="A84" t="s">
        <v>43</v>
      </c>
      <c r="B84" t="s">
        <v>107</v>
      </c>
      <c r="C84">
        <v>3</v>
      </c>
      <c r="D84">
        <v>1</v>
      </c>
      <c r="E84" s="12" t="s">
        <v>133</v>
      </c>
      <c r="F84" s="68">
        <v>600</v>
      </c>
      <c r="G84">
        <v>100</v>
      </c>
      <c r="H84" s="7">
        <v>0.1057</v>
      </c>
      <c r="I84">
        <v>50.011499999999998</v>
      </c>
      <c r="J84">
        <v>9.1</v>
      </c>
      <c r="K84" s="34">
        <f>(J84/1000)*STD!$F$6/I84</f>
        <v>104.63821217714776</v>
      </c>
      <c r="L84" s="13">
        <f>Data!K84/1000</f>
        <v>33</v>
      </c>
      <c r="M84" s="40">
        <f t="shared" si="8"/>
        <v>33895.311715207434</v>
      </c>
      <c r="N84" s="40">
        <f t="shared" si="5"/>
        <v>1027.130658036589</v>
      </c>
      <c r="O84" s="41">
        <f t="shared" si="6"/>
        <v>3.0116256923363607</v>
      </c>
      <c r="P84" s="11">
        <f t="shared" si="7"/>
        <v>1.5185139398778875</v>
      </c>
      <c r="Q84" s="34">
        <f t="shared" si="7"/>
        <v>4.5301396322142482</v>
      </c>
    </row>
    <row r="85" spans="1:19">
      <c r="A85" t="s">
        <v>43</v>
      </c>
      <c r="B85" t="s">
        <v>107</v>
      </c>
      <c r="C85">
        <v>4</v>
      </c>
      <c r="D85">
        <v>1</v>
      </c>
      <c r="E85" s="12" t="s">
        <v>133</v>
      </c>
      <c r="F85" s="68">
        <v>600</v>
      </c>
      <c r="G85">
        <v>1000</v>
      </c>
      <c r="H85" s="7">
        <v>0.10539999999999999</v>
      </c>
      <c r="I85">
        <v>50.001100000000001</v>
      </c>
      <c r="J85">
        <f>50+40.5</f>
        <v>90.5</v>
      </c>
      <c r="K85" s="34">
        <f>(J85/1000)*STD!$F$6/I85</f>
        <v>1040.8492163082674</v>
      </c>
      <c r="L85" s="13">
        <f>Data!K85/1000</f>
        <v>510</v>
      </c>
      <c r="M85" s="40">
        <f t="shared" si="8"/>
        <v>251831.54411339006</v>
      </c>
      <c r="N85" s="40">
        <f t="shared" si="5"/>
        <v>493.78734139880402</v>
      </c>
      <c r="O85" s="41">
        <f t="shared" si="6"/>
        <v>2.6935399522805743</v>
      </c>
      <c r="P85" s="11">
        <f t="shared" si="7"/>
        <v>2.7075701760979363</v>
      </c>
      <c r="Q85" s="34">
        <f t="shared" si="7"/>
        <v>5.4011101283785106</v>
      </c>
    </row>
    <row r="86" spans="1:19" s="2" customFormat="1">
      <c r="A86" s="2" t="s">
        <v>43</v>
      </c>
      <c r="B86" s="2" t="s">
        <v>107</v>
      </c>
      <c r="C86" s="2">
        <v>5</v>
      </c>
      <c r="D86" s="2">
        <v>1</v>
      </c>
      <c r="E86" s="2" t="s">
        <v>133</v>
      </c>
      <c r="F86" s="2">
        <v>600</v>
      </c>
      <c r="G86" s="2">
        <v>5000</v>
      </c>
      <c r="H86" s="8">
        <v>9.4299999999999995E-2</v>
      </c>
      <c r="I86" s="2">
        <v>50.005299999999998</v>
      </c>
      <c r="J86" s="42">
        <v>455</v>
      </c>
      <c r="K86" s="38">
        <f>(J86/1000)*STD!$F$6/I86</f>
        <v>5232.5592970119415</v>
      </c>
      <c r="L86" s="2">
        <f>Data!K86/1000</f>
        <v>4700</v>
      </c>
      <c r="M86" s="40">
        <f t="shared" si="8"/>
        <v>282404.95667944051</v>
      </c>
      <c r="N86" s="44">
        <f t="shared" si="5"/>
        <v>60.08616099562564</v>
      </c>
      <c r="O86" s="43">
        <f t="shared" si="6"/>
        <v>1.7787744571056567</v>
      </c>
      <c r="P86" s="66">
        <f t="shared" si="7"/>
        <v>3.6720978579357175</v>
      </c>
      <c r="Q86" s="38">
        <f t="shared" si="7"/>
        <v>5.4508723150413738</v>
      </c>
    </row>
    <row r="87" spans="1:19">
      <c r="A87" t="s">
        <v>44</v>
      </c>
      <c r="B87" t="s">
        <v>107</v>
      </c>
      <c r="C87">
        <v>1</v>
      </c>
      <c r="D87">
        <v>1</v>
      </c>
      <c r="E87" s="12" t="s">
        <v>133</v>
      </c>
      <c r="F87" s="68">
        <v>700</v>
      </c>
      <c r="G87">
        <v>1</v>
      </c>
      <c r="H87" s="7">
        <v>9.8199999999999996E-2</v>
      </c>
      <c r="I87">
        <v>50.0047</v>
      </c>
      <c r="J87">
        <f>50+40.5</f>
        <v>90.5</v>
      </c>
      <c r="K87" s="39">
        <f>(J87/1000)*STD!$H$6/I87</f>
        <v>1.0407742822084987</v>
      </c>
      <c r="L87" s="13">
        <f>Data!K87/1000</f>
        <v>7.9000000000000008E-3</v>
      </c>
      <c r="M87" s="40">
        <f t="shared" si="8"/>
        <v>525.95283726630657</v>
      </c>
      <c r="N87" s="40">
        <f t="shared" si="5"/>
        <v>66576.308514722346</v>
      </c>
      <c r="O87" s="41">
        <f t="shared" si="6"/>
        <v>4.8233197109748733</v>
      </c>
      <c r="P87" s="11">
        <f t="shared" si="7"/>
        <v>-2.1023729087095586</v>
      </c>
      <c r="Q87" s="34">
        <f t="shared" si="7"/>
        <v>2.7209468022653147</v>
      </c>
      <c r="R87" s="34">
        <f>INTERCEPT(Q87:Q91,P87:P91)</f>
        <v>4.2968832023430501</v>
      </c>
      <c r="S87" s="34">
        <f>SLOPE(Q87:Q91,P87:P91)</f>
        <v>0.64630739822460848</v>
      </c>
    </row>
    <row r="88" spans="1:19">
      <c r="A88" t="s">
        <v>44</v>
      </c>
      <c r="B88" t="s">
        <v>107</v>
      </c>
      <c r="C88">
        <v>2</v>
      </c>
      <c r="D88">
        <v>1</v>
      </c>
      <c r="E88" s="12" t="s">
        <v>133</v>
      </c>
      <c r="F88" s="68">
        <v>700</v>
      </c>
      <c r="G88">
        <v>10</v>
      </c>
      <c r="H88" s="7">
        <v>0.10199999999999999</v>
      </c>
      <c r="I88">
        <v>50.003799999999998</v>
      </c>
      <c r="J88">
        <f>900+7.4</f>
        <v>907.4</v>
      </c>
      <c r="K88" s="39">
        <f>(J88/1000)*STD!$H$6/I88</f>
        <v>10.435531287940982</v>
      </c>
      <c r="L88" s="13">
        <f>Data!K88/1000</f>
        <v>9.9000000000000005E-2</v>
      </c>
      <c r="M88" s="40">
        <f t="shared" si="8"/>
        <v>5067.3121883916001</v>
      </c>
      <c r="N88" s="40">
        <f t="shared" si="5"/>
        <v>51184.971599915152</v>
      </c>
      <c r="O88" s="41">
        <f t="shared" si="6"/>
        <v>4.7091424666536943</v>
      </c>
      <c r="P88" s="11">
        <f t="shared" si="7"/>
        <v>-1.0043648054024501</v>
      </c>
      <c r="Q88" s="34">
        <f t="shared" si="7"/>
        <v>3.704777661251244</v>
      </c>
    </row>
    <row r="89" spans="1:19">
      <c r="A89" t="s">
        <v>44</v>
      </c>
      <c r="B89" t="s">
        <v>107</v>
      </c>
      <c r="C89">
        <v>3</v>
      </c>
      <c r="D89">
        <v>1</v>
      </c>
      <c r="E89" s="12" t="s">
        <v>133</v>
      </c>
      <c r="F89" s="68">
        <v>700</v>
      </c>
      <c r="G89">
        <v>100</v>
      </c>
      <c r="H89" s="7">
        <v>0.1002</v>
      </c>
      <c r="I89">
        <v>50.008499999999998</v>
      </c>
      <c r="J89">
        <v>9.1</v>
      </c>
      <c r="K89" s="34">
        <f>(J89/1000)*STD!$F$6/I89</f>
        <v>104.64448940275004</v>
      </c>
      <c r="L89" s="13">
        <f>Data!K89/1000</f>
        <v>1.8</v>
      </c>
      <c r="M89" s="40">
        <f t="shared" si="8"/>
        <v>51328.329823327593</v>
      </c>
      <c r="N89" s="40">
        <f t="shared" si="5"/>
        <v>28515.738790737552</v>
      </c>
      <c r="O89" s="41">
        <f t="shared" si="6"/>
        <v>4.4550846278441201</v>
      </c>
      <c r="P89" s="11">
        <f t="shared" si="7"/>
        <v>0.25527250510330607</v>
      </c>
      <c r="Q89" s="34">
        <f t="shared" si="7"/>
        <v>4.7103571329474256</v>
      </c>
    </row>
    <row r="90" spans="1:19">
      <c r="A90" t="s">
        <v>44</v>
      </c>
      <c r="B90" t="s">
        <v>107</v>
      </c>
      <c r="C90">
        <v>4</v>
      </c>
      <c r="D90">
        <v>1</v>
      </c>
      <c r="E90" s="12" t="s">
        <v>133</v>
      </c>
      <c r="F90" s="68">
        <v>700</v>
      </c>
      <c r="G90">
        <v>1000</v>
      </c>
      <c r="H90" s="7">
        <v>0.1007</v>
      </c>
      <c r="I90">
        <v>50.022100000000002</v>
      </c>
      <c r="J90">
        <f>50+40.5</f>
        <v>90.5</v>
      </c>
      <c r="K90" s="34">
        <f>(J90/1000)*STD!$F$6/I90</f>
        <v>1040.4122527752995</v>
      </c>
      <c r="L90" s="13">
        <f>Data!K90/1000</f>
        <v>86</v>
      </c>
      <c r="M90" s="40">
        <f t="shared" si="8"/>
        <v>474098.3629548293</v>
      </c>
      <c r="N90" s="40">
        <f t="shared" si="5"/>
        <v>5512.7716622654571</v>
      </c>
      <c r="O90" s="41">
        <f t="shared" si="6"/>
        <v>3.7413700044742253</v>
      </c>
      <c r="P90" s="11">
        <f t="shared" si="7"/>
        <v>1.9344984512435677</v>
      </c>
      <c r="Q90" s="34">
        <f t="shared" si="7"/>
        <v>5.6758684557177927</v>
      </c>
    </row>
    <row r="91" spans="1:19" s="2" customFormat="1">
      <c r="A91" s="2" t="s">
        <v>44</v>
      </c>
      <c r="B91" s="2" t="s">
        <v>107</v>
      </c>
      <c r="C91" s="2">
        <v>5</v>
      </c>
      <c r="D91" s="2">
        <v>1</v>
      </c>
      <c r="E91" s="2" t="s">
        <v>133</v>
      </c>
      <c r="F91" s="69">
        <v>700</v>
      </c>
      <c r="G91" s="2">
        <v>5000</v>
      </c>
      <c r="H91" s="8">
        <v>0.10539999999999999</v>
      </c>
      <c r="I91" s="2">
        <v>50.014800000000001</v>
      </c>
      <c r="J91" s="42">
        <v>455</v>
      </c>
      <c r="K91" s="38">
        <f>(J91/1000)*STD!$F$6/I91</f>
        <v>5231.5654049375635</v>
      </c>
      <c r="L91" s="2">
        <f>Data!K91/1000</f>
        <v>1900</v>
      </c>
      <c r="M91" s="40">
        <f t="shared" si="8"/>
        <v>1580906.8065927061</v>
      </c>
      <c r="N91" s="44">
        <f t="shared" si="5"/>
        <v>832.05621399616109</v>
      </c>
      <c r="O91" s="43">
        <f t="shared" si="6"/>
        <v>2.9201526683623951</v>
      </c>
      <c r="P91" s="66">
        <f t="shared" si="7"/>
        <v>3.2787536009528289</v>
      </c>
      <c r="Q91" s="38">
        <f t="shared" si="7"/>
        <v>6.1989062693152235</v>
      </c>
    </row>
    <row r="92" spans="1:19">
      <c r="A92" t="s">
        <v>45</v>
      </c>
      <c r="B92" t="s">
        <v>107</v>
      </c>
      <c r="C92">
        <v>1</v>
      </c>
      <c r="D92">
        <v>1</v>
      </c>
      <c r="E92" s="12" t="s">
        <v>134</v>
      </c>
      <c r="F92" s="68">
        <v>500</v>
      </c>
      <c r="G92">
        <v>1</v>
      </c>
      <c r="H92" s="7">
        <v>0.1016</v>
      </c>
      <c r="I92">
        <v>49.992800000000003</v>
      </c>
      <c r="J92">
        <f>50+40.5</f>
        <v>90.5</v>
      </c>
      <c r="K92" s="39">
        <f>(J92/1000)*STD!$H$6/I92</f>
        <v>1.0410220221622175</v>
      </c>
      <c r="L92" s="13">
        <f>Data!K92/1000</f>
        <v>0.53</v>
      </c>
      <c r="M92" s="40">
        <f t="shared" si="8"/>
        <v>251.45100147196172</v>
      </c>
      <c r="N92" s="40">
        <f t="shared" si="5"/>
        <v>474.43585183389001</v>
      </c>
      <c r="O92" s="41">
        <f t="shared" si="6"/>
        <v>2.6761775000554238</v>
      </c>
      <c r="P92" s="11">
        <f t="shared" si="7"/>
        <v>-0.27572413039921095</v>
      </c>
      <c r="Q92" s="34">
        <f t="shared" si="7"/>
        <v>2.4004533696562125</v>
      </c>
      <c r="R92" s="34">
        <f>INTERCEPT(Q92:Q95,P92:P95)</f>
        <v>2.6126190682081276</v>
      </c>
      <c r="S92" s="34">
        <f>SLOPE(Q92:Q95,P92:P95)</f>
        <v>0.83869471696969056</v>
      </c>
    </row>
    <row r="93" spans="1:19">
      <c r="A93" t="s">
        <v>45</v>
      </c>
      <c r="B93" t="s">
        <v>107</v>
      </c>
      <c r="C93">
        <v>2</v>
      </c>
      <c r="D93">
        <v>1</v>
      </c>
      <c r="E93" s="12" t="s">
        <v>134</v>
      </c>
      <c r="F93" s="68">
        <v>500</v>
      </c>
      <c r="G93">
        <v>10</v>
      </c>
      <c r="H93" s="7">
        <v>0.10050000000000001</v>
      </c>
      <c r="I93">
        <v>50.009799999999998</v>
      </c>
      <c r="J93">
        <f>900+7.4</f>
        <v>907.4</v>
      </c>
      <c r="K93" s="39">
        <f>(J93/1000)*STD!$H$6/I93</f>
        <v>10.434279269582026</v>
      </c>
      <c r="L93" s="13">
        <f>Data!K93/1000</f>
        <v>6.6</v>
      </c>
      <c r="M93" s="40">
        <f>(K93*(I93/1000)-L93*(I93/1000))/(H93/1000)</f>
        <v>1907.9755165765496</v>
      </c>
      <c r="N93" s="40">
        <f t="shared" si="5"/>
        <v>289.08719948129539</v>
      </c>
      <c r="O93" s="41">
        <f t="shared" si="6"/>
        <v>2.461028861931069</v>
      </c>
      <c r="P93" s="11">
        <f t="shared" si="7"/>
        <v>0.81954393554186866</v>
      </c>
      <c r="Q93" s="34">
        <f t="shared" si="7"/>
        <v>3.2805727974729377</v>
      </c>
    </row>
    <row r="94" spans="1:19">
      <c r="A94" t="s">
        <v>45</v>
      </c>
      <c r="B94" t="s">
        <v>107</v>
      </c>
      <c r="C94">
        <v>3</v>
      </c>
      <c r="D94">
        <v>1</v>
      </c>
      <c r="E94" s="12" t="s">
        <v>134</v>
      </c>
      <c r="F94" s="68">
        <v>500</v>
      </c>
      <c r="G94">
        <v>100</v>
      </c>
      <c r="H94" s="7">
        <v>0.1013</v>
      </c>
      <c r="I94">
        <v>49.997199999999999</v>
      </c>
      <c r="J94">
        <v>9.1</v>
      </c>
      <c r="K94" s="34">
        <f>(J94/1000)*STD!$F$6/I94</f>
        <v>104.66814038180988</v>
      </c>
      <c r="L94" s="13">
        <f>Data!K94/1000</f>
        <v>75</v>
      </c>
      <c r="M94" s="40">
        <f t="shared" ref="M94:M126" si="9">(K94*(I94/1000)-L94*(I94/1000))/(H94/1000)</f>
        <v>14642.882016756417</v>
      </c>
      <c r="N94" s="40">
        <f t="shared" si="5"/>
        <v>195.23842689008555</v>
      </c>
      <c r="O94" s="41">
        <f t="shared" si="6"/>
        <v>2.2905652997235348</v>
      </c>
      <c r="P94" s="11">
        <f t="shared" si="7"/>
        <v>1.8750612633917001</v>
      </c>
      <c r="Q94" s="34">
        <f t="shared" si="7"/>
        <v>4.1656265631152349</v>
      </c>
    </row>
    <row r="95" spans="1:19">
      <c r="A95" t="s">
        <v>45</v>
      </c>
      <c r="B95" t="s">
        <v>107</v>
      </c>
      <c r="C95">
        <v>4</v>
      </c>
      <c r="D95">
        <v>1</v>
      </c>
      <c r="E95" s="12" t="s">
        <v>134</v>
      </c>
      <c r="F95" s="68">
        <v>500</v>
      </c>
      <c r="G95">
        <v>1000</v>
      </c>
      <c r="H95" s="7">
        <v>9.7900000000000001E-2</v>
      </c>
      <c r="I95">
        <v>49.990200000000002</v>
      </c>
      <c r="J95">
        <f>50+40.5</f>
        <v>90.5</v>
      </c>
      <c r="K95" s="34">
        <f>(J95/1000)*STD!$F$6/I95</f>
        <v>1041.0761659195464</v>
      </c>
      <c r="L95" s="13">
        <f>Data!K95/1000</f>
        <v>810</v>
      </c>
      <c r="M95" s="40">
        <f t="shared" si="9"/>
        <v>117993.29672677536</v>
      </c>
      <c r="N95" s="40">
        <f t="shared" si="5"/>
        <v>145.67073669972265</v>
      </c>
      <c r="O95" s="41">
        <f t="shared" si="6"/>
        <v>2.1633723165862553</v>
      </c>
      <c r="P95" s="11">
        <f t="shared" si="7"/>
        <v>2.90848501887865</v>
      </c>
      <c r="Q95" s="34">
        <f t="shared" si="7"/>
        <v>5.0718573354649052</v>
      </c>
    </row>
    <row r="96" spans="1:19" s="2" customFormat="1">
      <c r="A96" s="2" t="s">
        <v>45</v>
      </c>
      <c r="B96" s="2" t="s">
        <v>107</v>
      </c>
      <c r="C96" s="2">
        <v>5</v>
      </c>
      <c r="D96" s="2">
        <v>1</v>
      </c>
      <c r="E96" s="2" t="s">
        <v>134</v>
      </c>
      <c r="F96" s="2">
        <v>500</v>
      </c>
      <c r="G96" s="2">
        <v>5000</v>
      </c>
      <c r="H96" s="8">
        <v>0.10390000000000001</v>
      </c>
      <c r="I96" s="2">
        <v>49.999699999999997</v>
      </c>
      <c r="J96" s="42">
        <v>455</v>
      </c>
      <c r="K96" s="38">
        <f>(J96/1000)*STD!$F$6/I96</f>
        <v>5233.1453471695086</v>
      </c>
      <c r="L96" s="2">
        <f>Data!K96/1000</f>
        <v>5500</v>
      </c>
      <c r="M96" s="40">
        <f t="shared" si="9"/>
        <v>-128418.21544878431</v>
      </c>
      <c r="N96" s="44">
        <f t="shared" si="5"/>
        <v>-23.348766445233512</v>
      </c>
      <c r="O96" s="43" t="e">
        <f t="shared" si="6"/>
        <v>#NUM!</v>
      </c>
      <c r="P96" s="66">
        <f t="shared" si="7"/>
        <v>3.7403626894942437</v>
      </c>
      <c r="Q96" s="38" t="e">
        <f t="shared" si="7"/>
        <v>#NUM!</v>
      </c>
    </row>
    <row r="97" spans="1:19">
      <c r="A97" t="s">
        <v>46</v>
      </c>
      <c r="B97" t="s">
        <v>107</v>
      </c>
      <c r="C97">
        <v>1</v>
      </c>
      <c r="D97">
        <v>1</v>
      </c>
      <c r="E97" s="12" t="s">
        <v>134</v>
      </c>
      <c r="F97" s="68">
        <v>600</v>
      </c>
      <c r="G97">
        <v>1</v>
      </c>
      <c r="H97" s="7">
        <v>0.1009</v>
      </c>
      <c r="I97" s="11">
        <v>49.991</v>
      </c>
      <c r="J97">
        <f>50+40.5</f>
        <v>90.5</v>
      </c>
      <c r="K97" s="39">
        <f>(J97/1000)*STD!$H$6/I97</f>
        <v>1.0410595057020526</v>
      </c>
      <c r="L97" s="13">
        <f>Data!K97/1000</f>
        <v>2.8999999999999998E-3</v>
      </c>
      <c r="M97" s="40">
        <f t="shared" si="9"/>
        <v>514.35710455452249</v>
      </c>
      <c r="N97" s="40">
        <f t="shared" si="5"/>
        <v>177364.51881190433</v>
      </c>
      <c r="O97" s="41">
        <f t="shared" si="6"/>
        <v>5.2488667450031095</v>
      </c>
      <c r="P97" s="11">
        <f t="shared" si="7"/>
        <v>-2.5376020021010439</v>
      </c>
      <c r="Q97" s="34">
        <f t="shared" si="7"/>
        <v>2.711264742902066</v>
      </c>
      <c r="R97" s="34">
        <f>INTERCEPT(Q97:Q101,P97:P101)</f>
        <v>4.2776917782316843</v>
      </c>
      <c r="S97" s="34">
        <f>SLOPE(Q97:Q101,P97:P101)</f>
        <v>0.60789597474228052</v>
      </c>
    </row>
    <row r="98" spans="1:19">
      <c r="A98" t="s">
        <v>46</v>
      </c>
      <c r="B98" t="s">
        <v>107</v>
      </c>
      <c r="C98">
        <v>2</v>
      </c>
      <c r="D98">
        <v>1</v>
      </c>
      <c r="E98" s="12" t="s">
        <v>134</v>
      </c>
      <c r="F98" s="68">
        <v>600</v>
      </c>
      <c r="G98">
        <v>10</v>
      </c>
      <c r="H98" s="7">
        <v>0.10580000000000001</v>
      </c>
      <c r="I98">
        <v>50.012700000000002</v>
      </c>
      <c r="J98">
        <f>900+7.4</f>
        <v>907.4</v>
      </c>
      <c r="K98" s="39">
        <f>(J98/1000)*STD!$H$6/I98</f>
        <v>10.433674235063158</v>
      </c>
      <c r="L98" s="13">
        <f>Data!K98/1000</f>
        <v>0.19</v>
      </c>
      <c r="M98" s="40">
        <f t="shared" si="9"/>
        <v>4842.2855048765896</v>
      </c>
      <c r="N98" s="40">
        <f t="shared" si="5"/>
        <v>25485.713183560998</v>
      </c>
      <c r="O98" s="41">
        <f t="shared" si="6"/>
        <v>4.4062967912443805</v>
      </c>
      <c r="P98" s="11">
        <f t="shared" si="7"/>
        <v>-0.72124639904717103</v>
      </c>
      <c r="Q98" s="34">
        <f t="shared" si="7"/>
        <v>3.6850503921972093</v>
      </c>
    </row>
    <row r="99" spans="1:19">
      <c r="A99" t="s">
        <v>46</v>
      </c>
      <c r="B99" t="s">
        <v>107</v>
      </c>
      <c r="C99">
        <v>3</v>
      </c>
      <c r="D99">
        <v>1</v>
      </c>
      <c r="E99" s="12" t="s">
        <v>134</v>
      </c>
      <c r="F99" s="68">
        <v>600</v>
      </c>
      <c r="G99">
        <v>100</v>
      </c>
      <c r="H99" s="7">
        <v>0.1011</v>
      </c>
      <c r="I99">
        <v>50.083599999999997</v>
      </c>
      <c r="J99">
        <v>9.1</v>
      </c>
      <c r="K99" s="34">
        <f>(J99/1000)*STD!$F$6/I99</f>
        <v>104.48757573931238</v>
      </c>
      <c r="L99" s="13">
        <f>Data!K99/1000</f>
        <v>2.5</v>
      </c>
      <c r="M99" s="40">
        <f t="shared" si="9"/>
        <v>50523.293257145655</v>
      </c>
      <c r="N99" s="40">
        <f t="shared" si="5"/>
        <v>20209.317302858261</v>
      </c>
      <c r="O99" s="41">
        <f t="shared" si="6"/>
        <v>4.3055516427281022</v>
      </c>
      <c r="P99" s="11">
        <f t="shared" si="7"/>
        <v>0.3979400086720376</v>
      </c>
      <c r="Q99" s="34">
        <f t="shared" si="7"/>
        <v>4.7034916514001397</v>
      </c>
    </row>
    <row r="100" spans="1:19">
      <c r="A100" t="s">
        <v>46</v>
      </c>
      <c r="B100" t="s">
        <v>107</v>
      </c>
      <c r="C100">
        <v>4</v>
      </c>
      <c r="D100">
        <v>1</v>
      </c>
      <c r="E100" s="12" t="s">
        <v>134</v>
      </c>
      <c r="F100" s="68">
        <v>600</v>
      </c>
      <c r="G100">
        <v>1000</v>
      </c>
      <c r="H100" s="7">
        <v>0.1032</v>
      </c>
      <c r="I100">
        <v>50.001800000000003</v>
      </c>
      <c r="J100">
        <f>50+40.5</f>
        <v>90.5</v>
      </c>
      <c r="K100" s="34">
        <f>(J100/1000)*STD!$F$6/I100</f>
        <v>1040.8346449438081</v>
      </c>
      <c r="L100" s="13">
        <f>Data!K100/1000</f>
        <v>100</v>
      </c>
      <c r="M100" s="40">
        <f t="shared" si="9"/>
        <v>455847.14873596228</v>
      </c>
      <c r="N100" s="40">
        <f t="shared" si="5"/>
        <v>4558.4714873596231</v>
      </c>
      <c r="O100" s="41">
        <f t="shared" si="6"/>
        <v>3.6588192426891819</v>
      </c>
      <c r="P100" s="11">
        <f t="shared" si="7"/>
        <v>2</v>
      </c>
      <c r="Q100" s="34">
        <f t="shared" si="7"/>
        <v>5.6588192426891819</v>
      </c>
    </row>
    <row r="101" spans="1:19" s="2" customFormat="1">
      <c r="A101" s="2" t="s">
        <v>46</v>
      </c>
      <c r="B101" s="2" t="s">
        <v>107</v>
      </c>
      <c r="C101" s="2">
        <v>5</v>
      </c>
      <c r="D101" s="2">
        <v>1</v>
      </c>
      <c r="E101" s="2" t="s">
        <v>134</v>
      </c>
      <c r="F101" s="69">
        <v>600</v>
      </c>
      <c r="G101" s="2">
        <v>5000</v>
      </c>
      <c r="H101" s="8">
        <v>0.1038</v>
      </c>
      <c r="I101" s="2">
        <v>50.0045</v>
      </c>
      <c r="J101" s="42">
        <v>455</v>
      </c>
      <c r="K101" s="38">
        <f>(J101/1000)*STD!$F$6/I101</f>
        <v>5232.6430104264864</v>
      </c>
      <c r="L101" s="2">
        <f>Data!K101/1000</f>
        <v>2300</v>
      </c>
      <c r="M101" s="40">
        <f t="shared" si="9"/>
        <v>1412768.2795266975</v>
      </c>
      <c r="N101" s="44">
        <f t="shared" si="5"/>
        <v>614.24707805508581</v>
      </c>
      <c r="O101" s="43">
        <f t="shared" si="6"/>
        <v>2.7883430992382872</v>
      </c>
      <c r="P101" s="66">
        <f t="shared" si="7"/>
        <v>3.3617278360175931</v>
      </c>
      <c r="Q101" s="38">
        <f t="shared" si="7"/>
        <v>6.1500709352558802</v>
      </c>
    </row>
    <row r="102" spans="1:19">
      <c r="A102" t="s">
        <v>48</v>
      </c>
      <c r="B102" t="s">
        <v>107</v>
      </c>
      <c r="C102">
        <v>1</v>
      </c>
      <c r="D102">
        <v>1</v>
      </c>
      <c r="E102" s="12" t="s">
        <v>134</v>
      </c>
      <c r="F102" s="68">
        <v>700</v>
      </c>
      <c r="G102">
        <v>1</v>
      </c>
      <c r="H102" s="7">
        <v>0.1013</v>
      </c>
      <c r="I102">
        <v>50.003500000000003</v>
      </c>
      <c r="J102">
        <f>50+40.5</f>
        <v>90.5</v>
      </c>
      <c r="K102" s="39">
        <f>(J102/1000)*STD!$H$6/I102</f>
        <v>1.0407992590428932</v>
      </c>
      <c r="L102" s="13">
        <f>Data!K102/1000</f>
        <v>2.8999999999999998E-3</v>
      </c>
      <c r="M102" s="40">
        <f t="shared" si="9"/>
        <v>512.32572161452435</v>
      </c>
      <c r="N102" s="40">
        <f t="shared" si="5"/>
        <v>176664.04193604289</v>
      </c>
      <c r="O102" s="41">
        <f t="shared" si="6"/>
        <v>5.2471481625349332</v>
      </c>
      <c r="P102" s="11">
        <f t="shared" si="7"/>
        <v>-2.5376020021010439</v>
      </c>
      <c r="Q102" s="34">
        <f t="shared" si="7"/>
        <v>2.7095461604338889</v>
      </c>
      <c r="R102" s="34">
        <f>INTERCEPT(Q102:Q106,P102:P106)</f>
        <v>4.68860320807745</v>
      </c>
      <c r="S102" s="34">
        <f>SLOPE(Q102:Q106,P102:P106)</f>
        <v>0.65278704048151903</v>
      </c>
    </row>
    <row r="103" spans="1:19">
      <c r="A103" t="s">
        <v>48</v>
      </c>
      <c r="B103" t="s">
        <v>107</v>
      </c>
      <c r="C103">
        <v>2</v>
      </c>
      <c r="D103">
        <v>1</v>
      </c>
      <c r="E103" s="12" t="s">
        <v>134</v>
      </c>
      <c r="F103" s="68">
        <v>700</v>
      </c>
      <c r="G103">
        <v>10</v>
      </c>
      <c r="H103" s="7">
        <v>9.8400000000000001E-2</v>
      </c>
      <c r="I103">
        <v>49.996600000000001</v>
      </c>
      <c r="J103">
        <f>900+7.4</f>
        <v>907.4</v>
      </c>
      <c r="K103" s="39">
        <f>(J103/1000)*STD!$H$6/I103</f>
        <v>10.437034106638116</v>
      </c>
      <c r="L103" s="13">
        <f>Data!K103/1000</f>
        <v>2.8000000000000001E-2</v>
      </c>
      <c r="M103" s="40">
        <f t="shared" si="9"/>
        <v>5288.7836851213742</v>
      </c>
      <c r="N103" s="40">
        <f t="shared" si="5"/>
        <v>188885.13161147764</v>
      </c>
      <c r="O103" s="41">
        <f t="shared" si="6"/>
        <v>5.2761977730979588</v>
      </c>
      <c r="P103" s="11">
        <f t="shared" si="7"/>
        <v>-1.5528419686577808</v>
      </c>
      <c r="Q103" s="34">
        <f t="shared" si="7"/>
        <v>3.7233558044401778</v>
      </c>
    </row>
    <row r="104" spans="1:19">
      <c r="A104" t="s">
        <v>48</v>
      </c>
      <c r="B104" t="s">
        <v>107</v>
      </c>
      <c r="C104">
        <v>3</v>
      </c>
      <c r="D104">
        <v>1</v>
      </c>
      <c r="E104" s="12" t="s">
        <v>134</v>
      </c>
      <c r="F104" s="68">
        <v>700</v>
      </c>
      <c r="G104">
        <v>100</v>
      </c>
      <c r="H104" s="7">
        <v>0.10249999999999999</v>
      </c>
      <c r="I104">
        <v>50.0062</v>
      </c>
      <c r="J104">
        <v>9.1</v>
      </c>
      <c r="K104" s="34">
        <f>(J104/1000)*STD!$F$6/I104</f>
        <v>104.6493024524444</v>
      </c>
      <c r="L104" s="13">
        <f>Data!K104/1000</f>
        <v>0.33</v>
      </c>
      <c r="M104" s="40">
        <f t="shared" si="9"/>
        <v>50893.774656560243</v>
      </c>
      <c r="N104" s="40">
        <f t="shared" si="5"/>
        <v>154223.55956533406</v>
      </c>
      <c r="O104" s="41">
        <f t="shared" si="6"/>
        <v>5.1881507226621775</v>
      </c>
      <c r="P104" s="11">
        <f t="shared" si="7"/>
        <v>-0.48148606012211248</v>
      </c>
      <c r="Q104" s="34">
        <f t="shared" si="7"/>
        <v>4.7066646625400654</v>
      </c>
    </row>
    <row r="105" spans="1:19">
      <c r="A105" t="s">
        <v>48</v>
      </c>
      <c r="B105" t="s">
        <v>107</v>
      </c>
      <c r="C105">
        <v>4</v>
      </c>
      <c r="D105">
        <v>1</v>
      </c>
      <c r="E105" s="12" t="s">
        <v>134</v>
      </c>
      <c r="F105" s="68">
        <v>700</v>
      </c>
      <c r="G105">
        <v>1000</v>
      </c>
      <c r="H105" s="7">
        <v>0.1002</v>
      </c>
      <c r="I105">
        <v>50.035299999999999</v>
      </c>
      <c r="J105">
        <f>50+40.5</f>
        <v>90.5</v>
      </c>
      <c r="K105" s="34">
        <f>(J105/1000)*STD!$F$6/I105</f>
        <v>1040.1377777199559</v>
      </c>
      <c r="L105" s="13">
        <f>Data!K105/1000</f>
        <v>16</v>
      </c>
      <c r="M105" s="40">
        <f t="shared" si="9"/>
        <v>511407.59430689935</v>
      </c>
      <c r="N105" s="40">
        <f t="shared" si="5"/>
        <v>31962.974644181209</v>
      </c>
      <c r="O105" s="41">
        <f t="shared" si="6"/>
        <v>4.5046471902739142</v>
      </c>
      <c r="P105" s="11">
        <f t="shared" si="7"/>
        <v>1.2041199826559248</v>
      </c>
      <c r="Q105" s="34">
        <f t="shared" si="7"/>
        <v>5.7087671729298384</v>
      </c>
    </row>
    <row r="106" spans="1:19" s="2" customFormat="1">
      <c r="A106" s="2" t="s">
        <v>48</v>
      </c>
      <c r="B106" s="2" t="s">
        <v>107</v>
      </c>
      <c r="C106" s="2">
        <v>5</v>
      </c>
      <c r="D106" s="2">
        <v>1</v>
      </c>
      <c r="E106" s="2" t="s">
        <v>134</v>
      </c>
      <c r="F106" s="69">
        <v>700</v>
      </c>
      <c r="G106" s="2">
        <v>5000</v>
      </c>
      <c r="H106" s="8">
        <v>0.1016</v>
      </c>
      <c r="I106" s="2">
        <v>50.016199999999998</v>
      </c>
      <c r="J106" s="42">
        <v>455</v>
      </c>
      <c r="K106" s="38">
        <f>(J106/1000)*STD!$F$6/I106</f>
        <v>5231.4189685516149</v>
      </c>
      <c r="L106" s="2">
        <f>Data!K106/1000</f>
        <v>910</v>
      </c>
      <c r="M106" s="40">
        <f t="shared" si="9"/>
        <v>2127371.6084140874</v>
      </c>
      <c r="N106" s="44">
        <f t="shared" si="5"/>
        <v>2337.7709982572392</v>
      </c>
      <c r="O106" s="43">
        <f t="shared" si="6"/>
        <v>3.368801966593058</v>
      </c>
      <c r="P106" s="66">
        <f t="shared" si="7"/>
        <v>2.9590413923210934</v>
      </c>
      <c r="Q106" s="38">
        <f t="shared" si="7"/>
        <v>6.3278433589141514</v>
      </c>
    </row>
    <row r="107" spans="1:19">
      <c r="A107" t="s">
        <v>49</v>
      </c>
      <c r="B107" t="s">
        <v>107</v>
      </c>
      <c r="C107">
        <v>1</v>
      </c>
      <c r="D107">
        <v>1</v>
      </c>
      <c r="E107" s="12" t="s">
        <v>134</v>
      </c>
      <c r="F107" s="68">
        <v>800</v>
      </c>
      <c r="G107">
        <v>1</v>
      </c>
      <c r="H107" s="7">
        <v>0.10249999999999999</v>
      </c>
      <c r="I107">
        <v>49.990200000000002</v>
      </c>
      <c r="J107">
        <f>50+40.5</f>
        <v>90.5</v>
      </c>
      <c r="K107" s="39">
        <f>(J107/1000)*STD!$H$6/I107</f>
        <v>1.0410761659195464</v>
      </c>
      <c r="L107" s="13">
        <f>Data!K107/1000</f>
        <v>4.0999999999999999E-4</v>
      </c>
      <c r="M107" s="40">
        <f t="shared" si="9"/>
        <v>507.54253431757377</v>
      </c>
      <c r="N107" s="40">
        <f t="shared" si="5"/>
        <v>1237908.6202867653</v>
      </c>
      <c r="O107" s="41">
        <f t="shared" si="6"/>
        <v>6.0926885871962675</v>
      </c>
      <c r="P107" s="11">
        <f t="shared" si="7"/>
        <v>-3.3872161432802645</v>
      </c>
      <c r="Q107" s="34">
        <f t="shared" si="7"/>
        <v>2.7054724439160029</v>
      </c>
      <c r="R107" s="34">
        <f>INTERCEPT(Q107:Q111,P107:P111)</f>
        <v>5.6899615309859932</v>
      </c>
      <c r="S107" s="34">
        <f>SLOPE(Q107:Q111,P107:P111)</f>
        <v>0.78930923585287094</v>
      </c>
    </row>
    <row r="108" spans="1:19">
      <c r="A108" t="s">
        <v>49</v>
      </c>
      <c r="B108" t="s">
        <v>107</v>
      </c>
      <c r="C108">
        <v>2</v>
      </c>
      <c r="D108">
        <v>1</v>
      </c>
      <c r="E108" s="12" t="s">
        <v>134</v>
      </c>
      <c r="F108" s="68">
        <v>800</v>
      </c>
      <c r="G108">
        <v>10</v>
      </c>
      <c r="H108" s="7">
        <v>0.1012</v>
      </c>
      <c r="I108">
        <v>50.005200000000002</v>
      </c>
      <c r="J108">
        <f>900+7.4</f>
        <v>907.4</v>
      </c>
      <c r="K108" s="39">
        <f>(J108/1000)*STD!$H$6/I108</f>
        <v>10.435239123450026</v>
      </c>
      <c r="L108" s="13">
        <f>Data!K108/1000</f>
        <v>2.2000000000000001E-3</v>
      </c>
      <c r="M108" s="40">
        <f t="shared" si="9"/>
        <v>5155.1996835567516</v>
      </c>
      <c r="N108" s="40">
        <f t="shared" si="5"/>
        <v>2343272.5834348868</v>
      </c>
      <c r="O108" s="41">
        <f t="shared" si="6"/>
        <v>6.3698228112584836</v>
      </c>
      <c r="P108" s="11">
        <f t="shared" si="7"/>
        <v>-2.6575773191777938</v>
      </c>
      <c r="Q108" s="34">
        <f t="shared" si="7"/>
        <v>3.7122454920806898</v>
      </c>
    </row>
    <row r="109" spans="1:19">
      <c r="A109" t="s">
        <v>49</v>
      </c>
      <c r="B109" t="s">
        <v>107</v>
      </c>
      <c r="C109">
        <v>3</v>
      </c>
      <c r="D109">
        <v>1</v>
      </c>
      <c r="E109" s="12" t="s">
        <v>134</v>
      </c>
      <c r="F109" s="68">
        <v>800</v>
      </c>
      <c r="G109">
        <v>100</v>
      </c>
      <c r="H109" s="7">
        <v>9.9099999999999994E-2</v>
      </c>
      <c r="I109">
        <v>50.011600000000001</v>
      </c>
      <c r="J109">
        <v>9.1</v>
      </c>
      <c r="K109" s="34">
        <f>(J109/1000)*STD!$F$6/I109</f>
        <v>104.63800294926426</v>
      </c>
      <c r="L109" s="13">
        <f>Data!K109/1000</f>
        <v>2.8000000000000001E-2</v>
      </c>
      <c r="M109" s="40">
        <f t="shared" si="9"/>
        <v>52792.266634686435</v>
      </c>
      <c r="N109" s="40">
        <f t="shared" si="5"/>
        <v>1885438.0940959442</v>
      </c>
      <c r="O109" s="41">
        <f t="shared" si="6"/>
        <v>6.2754122774820811</v>
      </c>
      <c r="P109" s="11">
        <f t="shared" si="7"/>
        <v>-1.5528419686577808</v>
      </c>
      <c r="Q109" s="34">
        <f t="shared" si="7"/>
        <v>4.7225703088242996</v>
      </c>
    </row>
    <row r="110" spans="1:19">
      <c r="A110" t="s">
        <v>49</v>
      </c>
      <c r="B110" t="s">
        <v>107</v>
      </c>
      <c r="C110">
        <v>4</v>
      </c>
      <c r="D110">
        <v>1</v>
      </c>
      <c r="E110" s="12" t="s">
        <v>134</v>
      </c>
      <c r="F110" s="68">
        <v>800</v>
      </c>
      <c r="G110">
        <v>1000</v>
      </c>
      <c r="H110" s="7">
        <v>9.6600000000000005E-2</v>
      </c>
      <c r="I110">
        <v>50.002099999999999</v>
      </c>
      <c r="J110">
        <f>50+40.5</f>
        <v>90.5</v>
      </c>
      <c r="K110" s="34">
        <f>(J110/1000)*STD!$F$6/I110</f>
        <v>1040.8284001982179</v>
      </c>
      <c r="L110" s="13">
        <f>Data!K110/1000</f>
        <v>0.67</v>
      </c>
      <c r="M110" s="40">
        <f t="shared" si="9"/>
        <v>538406.87725208397</v>
      </c>
      <c r="N110" s="40">
        <f t="shared" si="5"/>
        <v>803592.35410758795</v>
      </c>
      <c r="O110" s="41">
        <f t="shared" si="6"/>
        <v>5.9050357959399733</v>
      </c>
      <c r="P110" s="11">
        <f t="shared" si="7"/>
        <v>-0.17392519729917355</v>
      </c>
      <c r="Q110" s="34">
        <f t="shared" si="7"/>
        <v>5.7311105986408002</v>
      </c>
    </row>
    <row r="111" spans="1:19" s="2" customFormat="1">
      <c r="A111" s="2" t="s">
        <v>49</v>
      </c>
      <c r="B111" s="2" t="s">
        <v>107</v>
      </c>
      <c r="C111" s="2">
        <v>5</v>
      </c>
      <c r="D111" s="2">
        <v>1</v>
      </c>
      <c r="E111" s="2" t="s">
        <v>134</v>
      </c>
      <c r="F111" s="69">
        <v>800</v>
      </c>
      <c r="G111" s="2">
        <v>5000</v>
      </c>
      <c r="H111" s="8">
        <v>0.1002</v>
      </c>
      <c r="I111" s="2">
        <v>50.015000000000001</v>
      </c>
      <c r="J111" s="42">
        <v>455</v>
      </c>
      <c r="K111" s="38">
        <f>(J111/1000)*STD!$F$6/I111</f>
        <v>5231.544484951939</v>
      </c>
      <c r="L111" s="2">
        <f>Data!K111/1000</f>
        <v>17</v>
      </c>
      <c r="M111" s="40">
        <f t="shared" si="9"/>
        <v>2602848.726695322</v>
      </c>
      <c r="N111" s="44">
        <f t="shared" si="5"/>
        <v>153108.74862913659</v>
      </c>
      <c r="O111" s="43">
        <f t="shared" si="6"/>
        <v>5.1850000069804629</v>
      </c>
      <c r="P111" s="66">
        <f t="shared" si="7"/>
        <v>1.2304489213782739</v>
      </c>
      <c r="Q111" s="38">
        <f t="shared" si="7"/>
        <v>6.4154489283587361</v>
      </c>
    </row>
    <row r="112" spans="1:19">
      <c r="A112" t="s">
        <v>50</v>
      </c>
      <c r="B112" t="s">
        <v>107</v>
      </c>
      <c r="C112">
        <v>1</v>
      </c>
      <c r="D112">
        <v>1</v>
      </c>
      <c r="E112" s="12" t="s">
        <v>131</v>
      </c>
      <c r="G112">
        <v>1</v>
      </c>
      <c r="H112" s="7">
        <v>0.1011</v>
      </c>
      <c r="I112">
        <v>50.008499999999998</v>
      </c>
      <c r="J112">
        <f>50+40.5</f>
        <v>90.5</v>
      </c>
      <c r="K112" s="39">
        <f>(J112/1000)*STD!$H$6/I112</f>
        <v>1.0406951968075691</v>
      </c>
      <c r="L112" s="13">
        <f>Data!K112/1000</f>
        <v>0.96</v>
      </c>
      <c r="M112" s="40">
        <f t="shared" si="9"/>
        <v>39.915388225037809</v>
      </c>
      <c r="N112" s="40">
        <f t="shared" si="5"/>
        <v>41.578529401081056</v>
      </c>
      <c r="O112" s="41">
        <f t="shared" si="6"/>
        <v>1.6188691246229123</v>
      </c>
      <c r="P112" s="11">
        <f t="shared" si="7"/>
        <v>-1.7728766960431602E-2</v>
      </c>
      <c r="Q112" s="34">
        <f t="shared" si="7"/>
        <v>1.6011403576624808</v>
      </c>
      <c r="R112" s="34">
        <f>INTERCEPT(Q112:Q115,P112:P115)</f>
        <v>1.499599034699225</v>
      </c>
      <c r="S112" s="34" t="e">
        <f>SLOPE(Q112:Q116,P112:P116)</f>
        <v>#NUM!</v>
      </c>
    </row>
    <row r="113" spans="1:19">
      <c r="A113" t="s">
        <v>50</v>
      </c>
      <c r="B113" t="s">
        <v>107</v>
      </c>
      <c r="C113">
        <v>2</v>
      </c>
      <c r="D113">
        <v>1</v>
      </c>
      <c r="E113" s="12" t="s">
        <v>131</v>
      </c>
      <c r="G113">
        <v>10</v>
      </c>
      <c r="H113" s="7">
        <v>9.98E-2</v>
      </c>
      <c r="I113">
        <v>50.008000000000003</v>
      </c>
      <c r="J113">
        <f>900+7.4</f>
        <v>907.4</v>
      </c>
      <c r="K113" s="39">
        <f>(J113/1000)*STD!$H$6/I113</f>
        <v>10.434654843543898</v>
      </c>
      <c r="L113" s="13">
        <f>Data!K113/1000</f>
        <v>10</v>
      </c>
      <c r="M113" s="40">
        <f t="shared" si="9"/>
        <v>217.79778973890953</v>
      </c>
      <c r="N113" s="40">
        <f t="shared" si="5"/>
        <v>21.779778973890952</v>
      </c>
      <c r="O113" s="41">
        <f t="shared" si="6"/>
        <v>1.3380534681237699</v>
      </c>
      <c r="P113" s="11">
        <f t="shared" si="7"/>
        <v>1</v>
      </c>
      <c r="Q113" s="34">
        <f t="shared" si="7"/>
        <v>2.3380534681237699</v>
      </c>
    </row>
    <row r="114" spans="1:19">
      <c r="A114" t="s">
        <v>50</v>
      </c>
      <c r="B114" t="s">
        <v>107</v>
      </c>
      <c r="C114">
        <v>3</v>
      </c>
      <c r="D114">
        <v>1</v>
      </c>
      <c r="E114" s="12" t="s">
        <v>131</v>
      </c>
      <c r="G114">
        <v>100</v>
      </c>
      <c r="H114" s="7">
        <v>0.1013</v>
      </c>
      <c r="I114" s="7">
        <v>50.011000000000003</v>
      </c>
      <c r="J114">
        <v>9.1</v>
      </c>
      <c r="K114" s="34">
        <f>(J114/1000)*STD!$F$6/I114</f>
        <v>104.63925832911609</v>
      </c>
      <c r="L114" s="13">
        <f>Data!K114/1000</f>
        <v>94</v>
      </c>
      <c r="M114" s="40">
        <f t="shared" si="9"/>
        <v>5252.5167650288749</v>
      </c>
      <c r="N114" s="40">
        <f t="shared" si="5"/>
        <v>55.877837925839096</v>
      </c>
      <c r="O114" s="41">
        <f t="shared" si="6"/>
        <v>1.7472395936654233</v>
      </c>
      <c r="P114" s="11">
        <f t="shared" si="7"/>
        <v>1.9731278535996986</v>
      </c>
      <c r="Q114" s="34">
        <f t="shared" si="7"/>
        <v>3.7203674472651218</v>
      </c>
    </row>
    <row r="115" spans="1:19">
      <c r="A115" t="s">
        <v>50</v>
      </c>
      <c r="B115" t="s">
        <v>107</v>
      </c>
      <c r="C115">
        <v>4</v>
      </c>
      <c r="D115">
        <v>1</v>
      </c>
      <c r="E115" s="12" t="s">
        <v>131</v>
      </c>
      <c r="G115">
        <v>1000</v>
      </c>
      <c r="H115" s="7">
        <v>0.10009999999999999</v>
      </c>
      <c r="I115">
        <v>50.000300000000003</v>
      </c>
      <c r="J115">
        <f>50+40.5</f>
        <v>90.5</v>
      </c>
      <c r="K115" s="34">
        <f>(J115/1000)*STD!$F$6/I115</f>
        <v>1040.8658697958074</v>
      </c>
      <c r="L115" s="13">
        <f>Data!K115/1000</f>
        <v>940</v>
      </c>
      <c r="M115" s="40">
        <f t="shared" si="9"/>
        <v>50382.854640872189</v>
      </c>
      <c r="N115" s="40">
        <f t="shared" si="5"/>
        <v>53.598781532842757</v>
      </c>
      <c r="O115" s="41">
        <f t="shared" si="6"/>
        <v>1.7291549169394564</v>
      </c>
      <c r="P115" s="11">
        <f t="shared" si="7"/>
        <v>2.9731278535996988</v>
      </c>
      <c r="Q115" s="34">
        <f t="shared" si="7"/>
        <v>4.7022827705391554</v>
      </c>
    </row>
    <row r="116" spans="1:19" s="2" customFormat="1">
      <c r="A116" s="2" t="s">
        <v>50</v>
      </c>
      <c r="B116" s="2" t="s">
        <v>107</v>
      </c>
      <c r="C116" s="2">
        <v>5</v>
      </c>
      <c r="D116" s="2">
        <v>1</v>
      </c>
      <c r="E116" s="2" t="s">
        <v>131</v>
      </c>
      <c r="G116" s="2">
        <v>5000</v>
      </c>
      <c r="H116" s="8">
        <v>0.1</v>
      </c>
      <c r="I116" s="2">
        <v>49.996099999999998</v>
      </c>
      <c r="J116" s="42">
        <v>455</v>
      </c>
      <c r="K116" s="38">
        <f>(J116/1000)*STD!$F$6/I116</f>
        <v>5233.5221630261412</v>
      </c>
      <c r="L116" s="2">
        <f>Data!K116/1000</f>
        <v>6100</v>
      </c>
      <c r="M116" s="40">
        <f t="shared" si="9"/>
        <v>-433205.12585128768</v>
      </c>
      <c r="N116" s="44">
        <f t="shared" si="5"/>
        <v>-71.017233746112737</v>
      </c>
      <c r="O116" s="43" t="e">
        <f t="shared" si="6"/>
        <v>#NUM!</v>
      </c>
      <c r="P116" s="66">
        <f t="shared" si="7"/>
        <v>3.7853298350107671</v>
      </c>
      <c r="Q116" s="38" t="e">
        <f t="shared" si="7"/>
        <v>#NUM!</v>
      </c>
    </row>
    <row r="117" spans="1:19">
      <c r="A117" t="s">
        <v>51</v>
      </c>
      <c r="B117" t="s">
        <v>107</v>
      </c>
      <c r="C117">
        <v>1</v>
      </c>
      <c r="D117">
        <v>1</v>
      </c>
      <c r="E117" s="12" t="s">
        <v>133</v>
      </c>
      <c r="G117">
        <v>1</v>
      </c>
      <c r="H117" s="7">
        <v>9.9500000000000005E-2</v>
      </c>
      <c r="I117">
        <v>50.011200000000002</v>
      </c>
      <c r="J117">
        <f>50+40.5</f>
        <v>90.5</v>
      </c>
      <c r="K117" s="39">
        <f>(J117/1000)*STD!$H$6/I117</f>
        <v>1.0406390118523712</v>
      </c>
      <c r="L117" s="13">
        <f>Data!K117/1000</f>
        <v>0.16</v>
      </c>
      <c r="M117" s="40">
        <f t="shared" si="9"/>
        <v>442.63129396533975</v>
      </c>
      <c r="N117" s="40">
        <f t="shared" si="5"/>
        <v>2766.4455872833732</v>
      </c>
      <c r="O117" s="41">
        <f t="shared" si="6"/>
        <v>3.4419221325747609</v>
      </c>
      <c r="P117" s="11">
        <f t="shared" si="7"/>
        <v>-0.79588001734407521</v>
      </c>
      <c r="Q117" s="34">
        <f t="shared" si="7"/>
        <v>2.6460421152306854</v>
      </c>
      <c r="R117" s="34">
        <f>INTERCEPT(Q117:Q121,P117:P121)</f>
        <v>3.3647463911822237</v>
      </c>
      <c r="S117" s="34">
        <f>SLOPE(Q117:Q121,P117:P121)</f>
        <v>0.5767129567308108</v>
      </c>
    </row>
    <row r="118" spans="1:19">
      <c r="A118" t="s">
        <v>51</v>
      </c>
      <c r="B118" t="s">
        <v>107</v>
      </c>
      <c r="C118">
        <v>2</v>
      </c>
      <c r="D118">
        <v>1</v>
      </c>
      <c r="E118" s="12" t="s">
        <v>133</v>
      </c>
      <c r="G118">
        <v>10</v>
      </c>
      <c r="H118" s="7">
        <v>0.106</v>
      </c>
      <c r="I118">
        <v>49.986499999999999</v>
      </c>
      <c r="J118">
        <f>900+7.4</f>
        <v>907.4</v>
      </c>
      <c r="K118" s="39">
        <f>(J118/1000)*STD!$H$6/I118</f>
        <v>10.439142956917232</v>
      </c>
      <c r="L118" s="13">
        <f>Data!K118/1000</f>
        <v>1.8</v>
      </c>
      <c r="M118" s="40">
        <f t="shared" si="9"/>
        <v>4073.9671643013503</v>
      </c>
      <c r="N118" s="40">
        <f t="shared" si="5"/>
        <v>2263.3150912785277</v>
      </c>
      <c r="O118" s="41">
        <f t="shared" si="6"/>
        <v>3.3547450192122379</v>
      </c>
      <c r="P118" s="11">
        <f t="shared" si="7"/>
        <v>0.25527250510330607</v>
      </c>
      <c r="Q118" s="34">
        <f t="shared" si="7"/>
        <v>3.6100175243155439</v>
      </c>
    </row>
    <row r="119" spans="1:19">
      <c r="A119" t="s">
        <v>51</v>
      </c>
      <c r="B119" t="s">
        <v>107</v>
      </c>
      <c r="C119">
        <v>3</v>
      </c>
      <c r="D119">
        <v>1</v>
      </c>
      <c r="E119" s="12" t="s">
        <v>133</v>
      </c>
      <c r="G119">
        <v>100</v>
      </c>
      <c r="H119" s="7">
        <v>9.8000000000000004E-2</v>
      </c>
      <c r="I119">
        <v>49.9861</v>
      </c>
      <c r="J119">
        <v>9.1</v>
      </c>
      <c r="K119" s="34">
        <f>(J119/1000)*STD!$F$6/I119</f>
        <v>104.69138317046989</v>
      </c>
      <c r="L119" s="13">
        <f>Data!K119/1000</f>
        <v>21</v>
      </c>
      <c r="M119" s="40">
        <f t="shared" si="9"/>
        <v>42687.814778545144</v>
      </c>
      <c r="N119" s="40">
        <f t="shared" si="5"/>
        <v>2032.7530846926259</v>
      </c>
      <c r="O119" s="41">
        <f t="shared" si="6"/>
        <v>3.308084628776752</v>
      </c>
      <c r="P119" s="11">
        <f t="shared" si="7"/>
        <v>1.3222192947339193</v>
      </c>
      <c r="Q119" s="34">
        <f t="shared" si="7"/>
        <v>4.6303039235106711</v>
      </c>
    </row>
    <row r="120" spans="1:19">
      <c r="A120" t="s">
        <v>51</v>
      </c>
      <c r="B120" t="s">
        <v>107</v>
      </c>
      <c r="C120">
        <v>4</v>
      </c>
      <c r="D120">
        <v>1</v>
      </c>
      <c r="E120" s="12" t="s">
        <v>133</v>
      </c>
      <c r="G120">
        <v>1000</v>
      </c>
      <c r="H120" s="7">
        <v>0.1046</v>
      </c>
      <c r="I120">
        <v>50.801400000000001</v>
      </c>
      <c r="J120">
        <f>50+40.5</f>
        <v>90.5</v>
      </c>
      <c r="K120" s="34">
        <f>(J120/1000)*STD!$F$6/I120</f>
        <v>1024.4521952062603</v>
      </c>
      <c r="L120" s="13">
        <f>Data!K120/1000</f>
        <v>950</v>
      </c>
      <c r="M120" s="40">
        <f t="shared" si="9"/>
        <v>36159.423991886397</v>
      </c>
      <c r="N120" s="40">
        <f t="shared" si="5"/>
        <v>38.062551570406733</v>
      </c>
      <c r="O120" s="41">
        <f t="shared" si="6"/>
        <v>1.5804978983967313</v>
      </c>
      <c r="P120" s="11">
        <f t="shared" si="7"/>
        <v>2.9777236052888476</v>
      </c>
      <c r="Q120" s="34">
        <f t="shared" si="7"/>
        <v>4.5582215036855791</v>
      </c>
    </row>
    <row r="121" spans="1:19" s="2" customFormat="1">
      <c r="A121" s="2" t="s">
        <v>51</v>
      </c>
      <c r="B121" s="2" t="s">
        <v>107</v>
      </c>
      <c r="C121" s="2">
        <v>5</v>
      </c>
      <c r="D121" s="2">
        <v>1</v>
      </c>
      <c r="E121" s="2" t="s">
        <v>133</v>
      </c>
      <c r="G121" s="2">
        <v>5000</v>
      </c>
      <c r="H121" s="8">
        <v>0.1061</v>
      </c>
      <c r="I121" s="2">
        <v>50.012900000000002</v>
      </c>
      <c r="J121" s="42">
        <v>455</v>
      </c>
      <c r="K121" s="38">
        <f>(J121/1000)*STD!$F$6/I121</f>
        <v>5231.764153145913</v>
      </c>
      <c r="L121" s="2">
        <f>Data!K121/1000</f>
        <v>4300</v>
      </c>
      <c r="M121" s="40">
        <f t="shared" si="9"/>
        <v>439210.43746344227</v>
      </c>
      <c r="N121" s="44">
        <f t="shared" si="5"/>
        <v>102.14196220080053</v>
      </c>
      <c r="O121" s="43">
        <f t="shared" si="6"/>
        <v>2.0092041966250105</v>
      </c>
      <c r="P121" s="66">
        <f t="shared" si="7"/>
        <v>3.6334684555795866</v>
      </c>
      <c r="Q121" s="38">
        <f t="shared" si="7"/>
        <v>5.6426726522045971</v>
      </c>
    </row>
    <row r="122" spans="1:19">
      <c r="A122" t="s">
        <v>53</v>
      </c>
      <c r="B122" t="s">
        <v>107</v>
      </c>
      <c r="C122">
        <v>1</v>
      </c>
      <c r="D122">
        <v>1</v>
      </c>
      <c r="E122" s="12" t="s">
        <v>126</v>
      </c>
      <c r="G122">
        <v>1</v>
      </c>
      <c r="H122" s="7">
        <v>0.1008</v>
      </c>
      <c r="I122">
        <v>50.000100000000003</v>
      </c>
      <c r="J122">
        <f>50+40.5</f>
        <v>90.5</v>
      </c>
      <c r="K122" s="39">
        <f>(J122/1000)*STD!$H$6/I122</f>
        <v>1.0408700332509597</v>
      </c>
      <c r="L122" s="13">
        <f>Data!K122/1000</f>
        <v>1</v>
      </c>
      <c r="M122" s="40">
        <f>(K122*(I122/1000)-L122*(I122/1000))/(H122/1000)</f>
        <v>20.272874499516973</v>
      </c>
      <c r="N122" s="40">
        <f t="shared" si="5"/>
        <v>20.272874499516973</v>
      </c>
      <c r="O122" s="41">
        <f t="shared" si="6"/>
        <v>1.3069153318587787</v>
      </c>
      <c r="P122" s="11">
        <f t="shared" si="7"/>
        <v>0</v>
      </c>
      <c r="Q122" s="34">
        <f t="shared" si="7"/>
        <v>1.3069153318587787</v>
      </c>
      <c r="R122" s="34" t="e">
        <f>INTERCEPT(Q122:Q126,P122:P126)</f>
        <v>#NUM!</v>
      </c>
      <c r="S122" s="34" t="e">
        <f>SLOPE(Q122:Q126,P122:P126)</f>
        <v>#NUM!</v>
      </c>
    </row>
    <row r="123" spans="1:19">
      <c r="A123" t="s">
        <v>53</v>
      </c>
      <c r="B123" t="s">
        <v>107</v>
      </c>
      <c r="C123">
        <v>2</v>
      </c>
      <c r="D123">
        <v>1</v>
      </c>
      <c r="E123" s="12" t="s">
        <v>126</v>
      </c>
      <c r="G123">
        <v>10</v>
      </c>
      <c r="H123" s="7">
        <v>0.1014</v>
      </c>
      <c r="I123">
        <v>50.0351</v>
      </c>
      <c r="J123">
        <f>900+7.4</f>
        <v>907.4</v>
      </c>
      <c r="K123" s="39">
        <f>(J123/1000)*STD!$H$6/I123</f>
        <v>10.429003228052771</v>
      </c>
      <c r="L123" s="13">
        <f>Data!K123/1000</f>
        <v>11</v>
      </c>
      <c r="M123" s="40">
        <f t="shared" si="9"/>
        <v>-281.75424639109212</v>
      </c>
      <c r="N123" s="40">
        <f t="shared" si="5"/>
        <v>-25.614022399190194</v>
      </c>
      <c r="O123" s="41" t="e">
        <f t="shared" si="6"/>
        <v>#NUM!</v>
      </c>
      <c r="P123" s="11">
        <f t="shared" si="7"/>
        <v>1.0413926851582251</v>
      </c>
      <c r="Q123" s="34" t="e">
        <f t="shared" si="7"/>
        <v>#NUM!</v>
      </c>
    </row>
    <row r="124" spans="1:19">
      <c r="A124" t="s">
        <v>53</v>
      </c>
      <c r="B124" t="s">
        <v>107</v>
      </c>
      <c r="C124">
        <v>3</v>
      </c>
      <c r="D124">
        <v>1</v>
      </c>
      <c r="E124" s="12" t="s">
        <v>126</v>
      </c>
      <c r="G124">
        <v>100</v>
      </c>
      <c r="H124" s="7">
        <v>9.5600000000000004E-2</v>
      </c>
      <c r="I124">
        <v>50.005600000000001</v>
      </c>
      <c r="J124">
        <v>9.1</v>
      </c>
      <c r="K124" s="34">
        <f>(J124/1000)*STD!$F$6/I124</f>
        <v>104.65055810344091</v>
      </c>
      <c r="L124" s="13">
        <f>Data!K124/1000</f>
        <v>89</v>
      </c>
      <c r="M124" s="40">
        <f t="shared" si="9"/>
        <v>8186.3551077136508</v>
      </c>
      <c r="N124" s="40">
        <f t="shared" si="5"/>
        <v>91.981518064198326</v>
      </c>
      <c r="O124" s="41">
        <f t="shared" si="6"/>
        <v>1.963700572899076</v>
      </c>
      <c r="P124" s="11">
        <f t="shared" si="7"/>
        <v>1.9493900066449128</v>
      </c>
      <c r="Q124" s="34">
        <f t="shared" si="7"/>
        <v>3.9130905795439888</v>
      </c>
    </row>
    <row r="125" spans="1:19">
      <c r="A125" t="s">
        <v>53</v>
      </c>
      <c r="B125" t="s">
        <v>107</v>
      </c>
      <c r="C125">
        <v>4</v>
      </c>
      <c r="D125">
        <v>1</v>
      </c>
      <c r="E125" s="12" t="s">
        <v>126</v>
      </c>
      <c r="G125">
        <v>1000</v>
      </c>
      <c r="H125" s="7">
        <v>0.1013</v>
      </c>
      <c r="I125">
        <v>50.011499999999998</v>
      </c>
      <c r="J125">
        <f>50+40.5</f>
        <v>90.5</v>
      </c>
      <c r="K125" s="34">
        <f>(J125/1000)*STD!$F$6/I125</f>
        <v>1040.6327694540519</v>
      </c>
      <c r="L125" s="13">
        <f>Data!K125/1000</f>
        <v>1000</v>
      </c>
      <c r="M125" s="40">
        <f t="shared" si="9"/>
        <v>20060.27393436644</v>
      </c>
      <c r="N125" s="40">
        <f t="shared" si="5"/>
        <v>20.060273934366439</v>
      </c>
      <c r="O125" s="41">
        <f t="shared" si="6"/>
        <v>1.3023368592612417</v>
      </c>
      <c r="P125" s="11">
        <f t="shared" si="7"/>
        <v>3</v>
      </c>
      <c r="Q125" s="34">
        <f t="shared" si="7"/>
        <v>4.3023368592612412</v>
      </c>
    </row>
    <row r="126" spans="1:19" s="2" customFormat="1">
      <c r="A126" s="2" t="s">
        <v>53</v>
      </c>
      <c r="B126" s="2" t="s">
        <v>107</v>
      </c>
      <c r="C126" s="2">
        <v>5</v>
      </c>
      <c r="D126" s="2">
        <v>1</v>
      </c>
      <c r="E126" s="2" t="s">
        <v>126</v>
      </c>
      <c r="G126" s="2">
        <v>5000</v>
      </c>
      <c r="H126" s="8">
        <v>9.9099999999999994E-2</v>
      </c>
      <c r="I126" s="2">
        <v>50.013300000000001</v>
      </c>
      <c r="J126" s="42">
        <v>455</v>
      </c>
      <c r="K126" s="38">
        <f>(J126/1000)*STD!$F$6/I126</f>
        <v>5231.7223101629215</v>
      </c>
      <c r="L126" s="2">
        <f>Data!K126/1000</f>
        <v>6500</v>
      </c>
      <c r="M126" s="40">
        <f t="shared" si="9"/>
        <v>-640068.13910321635</v>
      </c>
      <c r="N126" s="44">
        <f t="shared" si="5"/>
        <v>-98.472021400494825</v>
      </c>
      <c r="O126" s="43" t="e">
        <f t="shared" si="6"/>
        <v>#NUM!</v>
      </c>
      <c r="P126" s="66">
        <f t="shared" si="7"/>
        <v>3.8129133566428557</v>
      </c>
      <c r="Q126" s="38" t="e">
        <f t="shared" si="7"/>
        <v>#NUM!</v>
      </c>
    </row>
    <row r="127" spans="1:19">
      <c r="A127" t="s">
        <v>111</v>
      </c>
      <c r="B127" t="s">
        <v>109</v>
      </c>
      <c r="C127">
        <v>1</v>
      </c>
      <c r="D127">
        <v>1</v>
      </c>
      <c r="G127">
        <v>1</v>
      </c>
      <c r="I127">
        <v>50.007100000000001</v>
      </c>
      <c r="J127">
        <f>50+40.5</f>
        <v>90.5</v>
      </c>
      <c r="K127" s="39">
        <f>(J127/1000)*STD!$H$6/I127</f>
        <v>1.0407243321358628</v>
      </c>
      <c r="L127" s="13">
        <f>Data!K127/1000</f>
        <v>2.4</v>
      </c>
    </row>
    <row r="128" spans="1:19">
      <c r="A128" t="s">
        <v>111</v>
      </c>
      <c r="B128" t="s">
        <v>109</v>
      </c>
      <c r="C128">
        <v>1</v>
      </c>
      <c r="D128">
        <v>2</v>
      </c>
      <c r="G128">
        <v>1</v>
      </c>
      <c r="I128">
        <v>50.019399999999997</v>
      </c>
      <c r="J128">
        <f>50+40.5</f>
        <v>90.5</v>
      </c>
      <c r="K128" s="39">
        <f>(J128/1000)*STD!$H$6/I128</f>
        <v>1.0404684132466866</v>
      </c>
      <c r="L128" s="13">
        <f>Data!K128/1000</f>
        <v>1</v>
      </c>
    </row>
    <row r="129" spans="1:12">
      <c r="A129" t="s">
        <v>111</v>
      </c>
      <c r="B129" t="s">
        <v>109</v>
      </c>
      <c r="C129">
        <v>1</v>
      </c>
      <c r="D129">
        <v>3</v>
      </c>
      <c r="G129">
        <v>1</v>
      </c>
      <c r="I129">
        <v>49.997599999999998</v>
      </c>
      <c r="J129">
        <f>50+40.5</f>
        <v>90.5</v>
      </c>
      <c r="K129" s="39">
        <f>(J129/1000)*STD!$H$6/I129</f>
        <v>1.0409220792508302</v>
      </c>
      <c r="L129" s="13">
        <f>Data!K129/1000</f>
        <v>0.95</v>
      </c>
    </row>
    <row r="130" spans="1:12">
      <c r="A130" t="s">
        <v>111</v>
      </c>
      <c r="B130" t="s">
        <v>109</v>
      </c>
      <c r="C130">
        <v>2</v>
      </c>
      <c r="D130">
        <v>1</v>
      </c>
      <c r="G130">
        <v>10</v>
      </c>
      <c r="I130">
        <v>49.990200000000002</v>
      </c>
      <c r="J130">
        <f>900+7.4</f>
        <v>907.4</v>
      </c>
      <c r="K130" s="39">
        <f>(J130/1000)*STD!$H$6/I130</f>
        <v>10.438370308899408</v>
      </c>
      <c r="L130" s="13">
        <f>Data!K130/1000</f>
        <v>12</v>
      </c>
    </row>
    <row r="131" spans="1:12">
      <c r="A131" t="s">
        <v>111</v>
      </c>
      <c r="B131" t="s">
        <v>109</v>
      </c>
      <c r="C131">
        <v>3</v>
      </c>
      <c r="D131">
        <v>1</v>
      </c>
      <c r="G131">
        <v>100</v>
      </c>
      <c r="I131">
        <v>49.998199999999997</v>
      </c>
      <c r="J131">
        <v>9.1</v>
      </c>
      <c r="K131" s="34">
        <f>(J131/1000)*STD!$F$6/I131</f>
        <v>104.66604694363848</v>
      </c>
      <c r="L131" s="13">
        <f>Data!K131/1000</f>
        <v>91</v>
      </c>
    </row>
    <row r="132" spans="1:12">
      <c r="A132" t="s">
        <v>111</v>
      </c>
      <c r="B132" t="s">
        <v>109</v>
      </c>
      <c r="C132">
        <v>4</v>
      </c>
      <c r="D132">
        <v>1</v>
      </c>
      <c r="G132">
        <v>1000</v>
      </c>
      <c r="I132">
        <v>50.014000000000003</v>
      </c>
      <c r="J132">
        <f>50+40.5</f>
        <v>90.5</v>
      </c>
      <c r="K132" s="34">
        <f>(J132/1000)*STD!$F$6/I132</f>
        <v>1040.5807523803596</v>
      </c>
      <c r="L132" s="13">
        <f>Data!K132/1000</f>
        <v>1000</v>
      </c>
    </row>
    <row r="133" spans="1:12" s="2" customFormat="1">
      <c r="A133" s="2" t="s">
        <v>111</v>
      </c>
      <c r="B133" s="2" t="s">
        <v>109</v>
      </c>
      <c r="C133" s="2">
        <v>5</v>
      </c>
      <c r="D133" s="2">
        <v>1</v>
      </c>
      <c r="G133" s="2">
        <v>5000</v>
      </c>
      <c r="H133" s="8"/>
      <c r="I133" s="2">
        <v>50.001300000000001</v>
      </c>
      <c r="J133" s="42">
        <v>455</v>
      </c>
      <c r="K133" s="38">
        <f>(J133/1000)*STD!$F$6/I133</f>
        <v>5232.9778908722619</v>
      </c>
      <c r="L133" s="2">
        <f>Data!K133/1000</f>
        <v>6000</v>
      </c>
    </row>
    <row r="134" spans="1:12">
      <c r="A134" s="12" t="s">
        <v>106</v>
      </c>
      <c r="B134" t="s">
        <v>110</v>
      </c>
      <c r="C134" s="12">
        <v>0</v>
      </c>
      <c r="D134">
        <v>1</v>
      </c>
      <c r="L134" s="13">
        <f>Data!K134/1000</f>
        <v>4.0000000000000002E-4</v>
      </c>
    </row>
    <row r="135" spans="1:12">
      <c r="A135" s="12" t="s">
        <v>106</v>
      </c>
      <c r="B135" t="s">
        <v>110</v>
      </c>
      <c r="C135" s="12">
        <v>0</v>
      </c>
      <c r="D135">
        <v>2</v>
      </c>
      <c r="L135" s="13" t="e">
        <f>Data!K135/1000</f>
        <v>#VALUE!</v>
      </c>
    </row>
    <row r="136" spans="1:12">
      <c r="A136" s="12" t="s">
        <v>106</v>
      </c>
      <c r="B136" t="s">
        <v>110</v>
      </c>
      <c r="C136" s="12">
        <v>0</v>
      </c>
      <c r="D136">
        <v>3</v>
      </c>
      <c r="L136" s="13" t="e">
        <f>Data!K136/1000</f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9146-56BD-4323-923C-461F3ACD4043}">
  <dimension ref="A1:S38"/>
  <sheetViews>
    <sheetView topLeftCell="A13" zoomScale="80" zoomScaleNormal="80" workbookViewId="0">
      <selection activeCell="C39" sqref="C39"/>
    </sheetView>
  </sheetViews>
  <sheetFormatPr baseColWidth="10" defaultRowHeight="14.5"/>
  <cols>
    <col min="14" max="14" width="16.81640625" customWidth="1"/>
    <col min="19" max="19" width="18.81640625" customWidth="1"/>
  </cols>
  <sheetData>
    <row r="1" spans="1:19" s="2" customFormat="1" ht="75" customHeight="1">
      <c r="A1" s="2" t="s">
        <v>107</v>
      </c>
      <c r="B1" s="2" t="s">
        <v>108</v>
      </c>
      <c r="C1" s="2" t="s">
        <v>112</v>
      </c>
      <c r="D1" s="2" t="s">
        <v>113</v>
      </c>
      <c r="E1" s="2" t="s">
        <v>132</v>
      </c>
      <c r="F1" s="2" t="s">
        <v>125</v>
      </c>
      <c r="G1" s="14" t="s">
        <v>114</v>
      </c>
      <c r="H1" s="8" t="s">
        <v>115</v>
      </c>
      <c r="I1" s="2" t="s">
        <v>91</v>
      </c>
      <c r="J1" s="14" t="s">
        <v>124</v>
      </c>
      <c r="K1" s="38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</row>
    <row r="2" spans="1:19" s="70" customFormat="1">
      <c r="A2" s="70" t="s">
        <v>26</v>
      </c>
      <c r="B2" s="70" t="s">
        <v>107</v>
      </c>
      <c r="C2" s="67">
        <v>1</v>
      </c>
      <c r="D2" s="67">
        <v>1</v>
      </c>
      <c r="E2" s="12" t="s">
        <v>131</v>
      </c>
      <c r="F2" s="67">
        <v>700</v>
      </c>
      <c r="G2" s="70">
        <v>1</v>
      </c>
      <c r="H2" s="71">
        <v>9.8799999999999999E-2</v>
      </c>
      <c r="I2" s="70">
        <v>50.021299999999997</v>
      </c>
      <c r="J2" s="70">
        <v>90.5</v>
      </c>
      <c r="K2" s="72">
        <v>1.0404288922829137</v>
      </c>
      <c r="L2" s="12">
        <v>2.7E-2</v>
      </c>
      <c r="M2" s="40">
        <f t="shared" ref="M2:M3" si="0">(K2*(I2/1000)-L2*(I2/1000))/(H2/1000)</f>
        <v>513.08735475254355</v>
      </c>
      <c r="N2" s="73">
        <v>19003235.361205317</v>
      </c>
      <c r="O2" s="74">
        <v>7.2788275472633721</v>
      </c>
      <c r="P2" s="75">
        <v>-1.5686362358410126</v>
      </c>
      <c r="Q2" s="54">
        <f>LOG(M2)</f>
        <v>2.710191311422359</v>
      </c>
    </row>
    <row r="3" spans="1:19" s="70" customFormat="1">
      <c r="A3" s="70" t="s">
        <v>26</v>
      </c>
      <c r="B3" s="70" t="s">
        <v>107</v>
      </c>
      <c r="C3" s="67">
        <v>1</v>
      </c>
      <c r="D3" s="67">
        <v>2</v>
      </c>
      <c r="E3" s="12" t="s">
        <v>131</v>
      </c>
      <c r="F3" s="67">
        <v>700</v>
      </c>
      <c r="G3" s="70">
        <v>1</v>
      </c>
      <c r="H3" s="71">
        <v>9.7600000000000006E-2</v>
      </c>
      <c r="I3" s="70">
        <v>49.9983</v>
      </c>
      <c r="J3" s="70">
        <v>90.5</v>
      </c>
      <c r="K3" s="72">
        <v>1.0409075058462249</v>
      </c>
      <c r="L3" s="12">
        <v>3.3000000000000002E-2</v>
      </c>
      <c r="M3" s="40">
        <f t="shared" si="0"/>
        <v>516.32850255687822</v>
      </c>
      <c r="N3" s="73">
        <v>15646318.259299338</v>
      </c>
      <c r="O3" s="74">
        <v>7.1944121599156157</v>
      </c>
      <c r="P3" s="75">
        <v>-1.4814860601221125</v>
      </c>
      <c r="Q3" s="54">
        <f t="shared" ref="Q3:Q4" si="1">LOG(M3)</f>
        <v>2.7129260997935032</v>
      </c>
    </row>
    <row r="4" spans="1:19" s="70" customFormat="1">
      <c r="A4" s="70" t="s">
        <v>26</v>
      </c>
      <c r="B4" s="70" t="s">
        <v>107</v>
      </c>
      <c r="C4" s="67">
        <v>1</v>
      </c>
      <c r="D4" s="67">
        <v>3</v>
      </c>
      <c r="E4" s="12" t="s">
        <v>131</v>
      </c>
      <c r="F4" s="67">
        <v>700</v>
      </c>
      <c r="G4" s="70">
        <v>1</v>
      </c>
      <c r="H4" s="71">
        <v>9.7199999999999995E-2</v>
      </c>
      <c r="I4" s="70">
        <v>49.993600000000001</v>
      </c>
      <c r="J4" s="70">
        <v>90.5</v>
      </c>
      <c r="K4" s="72">
        <v>1.0410053636775769</v>
      </c>
      <c r="L4" s="12">
        <v>4.4999999999999998E-2</v>
      </c>
      <c r="M4" s="40">
        <f>(K4*(I4/1000)-L4*(I4/1000))/(H4/1000)</f>
        <v>512.28285750567193</v>
      </c>
      <c r="N4" s="73">
        <v>11384063.500126043</v>
      </c>
      <c r="O4" s="74">
        <v>7.0562973095707315</v>
      </c>
      <c r="P4" s="75">
        <v>-1.3467874862246563</v>
      </c>
      <c r="Q4" s="54">
        <f t="shared" si="1"/>
        <v>2.709509823346075</v>
      </c>
    </row>
    <row r="5" spans="1:19" s="77" customFormat="1">
      <c r="A5" s="77" t="s">
        <v>135</v>
      </c>
      <c r="C5" s="78"/>
      <c r="D5" s="78"/>
      <c r="F5" s="78"/>
      <c r="H5" s="79">
        <f>AVERAGE(H2:H4)</f>
        <v>9.7866666666666671E-2</v>
      </c>
      <c r="I5" s="79">
        <f t="shared" ref="I5:Q5" si="2">AVERAGE(I2:I4)</f>
        <v>50.004399999999997</v>
      </c>
      <c r="J5" s="79">
        <f t="shared" si="2"/>
        <v>90.5</v>
      </c>
      <c r="K5" s="79">
        <f t="shared" si="2"/>
        <v>1.0407805872689053</v>
      </c>
      <c r="L5" s="79">
        <f t="shared" si="2"/>
        <v>3.4999999999999996E-2</v>
      </c>
      <c r="M5" s="81">
        <f t="shared" si="2"/>
        <v>513.89957160503127</v>
      </c>
      <c r="N5" s="81">
        <f t="shared" si="2"/>
        <v>15344539.040210232</v>
      </c>
      <c r="O5" s="80">
        <f t="shared" si="2"/>
        <v>7.1765123389165728</v>
      </c>
      <c r="P5" s="80">
        <f t="shared" si="2"/>
        <v>-1.4656365940625937</v>
      </c>
      <c r="Q5" s="80">
        <f t="shared" si="2"/>
        <v>2.7108757448539791</v>
      </c>
      <c r="R5" s="34"/>
      <c r="S5" s="34"/>
    </row>
    <row r="6" spans="1:19" s="55" customFormat="1">
      <c r="A6" s="55" t="s">
        <v>136</v>
      </c>
      <c r="C6" s="56"/>
      <c r="D6" s="56"/>
      <c r="F6" s="56"/>
      <c r="H6" s="57">
        <f>_xlfn.STDEV.P(H2:H4)</f>
        <v>6.7986926847903842E-4</v>
      </c>
      <c r="I6" s="57">
        <f t="shared" ref="I6:Q6" si="3">_xlfn.STDEV.P(I2:I4)</f>
        <v>1.2103167629452259E-2</v>
      </c>
      <c r="J6" s="57">
        <f t="shared" si="3"/>
        <v>0</v>
      </c>
      <c r="K6" s="57">
        <f t="shared" si="3"/>
        <v>2.5187438822806327E-4</v>
      </c>
      <c r="L6" s="57">
        <f t="shared" si="3"/>
        <v>7.4833147735479033E-3</v>
      </c>
      <c r="M6" s="60">
        <f t="shared" si="3"/>
        <v>1.7486343493683374</v>
      </c>
      <c r="N6" s="60">
        <f t="shared" si="3"/>
        <v>3117824.8812242043</v>
      </c>
      <c r="O6" s="58">
        <f t="shared" si="3"/>
        <v>9.1725057883997735E-2</v>
      </c>
      <c r="P6" s="58">
        <f t="shared" si="3"/>
        <v>9.1260145033722401E-2</v>
      </c>
      <c r="Q6" s="58">
        <f t="shared" si="3"/>
        <v>1.4762730174445995E-3</v>
      </c>
    </row>
    <row r="7" spans="1:19" s="70" customFormat="1">
      <c r="C7" s="67"/>
      <c r="D7" s="67"/>
      <c r="E7" s="12"/>
      <c r="F7" s="67"/>
      <c r="H7" s="71"/>
      <c r="K7" s="72"/>
      <c r="L7" s="12"/>
      <c r="M7" s="73"/>
      <c r="N7" s="73"/>
      <c r="O7" s="74"/>
      <c r="P7" s="75"/>
      <c r="Q7" s="76"/>
    </row>
    <row r="8" spans="1:19">
      <c r="A8" t="s">
        <v>26</v>
      </c>
      <c r="B8" t="s">
        <v>107</v>
      </c>
      <c r="C8" s="3">
        <v>2</v>
      </c>
      <c r="D8">
        <v>1</v>
      </c>
      <c r="E8" s="12" t="s">
        <v>131</v>
      </c>
      <c r="F8" s="67">
        <v>700</v>
      </c>
      <c r="G8">
        <v>10</v>
      </c>
      <c r="H8" s="7">
        <v>9.69E-2</v>
      </c>
      <c r="I8">
        <v>50.006500000000003</v>
      </c>
      <c r="J8">
        <v>907.4</v>
      </c>
      <c r="K8" s="39">
        <v>10.43496784249934</v>
      </c>
      <c r="L8" s="13">
        <v>0.44</v>
      </c>
      <c r="M8" s="40">
        <f t="shared" ref="M8:M10" si="4">(K8*(I8/1000)-L8*(I8/1000))/(H8/1000)</f>
        <v>5158.0326049116948</v>
      </c>
      <c r="N8" s="40">
        <v>11722801.374799307</v>
      </c>
      <c r="O8" s="41">
        <v>7.0690314065829813</v>
      </c>
      <c r="P8" s="11">
        <v>-0.35654732351381258</v>
      </c>
      <c r="Q8" s="54">
        <f>LOG(M8)</f>
        <v>3.7124840830691692</v>
      </c>
    </row>
    <row r="9" spans="1:19">
      <c r="A9" t="s">
        <v>26</v>
      </c>
      <c r="B9" t="s">
        <v>107</v>
      </c>
      <c r="C9" s="3">
        <v>2</v>
      </c>
      <c r="D9">
        <v>2</v>
      </c>
      <c r="E9" s="12" t="s">
        <v>131</v>
      </c>
      <c r="F9" s="67">
        <v>700</v>
      </c>
      <c r="G9">
        <v>10</v>
      </c>
      <c r="H9" s="7">
        <v>9.9500000000000005E-2</v>
      </c>
      <c r="I9">
        <v>49.994599999999998</v>
      </c>
      <c r="J9">
        <v>907.4</v>
      </c>
      <c r="K9" s="39">
        <v>10.43745163309524</v>
      </c>
      <c r="L9" s="13">
        <v>0.4</v>
      </c>
      <c r="M9" s="40">
        <f t="shared" si="4"/>
        <v>5043.4007981501827</v>
      </c>
      <c r="N9" s="40">
        <v>12608501.995375456</v>
      </c>
      <c r="O9" s="41">
        <v>7.1006634915066345</v>
      </c>
      <c r="P9" s="11">
        <v>-0.3979400086720376</v>
      </c>
      <c r="Q9" s="54">
        <f t="shared" ref="Q9:Q10" si="5">LOG(M9)</f>
        <v>3.7027234828345974</v>
      </c>
    </row>
    <row r="10" spans="1:19">
      <c r="A10" t="s">
        <v>26</v>
      </c>
      <c r="B10" t="s">
        <v>107</v>
      </c>
      <c r="C10" s="3">
        <v>2</v>
      </c>
      <c r="D10">
        <v>3</v>
      </c>
      <c r="E10" s="12" t="s">
        <v>131</v>
      </c>
      <c r="F10" s="67">
        <v>700</v>
      </c>
      <c r="G10">
        <v>10</v>
      </c>
      <c r="H10" s="7">
        <v>9.5699999999999993E-2</v>
      </c>
      <c r="I10">
        <v>50.005499999999998</v>
      </c>
      <c r="J10">
        <v>907.4</v>
      </c>
      <c r="K10" s="39">
        <v>10.435176518901786</v>
      </c>
      <c r="L10" s="13">
        <v>0.52</v>
      </c>
      <c r="M10" s="40">
        <f t="shared" si="4"/>
        <v>5180.9128465615795</v>
      </c>
      <c r="N10" s="40">
        <v>9963293.9356953483</v>
      </c>
      <c r="O10" s="41">
        <v>6.9984029430017252</v>
      </c>
      <c r="P10" s="11">
        <v>-0.28399665636520083</v>
      </c>
      <c r="Q10" s="54">
        <f t="shared" si="5"/>
        <v>3.7144062866365246</v>
      </c>
    </row>
    <row r="11" spans="1:19" s="77" customFormat="1">
      <c r="A11" s="77" t="s">
        <v>135</v>
      </c>
      <c r="C11" s="78"/>
      <c r="D11" s="78"/>
      <c r="F11" s="78"/>
      <c r="H11" s="79">
        <f>AVERAGE(H8:H10)</f>
        <v>9.7366666666666671E-2</v>
      </c>
      <c r="I11" s="79">
        <f t="shared" ref="I11" si="6">AVERAGE(I8:I10)</f>
        <v>50.002199999999995</v>
      </c>
      <c r="J11" s="79">
        <f t="shared" ref="J11" si="7">AVERAGE(J8:J10)</f>
        <v>907.4</v>
      </c>
      <c r="K11" s="79">
        <f t="shared" ref="K11" si="8">AVERAGE(K8:K10)</f>
        <v>10.435865331498789</v>
      </c>
      <c r="L11" s="79">
        <f t="shared" ref="L11" si="9">AVERAGE(L8:L10)</f>
        <v>0.45333333333333337</v>
      </c>
      <c r="M11" s="81">
        <f t="shared" ref="M11" si="10">AVERAGE(M8:M10)</f>
        <v>5127.4487498744857</v>
      </c>
      <c r="N11" s="81">
        <f t="shared" ref="N11" si="11">AVERAGE(N8:N10)</f>
        <v>11431532.435290039</v>
      </c>
      <c r="O11" s="80">
        <f t="shared" ref="O11" si="12">AVERAGE(O8:O10)</f>
        <v>7.0560326136971137</v>
      </c>
      <c r="P11" s="80">
        <f t="shared" ref="P11" si="13">AVERAGE(P8:P10)</f>
        <v>-0.346161329517017</v>
      </c>
      <c r="Q11" s="80">
        <f t="shared" ref="Q11" si="14">AVERAGE(Q8:Q10)</f>
        <v>3.7098712841800974</v>
      </c>
    </row>
    <row r="12" spans="1:19" s="55" customFormat="1">
      <c r="A12" s="55" t="s">
        <v>136</v>
      </c>
      <c r="C12" s="56"/>
      <c r="D12" s="56"/>
      <c r="F12" s="56"/>
      <c r="H12" s="57">
        <f>_xlfn.STDEV.P(H8:H10)</f>
        <v>1.5860503004493805E-3</v>
      </c>
      <c r="I12" s="57">
        <f t="shared" ref="I12:Q12" si="15">_xlfn.STDEV.P(I8:I10)</f>
        <v>5.3894959566435944E-3</v>
      </c>
      <c r="J12" s="57">
        <f t="shared" si="15"/>
        <v>0</v>
      </c>
      <c r="K12" s="57">
        <f t="shared" si="15"/>
        <v>1.1249151157345328E-3</v>
      </c>
      <c r="L12" s="57">
        <f t="shared" si="15"/>
        <v>4.9888765156985856E-2</v>
      </c>
      <c r="M12" s="60">
        <f t="shared" si="15"/>
        <v>60.160452160741769</v>
      </c>
      <c r="N12" s="60">
        <f t="shared" si="15"/>
        <v>1099366.3678353671</v>
      </c>
      <c r="O12" s="58">
        <f t="shared" si="15"/>
        <v>4.274756451150942E-2</v>
      </c>
      <c r="P12" s="58">
        <f t="shared" si="15"/>
        <v>4.7093336663878181E-2</v>
      </c>
      <c r="Q12" s="58">
        <f t="shared" si="15"/>
        <v>5.1148160406563779E-3</v>
      </c>
    </row>
    <row r="13" spans="1:19" s="70" customFormat="1">
      <c r="C13" s="67"/>
      <c r="D13" s="67"/>
      <c r="E13" s="12"/>
      <c r="F13" s="67"/>
      <c r="H13" s="71"/>
      <c r="K13" s="72"/>
      <c r="L13" s="12"/>
      <c r="M13" s="73"/>
      <c r="N13" s="73"/>
      <c r="O13" s="74"/>
      <c r="P13" s="75"/>
      <c r="Q13" s="76"/>
    </row>
    <row r="14" spans="1:19" s="70" customFormat="1">
      <c r="A14" s="70" t="s">
        <v>26</v>
      </c>
      <c r="B14" s="70" t="s">
        <v>107</v>
      </c>
      <c r="C14" s="67">
        <v>3</v>
      </c>
      <c r="D14" s="67">
        <v>1</v>
      </c>
      <c r="E14" s="12" t="s">
        <v>131</v>
      </c>
      <c r="F14" s="67">
        <v>700</v>
      </c>
      <c r="G14" s="70">
        <v>100</v>
      </c>
      <c r="H14" s="71">
        <v>9.8699999999999996E-2</v>
      </c>
      <c r="I14" s="70">
        <v>49.997500000000002</v>
      </c>
      <c r="J14" s="70">
        <v>9.1</v>
      </c>
      <c r="K14" s="72">
        <v>104.66751234156557</v>
      </c>
      <c r="L14" s="12">
        <v>5.4</v>
      </c>
      <c r="M14" s="40">
        <f t="shared" ref="M14:M16" si="16">(K14*(I14/1000)-L14*(I14/1000))/(H14/1000)</f>
        <v>50284.979212739869</v>
      </c>
      <c r="N14" s="73">
        <v>9312033.1875444204</v>
      </c>
      <c r="O14" s="74">
        <v>6.969044515108834</v>
      </c>
      <c r="P14" s="75">
        <v>0.7323937598229685</v>
      </c>
      <c r="Q14" s="54">
        <f>LOG(M14)</f>
        <v>4.7014382749318022</v>
      </c>
    </row>
    <row r="15" spans="1:19" s="70" customFormat="1">
      <c r="A15" s="70" t="s">
        <v>26</v>
      </c>
      <c r="B15" s="70" t="s">
        <v>107</v>
      </c>
      <c r="C15" s="67">
        <v>3</v>
      </c>
      <c r="D15" s="67">
        <v>2</v>
      </c>
      <c r="E15" s="12" t="s">
        <v>131</v>
      </c>
      <c r="F15" s="67">
        <v>700</v>
      </c>
      <c r="G15" s="70">
        <v>100</v>
      </c>
      <c r="H15" s="71">
        <v>9.4299999999999995E-2</v>
      </c>
      <c r="I15" s="70">
        <v>50.017200000000003</v>
      </c>
      <c r="J15" s="70">
        <v>9.1</v>
      </c>
      <c r="K15" s="72">
        <v>104.62628752304057</v>
      </c>
      <c r="L15" s="12">
        <v>7.3</v>
      </c>
      <c r="M15" s="40">
        <f t="shared" si="16"/>
        <v>51622.358306441427</v>
      </c>
      <c r="N15" s="73">
        <v>7071555.9323892342</v>
      </c>
      <c r="O15" s="74">
        <v>6.8495149807708327</v>
      </c>
      <c r="P15" s="75">
        <v>0.86332286012045589</v>
      </c>
      <c r="Q15" s="54">
        <f t="shared" ref="Q15:Q16" si="17">LOG(M15)</f>
        <v>4.7128378408912894</v>
      </c>
    </row>
    <row r="16" spans="1:19" s="70" customFormat="1">
      <c r="A16" s="70" t="s">
        <v>26</v>
      </c>
      <c r="B16" s="70" t="s">
        <v>107</v>
      </c>
      <c r="C16" s="67">
        <v>3</v>
      </c>
      <c r="D16" s="67">
        <v>3</v>
      </c>
      <c r="E16" s="12" t="s">
        <v>131</v>
      </c>
      <c r="F16" s="67">
        <v>700</v>
      </c>
      <c r="G16" s="70">
        <v>100</v>
      </c>
      <c r="H16" s="71">
        <v>9.8100000000000007E-2</v>
      </c>
      <c r="I16" s="70">
        <v>49.997700000000002</v>
      </c>
      <c r="J16" s="70">
        <v>9.1</v>
      </c>
      <c r="K16" s="72">
        <v>104.6670936522565</v>
      </c>
      <c r="L16" s="12">
        <v>6.1</v>
      </c>
      <c r="M16" s="40">
        <f t="shared" si="16"/>
        <v>50235.759207924821</v>
      </c>
      <c r="N16" s="73">
        <v>8235370.3619548893</v>
      </c>
      <c r="O16" s="74">
        <v>6.9156831350827579</v>
      </c>
      <c r="P16" s="75">
        <v>0.78532983501076703</v>
      </c>
      <c r="Q16" s="54">
        <f t="shared" si="17"/>
        <v>4.7010129700935241</v>
      </c>
    </row>
    <row r="17" spans="1:17" s="77" customFormat="1">
      <c r="A17" s="77" t="s">
        <v>135</v>
      </c>
      <c r="C17" s="78"/>
      <c r="D17" s="78"/>
      <c r="F17" s="78"/>
      <c r="H17" s="79">
        <f>AVERAGE(H14:H16)</f>
        <v>9.7033333333333346E-2</v>
      </c>
      <c r="I17" s="79">
        <f t="shared" ref="I17" si="18">AVERAGE(I14:I16)</f>
        <v>50.004133333333336</v>
      </c>
      <c r="J17" s="79">
        <f t="shared" ref="J17" si="19">AVERAGE(J14:J16)</f>
        <v>9.1</v>
      </c>
      <c r="K17" s="79">
        <f t="shared" ref="K17" si="20">AVERAGE(K14:K16)</f>
        <v>104.65363117228755</v>
      </c>
      <c r="L17" s="79">
        <f t="shared" ref="L17" si="21">AVERAGE(L14:L16)</f>
        <v>6.2666666666666657</v>
      </c>
      <c r="M17" s="81">
        <f t="shared" ref="M17" si="22">AVERAGE(M14:M16)</f>
        <v>50714.365575702039</v>
      </c>
      <c r="N17" s="81">
        <f t="shared" ref="N17" si="23">AVERAGE(N14:N16)</f>
        <v>8206319.8272961816</v>
      </c>
      <c r="O17" s="80">
        <f t="shared" ref="O17" si="24">AVERAGE(O14:O16)</f>
        <v>6.9114142103208076</v>
      </c>
      <c r="P17" s="80">
        <f t="shared" ref="P17" si="25">AVERAGE(P14:P16)</f>
        <v>0.79368215165139722</v>
      </c>
      <c r="Q17" s="80">
        <f t="shared" ref="Q17" si="26">AVERAGE(Q14:Q16)</f>
        <v>4.7050963619722053</v>
      </c>
    </row>
    <row r="18" spans="1:17" s="55" customFormat="1">
      <c r="A18" s="55" t="s">
        <v>136</v>
      </c>
      <c r="C18" s="56"/>
      <c r="D18" s="56"/>
      <c r="F18" s="56"/>
      <c r="H18" s="57">
        <f>_xlfn.STDEV.P(H14:H16)</f>
        <v>1.9482185594936632E-3</v>
      </c>
      <c r="I18" s="57">
        <f t="shared" ref="I18:Q18" si="27">_xlfn.STDEV.P(I14:I16)</f>
        <v>9.2398893692273148E-3</v>
      </c>
      <c r="J18" s="57">
        <f t="shared" si="27"/>
        <v>0</v>
      </c>
      <c r="K18" s="57">
        <f t="shared" si="27"/>
        <v>1.9335635336350476E-2</v>
      </c>
      <c r="L18" s="57">
        <f t="shared" si="27"/>
        <v>0.78457348639599755</v>
      </c>
      <c r="M18" s="60">
        <f t="shared" si="27"/>
        <v>642.36217796773428</v>
      </c>
      <c r="N18" s="60">
        <f t="shared" si="27"/>
        <v>914901.64603994298</v>
      </c>
      <c r="O18" s="58">
        <f t="shared" si="27"/>
        <v>4.8891002469658669E-2</v>
      </c>
      <c r="P18" s="58">
        <f t="shared" si="27"/>
        <v>5.3776873722982371E-2</v>
      </c>
      <c r="Q18" s="58">
        <f t="shared" si="27"/>
        <v>5.4768052087772294E-3</v>
      </c>
    </row>
    <row r="19" spans="1:17" s="70" customFormat="1">
      <c r="C19" s="67"/>
      <c r="D19" s="67"/>
      <c r="E19" s="12"/>
      <c r="F19" s="67"/>
      <c r="H19" s="71"/>
      <c r="K19" s="72"/>
      <c r="L19" s="12"/>
      <c r="M19" s="73"/>
      <c r="N19" s="73"/>
      <c r="O19" s="74"/>
      <c r="P19" s="75"/>
      <c r="Q19" s="76"/>
    </row>
    <row r="20" spans="1:17">
      <c r="A20" t="s">
        <v>26</v>
      </c>
      <c r="B20" t="s">
        <v>107</v>
      </c>
      <c r="C20" s="3">
        <v>4</v>
      </c>
      <c r="D20">
        <v>1</v>
      </c>
      <c r="E20" s="12" t="s">
        <v>131</v>
      </c>
      <c r="F20" s="67">
        <v>700</v>
      </c>
      <c r="G20">
        <v>1000</v>
      </c>
      <c r="H20" s="7">
        <v>9.8400000000000001E-2</v>
      </c>
      <c r="I20">
        <v>49.9925</v>
      </c>
      <c r="J20">
        <v>90.5</v>
      </c>
      <c r="K20" s="39">
        <v>1041.0282692314108</v>
      </c>
      <c r="L20" s="13">
        <v>370</v>
      </c>
      <c r="M20" s="40">
        <f t="shared" ref="M20:M22" si="28">(K20*(I20/1000)-L20*(I20/1000))/(H20/1000)</f>
        <v>340918.50355235068</v>
      </c>
      <c r="N20" s="40">
        <v>921401.3609522992</v>
      </c>
      <c r="O20" s="41">
        <v>5.9644488493901111</v>
      </c>
      <c r="P20" s="11">
        <v>2.568201724066995</v>
      </c>
      <c r="Q20" s="54">
        <f>LOG(M20)</f>
        <v>5.5326505734571061</v>
      </c>
    </row>
    <row r="21" spans="1:17">
      <c r="A21" t="s">
        <v>26</v>
      </c>
      <c r="B21" t="s">
        <v>107</v>
      </c>
      <c r="C21" s="3">
        <v>4</v>
      </c>
      <c r="D21">
        <v>2</v>
      </c>
      <c r="E21" s="12" t="s">
        <v>131</v>
      </c>
      <c r="F21" s="67">
        <v>700</v>
      </c>
      <c r="G21">
        <v>1000</v>
      </c>
      <c r="H21" s="7">
        <v>0.1042</v>
      </c>
      <c r="I21">
        <v>50.0167</v>
      </c>
      <c r="J21">
        <v>90.5</v>
      </c>
      <c r="K21" s="39">
        <v>1040.5245797813791</v>
      </c>
      <c r="L21" s="13">
        <v>360</v>
      </c>
      <c r="M21" s="40">
        <f t="shared" si="28"/>
        <v>326656.36995730619</v>
      </c>
      <c r="N21" s="40">
        <v>907378.8054369617</v>
      </c>
      <c r="O21" s="41">
        <v>5.9577886307937025</v>
      </c>
      <c r="P21" s="11">
        <v>2.5563025007672873</v>
      </c>
      <c r="Q21" s="54">
        <f t="shared" ref="Q21:Q22" si="29">LOG(M21)</f>
        <v>5.5140911315609893</v>
      </c>
    </row>
    <row r="22" spans="1:17" ht="15.75" customHeight="1">
      <c r="A22" t="s">
        <v>26</v>
      </c>
      <c r="B22" t="s">
        <v>107</v>
      </c>
      <c r="C22" s="3">
        <v>4</v>
      </c>
      <c r="D22">
        <v>3</v>
      </c>
      <c r="E22" s="12" t="s">
        <v>131</v>
      </c>
      <c r="F22" s="67">
        <v>700</v>
      </c>
      <c r="G22">
        <v>1000</v>
      </c>
      <c r="H22" s="7">
        <v>9.6199999999999994E-2</v>
      </c>
      <c r="I22">
        <v>50.010399999999997</v>
      </c>
      <c r="J22">
        <v>90.5</v>
      </c>
      <c r="K22" s="39">
        <v>1040.6556586140346</v>
      </c>
      <c r="L22" s="13">
        <v>360</v>
      </c>
      <c r="M22" s="40">
        <f t="shared" si="28"/>
        <v>353844.71673130267</v>
      </c>
      <c r="N22" s="40">
        <v>982901.990920285</v>
      </c>
      <c r="O22" s="41">
        <v>5.9925102147552494</v>
      </c>
      <c r="P22" s="11">
        <v>2.5563025007672873</v>
      </c>
      <c r="Q22" s="54">
        <f t="shared" si="29"/>
        <v>5.5488127155225371</v>
      </c>
    </row>
    <row r="23" spans="1:17" s="77" customFormat="1">
      <c r="A23" s="77" t="s">
        <v>135</v>
      </c>
      <c r="C23" s="78"/>
      <c r="D23" s="78"/>
      <c r="F23" s="78"/>
      <c r="H23" s="79">
        <f>AVERAGE(H20:H22)</f>
        <v>9.9600000000000008E-2</v>
      </c>
      <c r="I23" s="79">
        <f t="shared" ref="I23" si="30">AVERAGE(I20:I22)</f>
        <v>50.00653333333333</v>
      </c>
      <c r="J23" s="79">
        <f t="shared" ref="J23" si="31">AVERAGE(J20:J22)</f>
        <v>90.5</v>
      </c>
      <c r="K23" s="79">
        <f t="shared" ref="K23" si="32">AVERAGE(K20:K22)</f>
        <v>1040.7361692089414</v>
      </c>
      <c r="L23" s="79">
        <f t="shared" ref="L23" si="33">AVERAGE(L20:L22)</f>
        <v>363.33333333333331</v>
      </c>
      <c r="M23" s="81">
        <f t="shared" ref="M23" si="34">AVERAGE(M20:M22)</f>
        <v>340473.19674698653</v>
      </c>
      <c r="N23" s="81">
        <f t="shared" ref="N23" si="35">AVERAGE(N20:N22)</f>
        <v>937227.38576984871</v>
      </c>
      <c r="O23" s="80">
        <f t="shared" ref="O23" si="36">AVERAGE(O20:O22)</f>
        <v>5.9715825649796876</v>
      </c>
      <c r="P23" s="80">
        <f t="shared" ref="P23" si="37">AVERAGE(P20:P22)</f>
        <v>2.5602689085338568</v>
      </c>
      <c r="Q23" s="80">
        <f t="shared" ref="Q23" si="38">AVERAGE(Q20:Q22)</f>
        <v>5.5318514735135444</v>
      </c>
    </row>
    <row r="24" spans="1:17" s="55" customFormat="1">
      <c r="A24" s="55" t="s">
        <v>136</v>
      </c>
      <c r="C24" s="56"/>
      <c r="D24" s="56"/>
      <c r="F24" s="56"/>
      <c r="H24" s="57">
        <f>_xlfn.STDEV.P(H20:H22)</f>
        <v>3.3744135292916731E-3</v>
      </c>
      <c r="I24" s="57">
        <f t="shared" ref="I24:Q24" si="39">_xlfn.STDEV.P(I20:I22)</f>
        <v>1.0250962014475442E-2</v>
      </c>
      <c r="J24" s="57">
        <f t="shared" si="39"/>
        <v>0</v>
      </c>
      <c r="K24" s="57">
        <f t="shared" si="39"/>
        <v>0.21336546493051281</v>
      </c>
      <c r="L24" s="57">
        <f t="shared" si="39"/>
        <v>4.714045207910317</v>
      </c>
      <c r="M24" s="60">
        <f t="shared" si="39"/>
        <v>11104.061529877225</v>
      </c>
      <c r="N24" s="60">
        <f t="shared" si="39"/>
        <v>32800.255919035975</v>
      </c>
      <c r="O24" s="58">
        <f t="shared" si="39"/>
        <v>1.5045808315151283E-2</v>
      </c>
      <c r="P24" s="58">
        <f t="shared" si="39"/>
        <v>5.6093476573841955E-3</v>
      </c>
      <c r="Q24" s="58">
        <f t="shared" si="39"/>
        <v>1.4186284896325126E-2</v>
      </c>
    </row>
    <row r="25" spans="1:17" s="70" customFormat="1">
      <c r="C25" s="67"/>
      <c r="D25" s="67"/>
      <c r="E25" s="12"/>
      <c r="F25" s="67"/>
      <c r="H25" s="71"/>
      <c r="K25" s="72"/>
      <c r="L25" s="12"/>
      <c r="M25" s="73"/>
      <c r="N25" s="73"/>
      <c r="O25" s="74"/>
      <c r="P25" s="75"/>
      <c r="Q25" s="76"/>
    </row>
    <row r="26" spans="1:17" s="70" customFormat="1">
      <c r="A26" s="70" t="s">
        <v>26</v>
      </c>
      <c r="B26" s="70" t="s">
        <v>107</v>
      </c>
      <c r="C26" s="67">
        <v>5</v>
      </c>
      <c r="D26" s="67">
        <v>1</v>
      </c>
      <c r="E26" s="12" t="s">
        <v>131</v>
      </c>
      <c r="F26" s="67">
        <v>700</v>
      </c>
      <c r="G26" s="70">
        <v>5000</v>
      </c>
      <c r="H26" s="71">
        <v>9.7299999999999998E-2</v>
      </c>
      <c r="I26" s="70">
        <v>49.998399999999997</v>
      </c>
      <c r="J26" s="12">
        <v>455</v>
      </c>
      <c r="K26" s="72">
        <v>5233.2814133026513</v>
      </c>
      <c r="L26" s="12">
        <v>4600</v>
      </c>
      <c r="M26" s="40">
        <f t="shared" ref="M26:M28" si="40">(K26*(I26/1000)-L26*(I26/1000))/(H26/1000)</f>
        <v>325416.82851871819</v>
      </c>
      <c r="N26" s="73">
        <v>70742.788808417026</v>
      </c>
      <c r="O26" s="74">
        <v>4.8496821764885309</v>
      </c>
      <c r="P26" s="75">
        <v>3.6627578316815739</v>
      </c>
      <c r="Q26" s="54">
        <f>LOG(M26)</f>
        <v>5.5124400081701053</v>
      </c>
    </row>
    <row r="27" spans="1:17" s="70" customFormat="1">
      <c r="A27" s="70" t="s">
        <v>26</v>
      </c>
      <c r="B27" s="70" t="s">
        <v>107</v>
      </c>
      <c r="C27" s="67">
        <v>5</v>
      </c>
      <c r="D27" s="67">
        <v>2</v>
      </c>
      <c r="E27" s="12" t="s">
        <v>131</v>
      </c>
      <c r="F27" s="67">
        <v>700</v>
      </c>
      <c r="G27" s="70">
        <v>5000</v>
      </c>
      <c r="H27" s="71">
        <v>0.1007</v>
      </c>
      <c r="I27" s="70">
        <v>49.993899999999996</v>
      </c>
      <c r="J27" s="12">
        <v>455</v>
      </c>
      <c r="K27" s="72">
        <v>5233.752466098289</v>
      </c>
      <c r="L27" s="12">
        <v>4300</v>
      </c>
      <c r="M27" s="40">
        <f t="shared" si="40"/>
        <v>463574.25436813547</v>
      </c>
      <c r="N27" s="73">
        <v>107807.96613212449</v>
      </c>
      <c r="O27" s="74">
        <v>5.0326508528674241</v>
      </c>
      <c r="P27" s="75">
        <v>3.6334684555795866</v>
      </c>
      <c r="Q27" s="54">
        <f t="shared" ref="Q27:Q28" si="41">LOG(M27)</f>
        <v>5.6661193084470112</v>
      </c>
    </row>
    <row r="28" spans="1:17" s="42" customFormat="1">
      <c r="A28" s="42" t="s">
        <v>26</v>
      </c>
      <c r="B28" s="42" t="s">
        <v>107</v>
      </c>
      <c r="C28" s="69">
        <v>5</v>
      </c>
      <c r="D28" s="69">
        <v>3</v>
      </c>
      <c r="E28" s="42" t="s">
        <v>131</v>
      </c>
      <c r="F28" s="69">
        <v>700</v>
      </c>
      <c r="G28" s="42">
        <v>5000</v>
      </c>
      <c r="H28" s="82">
        <v>9.7100000000000006E-2</v>
      </c>
      <c r="I28" s="42">
        <v>50.014099999999999</v>
      </c>
      <c r="J28" s="42">
        <v>455</v>
      </c>
      <c r="K28" s="83">
        <v>5231.6386262048354</v>
      </c>
      <c r="L28" s="42">
        <v>4900</v>
      </c>
      <c r="M28" s="40">
        <f t="shared" si="40"/>
        <v>170819.84979270113</v>
      </c>
      <c r="N28" s="84">
        <v>34861.193835245067</v>
      </c>
      <c r="O28" s="85">
        <v>4.5423422556133728</v>
      </c>
      <c r="P28" s="86">
        <v>3.6901960800285138</v>
      </c>
      <c r="Q28" s="54">
        <f t="shared" si="41"/>
        <v>5.2325383356418875</v>
      </c>
    </row>
    <row r="29" spans="1:17" s="77" customFormat="1">
      <c r="A29" s="77" t="s">
        <v>135</v>
      </c>
      <c r="C29" s="78"/>
      <c r="D29" s="78"/>
      <c r="F29" s="78"/>
      <c r="H29" s="79">
        <f>AVERAGE(H26:H28)</f>
        <v>9.8366666666666672E-2</v>
      </c>
      <c r="I29" s="79">
        <f t="shared" ref="I29" si="42">AVERAGE(I26:I28)</f>
        <v>50.002133333333326</v>
      </c>
      <c r="J29" s="79">
        <f t="shared" ref="J29" si="43">AVERAGE(J26:J28)</f>
        <v>455</v>
      </c>
      <c r="K29" s="79">
        <f t="shared" ref="K29" si="44">AVERAGE(K26:K28)</f>
        <v>5232.8908352019253</v>
      </c>
      <c r="L29" s="79">
        <f t="shared" ref="L29" si="45">AVERAGE(L26:L28)</f>
        <v>4600</v>
      </c>
      <c r="M29" s="81">
        <f t="shared" ref="M29" si="46">AVERAGE(M26:M28)</f>
        <v>319936.97755985166</v>
      </c>
      <c r="N29" s="81">
        <f t="shared" ref="N29" si="47">AVERAGE(N26:N28)</f>
        <v>71137.316258595529</v>
      </c>
      <c r="O29" s="80">
        <f t="shared" ref="O29" si="48">AVERAGE(O26:O28)</f>
        <v>4.8082250949897762</v>
      </c>
      <c r="P29" s="80">
        <f t="shared" ref="P29" si="49">AVERAGE(P26:P28)</f>
        <v>3.6621407890965578</v>
      </c>
      <c r="Q29" s="80">
        <f t="shared" ref="Q29" si="50">AVERAGE(Q26:Q28)</f>
        <v>5.4703658840863341</v>
      </c>
    </row>
    <row r="30" spans="1:17" s="55" customFormat="1">
      <c r="A30" s="55" t="s">
        <v>136</v>
      </c>
      <c r="C30" s="56"/>
      <c r="D30" s="56"/>
      <c r="F30" s="56"/>
      <c r="H30" s="57">
        <f>_xlfn.STDEV.P(H26:H28)</f>
        <v>1.6519348924485136E-3</v>
      </c>
      <c r="I30" s="57">
        <f t="shared" ref="I30:Q30" si="51">_xlfn.STDEV.P(I26:I28)</f>
        <v>8.6588426221739564E-3</v>
      </c>
      <c r="J30" s="57">
        <f t="shared" si="51"/>
        <v>0</v>
      </c>
      <c r="K30" s="57">
        <f t="shared" si="51"/>
        <v>0.90608800652919175</v>
      </c>
      <c r="L30" s="57">
        <f t="shared" si="51"/>
        <v>244.94897427831782</v>
      </c>
      <c r="M30" s="60">
        <f t="shared" si="51"/>
        <v>119579.28171852564</v>
      </c>
      <c r="N30" s="60">
        <f t="shared" si="51"/>
        <v>29781.701720630441</v>
      </c>
      <c r="O30" s="58">
        <f t="shared" si="51"/>
        <v>0.2023028214337847</v>
      </c>
      <c r="P30" s="58">
        <f t="shared" si="51"/>
        <v>2.3163065428513891E-2</v>
      </c>
      <c r="Q30" s="58">
        <f t="shared" si="51"/>
        <v>0.17949148342418506</v>
      </c>
    </row>
    <row r="31" spans="1:17" s="70" customFormat="1">
      <c r="C31" s="67"/>
      <c r="D31" s="67"/>
      <c r="E31" s="12"/>
      <c r="F31" s="67"/>
      <c r="H31" s="71"/>
      <c r="K31" s="72"/>
      <c r="L31" s="12"/>
      <c r="M31" s="73"/>
      <c r="N31" s="73"/>
      <c r="O31" s="74"/>
      <c r="P31" s="75"/>
      <c r="Q31" s="76"/>
    </row>
    <row r="33" spans="1:19">
      <c r="B33" s="2" t="s">
        <v>102</v>
      </c>
      <c r="C33" s="2" t="s">
        <v>103</v>
      </c>
      <c r="D33" s="2" t="s">
        <v>137</v>
      </c>
      <c r="E33" s="2" t="s">
        <v>138</v>
      </c>
      <c r="R33" s="13"/>
      <c r="S33" s="13"/>
    </row>
    <row r="34" spans="1:19">
      <c r="A34" s="70"/>
      <c r="B34" s="34">
        <v>-1.4656365940625937</v>
      </c>
      <c r="C34" s="34">
        <f>Q5</f>
        <v>2.7108757448539791</v>
      </c>
      <c r="D34" s="34">
        <f>INTERCEPT(C34:C38,B34:B38)</f>
        <v>3.850447605176706</v>
      </c>
      <c r="E34" s="34">
        <f>SLOPE(C34:C37,B34:B37)</f>
        <v>0.70192355347885194</v>
      </c>
      <c r="R34" s="70"/>
    </row>
    <row r="35" spans="1:19">
      <c r="B35" s="34">
        <v>-0.346161329517017</v>
      </c>
      <c r="C35" s="34">
        <f>Q11</f>
        <v>3.7098712841800974</v>
      </c>
      <c r="R35" s="70"/>
    </row>
    <row r="36" spans="1:19">
      <c r="B36" s="34">
        <v>0.79368215165139722</v>
      </c>
      <c r="C36" s="34">
        <f>Q17</f>
        <v>4.7050963619722053</v>
      </c>
      <c r="R36" s="70"/>
    </row>
    <row r="37" spans="1:19">
      <c r="B37" s="34">
        <v>2.5602689085338568</v>
      </c>
      <c r="C37" s="34">
        <f>Q23</f>
        <v>5.5318514735135444</v>
      </c>
      <c r="R37" s="34"/>
    </row>
    <row r="38" spans="1:19">
      <c r="B38" s="34">
        <v>3.6621407890965578</v>
      </c>
      <c r="C38" s="34">
        <f>Q29</f>
        <v>5.4703658840863341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A7C8-3D2B-4895-ACC3-5FADB5A87F0B}">
  <dimension ref="A1:P11"/>
  <sheetViews>
    <sheetView workbookViewId="0">
      <selection activeCell="P8" sqref="P8"/>
    </sheetView>
  </sheetViews>
  <sheetFormatPr baseColWidth="10" defaultColWidth="9.1796875" defaultRowHeight="14.5"/>
  <cols>
    <col min="1" max="2" width="17.81640625" customWidth="1"/>
    <col min="3" max="3" width="14.54296875" customWidth="1"/>
    <col min="4" max="4" width="18" customWidth="1"/>
    <col min="5" max="5" width="18.7265625" customWidth="1"/>
    <col min="6" max="6" width="16" customWidth="1"/>
    <col min="7" max="7" width="11.81640625" customWidth="1"/>
    <col min="8" max="8" width="15.7265625" customWidth="1"/>
    <col min="9" max="9" width="18.54296875" customWidth="1"/>
    <col min="10" max="10" width="13.1796875" customWidth="1"/>
    <col min="11" max="11" width="12.81640625" customWidth="1"/>
    <col min="13" max="13" width="13.7265625" customWidth="1"/>
    <col min="14" max="15" width="10.453125" customWidth="1"/>
    <col min="16" max="16" width="13.7265625" style="65" customWidth="1"/>
  </cols>
  <sheetData>
    <row r="1" spans="1:16" s="2" customFormat="1" ht="75" customHeight="1">
      <c r="A1" s="2" t="s">
        <v>107</v>
      </c>
      <c r="B1" s="2" t="s">
        <v>108</v>
      </c>
      <c r="C1" s="2" t="s">
        <v>112</v>
      </c>
      <c r="D1" s="2" t="s">
        <v>113</v>
      </c>
      <c r="E1" s="14" t="s">
        <v>92</v>
      </c>
      <c r="F1" s="8" t="s">
        <v>93</v>
      </c>
      <c r="G1" s="2" t="s">
        <v>91</v>
      </c>
      <c r="H1" s="14" t="s">
        <v>94</v>
      </c>
      <c r="I1" s="14" t="s">
        <v>95</v>
      </c>
      <c r="J1" s="38" t="s">
        <v>97</v>
      </c>
      <c r="K1" s="43" t="s">
        <v>96</v>
      </c>
      <c r="L1" s="2" t="s">
        <v>98</v>
      </c>
      <c r="M1" s="2" t="s">
        <v>116</v>
      </c>
      <c r="N1" s="14" t="s">
        <v>117</v>
      </c>
      <c r="O1" s="14" t="s">
        <v>118</v>
      </c>
      <c r="P1" s="14" t="s">
        <v>121</v>
      </c>
    </row>
    <row r="2" spans="1:16">
      <c r="A2" t="s">
        <v>111</v>
      </c>
      <c r="B2" t="s">
        <v>109</v>
      </c>
      <c r="C2">
        <v>1</v>
      </c>
      <c r="D2">
        <v>1</v>
      </c>
      <c r="E2">
        <v>1</v>
      </c>
      <c r="F2" s="7"/>
      <c r="G2">
        <v>50.007100000000001</v>
      </c>
      <c r="H2">
        <f>50+40.5</f>
        <v>90.5</v>
      </c>
      <c r="I2">
        <f>H2/1000</f>
        <v>9.0499999999999997E-2</v>
      </c>
      <c r="J2" s="39">
        <f>I2*STD!$H$5/G2</f>
        <v>0.9971684020869036</v>
      </c>
      <c r="K2" s="37">
        <v>2400</v>
      </c>
      <c r="L2" s="13">
        <f t="shared" ref="L2:L8" si="0">K2/1000</f>
        <v>2.4</v>
      </c>
      <c r="M2" s="61">
        <f t="shared" ref="M2:M4" si="1">L2*50/I2</f>
        <v>1325.9668508287293</v>
      </c>
      <c r="N2">
        <v>551</v>
      </c>
      <c r="O2">
        <v>551000</v>
      </c>
      <c r="P2" s="63">
        <f>M2*50/0.05</f>
        <v>1325966.8508287291</v>
      </c>
    </row>
    <row r="3" spans="1:16">
      <c r="A3" t="s">
        <v>111</v>
      </c>
      <c r="B3" t="s">
        <v>109</v>
      </c>
      <c r="C3">
        <v>1</v>
      </c>
      <c r="D3">
        <v>2</v>
      </c>
      <c r="E3">
        <v>1</v>
      </c>
      <c r="F3" s="7"/>
      <c r="G3">
        <v>50.019399999999997</v>
      </c>
      <c r="H3">
        <f>50+40.5</f>
        <v>90.5</v>
      </c>
      <c r="I3">
        <f t="shared" ref="I3:I8" si="2">H3/1000</f>
        <v>9.0499999999999997E-2</v>
      </c>
      <c r="J3" s="39">
        <f>I3*STD!$H$5/G3</f>
        <v>0.9969231938008053</v>
      </c>
      <c r="K3" s="37">
        <v>1000</v>
      </c>
      <c r="L3" s="13">
        <f t="shared" si="0"/>
        <v>1</v>
      </c>
      <c r="M3" s="61">
        <f t="shared" si="1"/>
        <v>552.4861878453039</v>
      </c>
      <c r="N3">
        <v>551</v>
      </c>
      <c r="O3">
        <v>551000</v>
      </c>
      <c r="P3" s="63">
        <f t="shared" ref="P3:P5" si="3">M3*50/0.05</f>
        <v>552486.18784530391</v>
      </c>
    </row>
    <row r="4" spans="1:16">
      <c r="A4" t="s">
        <v>111</v>
      </c>
      <c r="B4" t="s">
        <v>109</v>
      </c>
      <c r="C4">
        <v>1</v>
      </c>
      <c r="D4">
        <v>3</v>
      </c>
      <c r="E4">
        <v>1</v>
      </c>
      <c r="F4" s="7"/>
      <c r="G4">
        <v>49.997599999999998</v>
      </c>
      <c r="H4">
        <f>50+40.5</f>
        <v>90.5</v>
      </c>
      <c r="I4">
        <f t="shared" si="2"/>
        <v>9.0499999999999997E-2</v>
      </c>
      <c r="J4" s="39">
        <f>I4*STD!$H$5/G4</f>
        <v>0.99735787317791247</v>
      </c>
      <c r="K4" s="37">
        <v>950</v>
      </c>
      <c r="L4" s="13">
        <f t="shared" si="0"/>
        <v>0.95</v>
      </c>
      <c r="M4" s="61">
        <f t="shared" si="1"/>
        <v>524.86187845303868</v>
      </c>
      <c r="N4">
        <v>551</v>
      </c>
      <c r="O4">
        <v>551000</v>
      </c>
      <c r="P4" s="63">
        <f t="shared" si="3"/>
        <v>524861.87845303863</v>
      </c>
    </row>
    <row r="5" spans="1:16">
      <c r="A5" t="s">
        <v>111</v>
      </c>
      <c r="B5" t="s">
        <v>109</v>
      </c>
      <c r="C5">
        <v>2</v>
      </c>
      <c r="D5">
        <v>1</v>
      </c>
      <c r="E5">
        <v>10</v>
      </c>
      <c r="F5" s="7"/>
      <c r="G5">
        <v>49.990200000000002</v>
      </c>
      <c r="H5">
        <f>900+7.4</f>
        <v>907.4</v>
      </c>
      <c r="I5">
        <f t="shared" si="2"/>
        <v>0.90739999999999998</v>
      </c>
      <c r="J5" s="34">
        <f>I5*STD!$H$5/G5</f>
        <v>10.001508295625943</v>
      </c>
      <c r="K5" s="37">
        <v>12000</v>
      </c>
      <c r="L5" s="13">
        <f t="shared" si="0"/>
        <v>12</v>
      </c>
      <c r="M5" s="61">
        <f>L5*50/I5</f>
        <v>661.22988759091913</v>
      </c>
      <c r="N5">
        <v>551</v>
      </c>
      <c r="O5">
        <v>551000</v>
      </c>
      <c r="P5" s="63">
        <f t="shared" si="3"/>
        <v>661229.88759091904</v>
      </c>
    </row>
    <row r="6" spans="1:16">
      <c r="A6" t="s">
        <v>111</v>
      </c>
      <c r="B6" t="s">
        <v>109</v>
      </c>
      <c r="C6">
        <v>3</v>
      </c>
      <c r="D6">
        <v>1</v>
      </c>
      <c r="E6">
        <v>100</v>
      </c>
      <c r="F6" s="7"/>
      <c r="G6">
        <v>49.998199999999997</v>
      </c>
      <c r="H6">
        <v>9.1</v>
      </c>
      <c r="I6">
        <f t="shared" si="2"/>
        <v>9.1000000000000004E-3</v>
      </c>
      <c r="J6" s="34">
        <f>I6*STD!$F$5/G6</f>
        <v>100.28561028197016</v>
      </c>
      <c r="K6" s="37">
        <v>91000</v>
      </c>
      <c r="L6" s="13">
        <f t="shared" si="0"/>
        <v>91</v>
      </c>
      <c r="M6" s="61">
        <f t="shared" ref="M6:M8" si="4">L6*50/I6</f>
        <v>500000</v>
      </c>
      <c r="N6">
        <v>551000</v>
      </c>
      <c r="O6">
        <v>551000</v>
      </c>
      <c r="P6" s="63">
        <f>M6</f>
        <v>500000</v>
      </c>
    </row>
    <row r="7" spans="1:16">
      <c r="A7" t="s">
        <v>111</v>
      </c>
      <c r="B7" t="s">
        <v>109</v>
      </c>
      <c r="C7">
        <v>4</v>
      </c>
      <c r="D7">
        <v>1</v>
      </c>
      <c r="E7">
        <v>1000</v>
      </c>
      <c r="F7" s="7"/>
      <c r="G7">
        <v>50.014000000000003</v>
      </c>
      <c r="H7">
        <f>50+40.5</f>
        <v>90.5</v>
      </c>
      <c r="I7">
        <f t="shared" si="2"/>
        <v>9.0499999999999997E-2</v>
      </c>
      <c r="J7" s="34">
        <f>I7*STD!$F$5/G7</f>
        <v>997.03083136721716</v>
      </c>
      <c r="K7" s="37">
        <v>1000000</v>
      </c>
      <c r="L7" s="13">
        <f t="shared" si="0"/>
        <v>1000</v>
      </c>
      <c r="M7" s="61">
        <f t="shared" si="4"/>
        <v>552486.18784530391</v>
      </c>
      <c r="N7">
        <v>551000</v>
      </c>
      <c r="O7">
        <v>551000</v>
      </c>
      <c r="P7" s="63">
        <f>M7</f>
        <v>552486.18784530391</v>
      </c>
    </row>
    <row r="8" spans="1:16">
      <c r="A8" s="2" t="s">
        <v>111</v>
      </c>
      <c r="B8" s="2" t="s">
        <v>109</v>
      </c>
      <c r="C8" s="2">
        <v>5</v>
      </c>
      <c r="D8" s="2">
        <v>1</v>
      </c>
      <c r="E8" s="2">
        <v>5000</v>
      </c>
      <c r="F8" s="8"/>
      <c r="G8" s="2">
        <v>50.001300000000001</v>
      </c>
      <c r="H8" s="42">
        <v>455</v>
      </c>
      <c r="I8" s="2">
        <f t="shared" si="2"/>
        <v>0.45500000000000002</v>
      </c>
      <c r="J8" s="38">
        <f>I8*STD!$F$5/G8</f>
        <v>5013.969636789443</v>
      </c>
      <c r="K8" s="43">
        <v>6000000</v>
      </c>
      <c r="L8" s="2">
        <f t="shared" si="0"/>
        <v>6000</v>
      </c>
      <c r="M8" s="44">
        <f t="shared" si="4"/>
        <v>659340.65934065927</v>
      </c>
      <c r="N8" s="2">
        <v>551000</v>
      </c>
      <c r="O8" s="2">
        <v>551000</v>
      </c>
      <c r="P8" s="64">
        <f>M8</f>
        <v>659340.65934065927</v>
      </c>
    </row>
    <row r="10" spans="1:16">
      <c r="O10" t="s">
        <v>119</v>
      </c>
      <c r="P10" s="63">
        <f>AVERAGE(P3:P8)</f>
        <v>575067.46684587083</v>
      </c>
    </row>
    <row r="11" spans="1:16">
      <c r="O11" t="s">
        <v>120</v>
      </c>
      <c r="P11" s="63">
        <f>STDEV(P3:P8)</f>
        <v>68849.818778323286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Lab notes</vt:lpstr>
      <vt:lpstr>STD</vt:lpstr>
      <vt:lpstr>Data</vt:lpstr>
      <vt:lpstr>Data blank corrected</vt:lpstr>
      <vt:lpstr>Triplicates</vt:lpstr>
      <vt:lpstr>Blanks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Ane Skjennum</dc:creator>
  <cp:keywords/>
  <dc:description/>
  <cp:lastModifiedBy>Karen Ane Skjennum</cp:lastModifiedBy>
  <cp:revision/>
  <dcterms:created xsi:type="dcterms:W3CDTF">2022-09-19T06:12:14Z</dcterms:created>
  <dcterms:modified xsi:type="dcterms:W3CDTF">2022-11-18T07:45:23Z</dcterms:modified>
  <cp:category/>
  <cp:contentStatus/>
</cp:coreProperties>
</file>