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7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9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11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12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13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drawings/drawing14.xml" ContentType="application/vnd.openxmlformats-officedocument.drawing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drawings/drawing15.xml" ContentType="application/vnd.openxmlformats-officedocument.drawing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wmformula/Desktop/"/>
    </mc:Choice>
  </mc:AlternateContent>
  <xr:revisionPtr revIDLastSave="0" documentId="13_ncr:1_{72EA74B2-4D37-0949-9F90-EF8AC37D5DD5}" xr6:coauthVersionLast="47" xr6:coauthVersionMax="47" xr10:uidLastSave="{00000000-0000-0000-0000-000000000000}"/>
  <bookViews>
    <workbookView xWindow="0" yWindow="460" windowWidth="28800" windowHeight="16460" xr2:uid="{A8A3AA7C-575B-5346-A3D4-A770B424AA5B}"/>
  </bookViews>
  <sheets>
    <sheet name="S&amp;P500" sheetId="34" r:id="rId1"/>
    <sheet name="1336" sheetId="1" r:id="rId2"/>
    <sheet name="0011" sheetId="2" r:id="rId3"/>
    <sheet name="AMZN" sheetId="3" r:id="rId4"/>
    <sheet name="BABA" sheetId="31" r:id="rId5"/>
    <sheet name="AYX" sheetId="32" r:id="rId6"/>
    <sheet name="NFLX" sheetId="21" r:id="rId7"/>
    <sheet name="NOW" sheetId="22" r:id="rId8"/>
    <sheet name="DXCM" sheetId="33" r:id="rId9"/>
    <sheet name="VEEV" sheetId="23" r:id="rId10"/>
    <sheet name="GOOGL" sheetId="7" r:id="rId11"/>
    <sheet name="TSM" sheetId="28" r:id="rId12"/>
    <sheet name="FB" sheetId="26" r:id="rId13"/>
    <sheet name="MSFT" sheetId="29" r:id="rId14"/>
    <sheet name="CCL" sheetId="20" r:id="rId15"/>
    <sheet name="0016" sheetId="8" r:id="rId16"/>
    <sheet name="1093" sheetId="24" r:id="rId17"/>
    <sheet name="2007" sheetId="12" r:id="rId18"/>
    <sheet name="1918" sheetId="14" r:id="rId19"/>
    <sheet name="0813" sheetId="16" r:id="rId20"/>
    <sheet name="3883" sheetId="17" r:id="rId21"/>
    <sheet name="3333" sheetId="19" r:id="rId2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34" l="1"/>
  <c r="C2" i="34"/>
  <c r="C6" i="34" s="1"/>
  <c r="D9" i="34"/>
  <c r="D8" i="34"/>
  <c r="E3" i="34"/>
  <c r="F3" i="34"/>
  <c r="G3" i="34"/>
  <c r="H3" i="34"/>
  <c r="I3" i="34"/>
  <c r="J3" i="34"/>
  <c r="D3" i="34"/>
  <c r="K9" i="34"/>
  <c r="J9" i="34"/>
  <c r="I9" i="34"/>
  <c r="H9" i="34"/>
  <c r="G9" i="34"/>
  <c r="F9" i="34"/>
  <c r="E9" i="34"/>
  <c r="K8" i="34"/>
  <c r="J8" i="34"/>
  <c r="I8" i="34"/>
  <c r="H8" i="34"/>
  <c r="G8" i="34"/>
  <c r="F8" i="34"/>
  <c r="E8" i="34"/>
  <c r="C9" i="33"/>
  <c r="C8" i="33"/>
  <c r="C4" i="33"/>
  <c r="M8" i="34" l="1"/>
  <c r="M9" i="34"/>
  <c r="N8" i="34"/>
  <c r="N9" i="34"/>
  <c r="L11" i="33"/>
  <c r="F11" i="33"/>
  <c r="F5" i="33"/>
  <c r="E4" i="33"/>
  <c r="E11" i="33" s="1"/>
  <c r="F4" i="33"/>
  <c r="F10" i="33" s="1"/>
  <c r="G4" i="33"/>
  <c r="G11" i="33" s="1"/>
  <c r="H4" i="33"/>
  <c r="H11" i="33" s="1"/>
  <c r="I4" i="33"/>
  <c r="I5" i="33" s="1"/>
  <c r="D4" i="33"/>
  <c r="D10" i="33" s="1"/>
  <c r="I10" i="33" l="1"/>
  <c r="E10" i="33"/>
  <c r="L10" i="33" s="1"/>
  <c r="D5" i="33"/>
  <c r="E5" i="33"/>
  <c r="H10" i="33"/>
  <c r="I11" i="33"/>
  <c r="H5" i="33"/>
  <c r="G10" i="33"/>
  <c r="G5" i="33"/>
  <c r="D11" i="33"/>
  <c r="C9" i="32"/>
  <c r="C8" i="32"/>
  <c r="C4" i="32"/>
  <c r="F5" i="32"/>
  <c r="H5" i="32"/>
  <c r="G5" i="32"/>
  <c r="E5" i="32"/>
  <c r="D5" i="32"/>
  <c r="I4" i="32"/>
  <c r="H4" i="32"/>
  <c r="G4" i="32"/>
  <c r="F4" i="32"/>
  <c r="F11" i="32" s="1"/>
  <c r="E4" i="32"/>
  <c r="E11" i="32" s="1"/>
  <c r="D4" i="32"/>
  <c r="D11" i="32" s="1"/>
  <c r="C8" i="21"/>
  <c r="C9" i="21"/>
  <c r="C4" i="31"/>
  <c r="C8" i="31" s="1"/>
  <c r="C9" i="31"/>
  <c r="L11" i="31"/>
  <c r="L10" i="31"/>
  <c r="K11" i="31"/>
  <c r="K10" i="31"/>
  <c r="H5" i="31"/>
  <c r="I4" i="31"/>
  <c r="I10" i="31"/>
  <c r="I11" i="31"/>
  <c r="E4" i="31"/>
  <c r="F4" i="31"/>
  <c r="F10" i="31" s="1"/>
  <c r="G4" i="31"/>
  <c r="H4" i="31"/>
  <c r="H11" i="31" s="1"/>
  <c r="G11" i="31"/>
  <c r="E11" i="31"/>
  <c r="G10" i="31"/>
  <c r="E10" i="31"/>
  <c r="G5" i="31"/>
  <c r="F5" i="31"/>
  <c r="E5" i="31"/>
  <c r="D5" i="31"/>
  <c r="D4" i="31"/>
  <c r="K10" i="33" l="1"/>
  <c r="K11" i="33"/>
  <c r="D10" i="32"/>
  <c r="F10" i="32"/>
  <c r="E10" i="32"/>
  <c r="H10" i="31"/>
  <c r="F11" i="31"/>
  <c r="D10" i="31"/>
  <c r="D11" i="31"/>
  <c r="C9" i="29"/>
  <c r="C4" i="29"/>
  <c r="C8" i="29" l="1"/>
  <c r="D10" i="29"/>
  <c r="E10" i="29"/>
  <c r="D11" i="29"/>
  <c r="E11" i="29"/>
  <c r="I5" i="29"/>
  <c r="H5" i="29"/>
  <c r="G5" i="29"/>
  <c r="F5" i="29"/>
  <c r="E5" i="29"/>
  <c r="D5" i="29"/>
  <c r="J4" i="29"/>
  <c r="J11" i="29" s="1"/>
  <c r="I4" i="29"/>
  <c r="I10" i="29" s="1"/>
  <c r="H4" i="29"/>
  <c r="H11" i="29" s="1"/>
  <c r="G4" i="29"/>
  <c r="G11" i="29" s="1"/>
  <c r="F4" i="29"/>
  <c r="F11" i="29" s="1"/>
  <c r="E4" i="29"/>
  <c r="D4" i="29"/>
  <c r="H10" i="29" l="1"/>
  <c r="G10" i="29"/>
  <c r="F10" i="29"/>
  <c r="J10" i="29"/>
  <c r="I11" i="29"/>
  <c r="C8" i="26"/>
  <c r="L10" i="29" l="1"/>
  <c r="M10" i="29"/>
  <c r="M11" i="29"/>
  <c r="L11" i="29"/>
  <c r="C2" i="28"/>
  <c r="C6" i="28" s="1"/>
  <c r="C7" i="28"/>
  <c r="C3" i="28" l="1"/>
  <c r="M9" i="28"/>
  <c r="M8" i="28"/>
  <c r="L9" i="28"/>
  <c r="L8" i="28"/>
  <c r="E9" i="28"/>
  <c r="F9" i="28"/>
  <c r="G9" i="28"/>
  <c r="H9" i="28"/>
  <c r="I9" i="28"/>
  <c r="J9" i="28"/>
  <c r="E8" i="28"/>
  <c r="F8" i="28"/>
  <c r="G8" i="28"/>
  <c r="H8" i="28"/>
  <c r="I8" i="28"/>
  <c r="J8" i="28"/>
  <c r="D9" i="28"/>
  <c r="D8" i="28"/>
  <c r="E3" i="28"/>
  <c r="F3" i="28"/>
  <c r="G3" i="28"/>
  <c r="H3" i="28"/>
  <c r="I3" i="28"/>
  <c r="D3" i="28"/>
  <c r="C9" i="26" l="1"/>
  <c r="M11" i="26"/>
  <c r="M10" i="26"/>
  <c r="L11" i="26"/>
  <c r="L10" i="26"/>
  <c r="C4" i="26"/>
  <c r="I5" i="26"/>
  <c r="H5" i="26"/>
  <c r="G5" i="26"/>
  <c r="F5" i="26"/>
  <c r="E5" i="26"/>
  <c r="D5" i="26"/>
  <c r="J4" i="26"/>
  <c r="J10" i="26" s="1"/>
  <c r="I4" i="26"/>
  <c r="I10" i="26" s="1"/>
  <c r="H4" i="26"/>
  <c r="H11" i="26" s="1"/>
  <c r="G4" i="26"/>
  <c r="G11" i="26" s="1"/>
  <c r="F4" i="26"/>
  <c r="F10" i="26" s="1"/>
  <c r="E4" i="26"/>
  <c r="E10" i="26" s="1"/>
  <c r="D4" i="26"/>
  <c r="D11" i="26" s="1"/>
  <c r="J11" i="26" l="1"/>
  <c r="I11" i="26"/>
  <c r="E11" i="26"/>
  <c r="F11" i="26"/>
  <c r="G10" i="26"/>
  <c r="D10" i="26"/>
  <c r="H10" i="26"/>
  <c r="C9" i="24"/>
  <c r="C8" i="24"/>
  <c r="L11" i="24"/>
  <c r="L10" i="24"/>
  <c r="E11" i="24"/>
  <c r="F11" i="24"/>
  <c r="G11" i="24"/>
  <c r="H11" i="24"/>
  <c r="I11" i="24"/>
  <c r="J11" i="24"/>
  <c r="D11" i="24"/>
  <c r="E10" i="24"/>
  <c r="F10" i="24"/>
  <c r="G10" i="24"/>
  <c r="H10" i="24"/>
  <c r="I10" i="24"/>
  <c r="J10" i="24"/>
  <c r="D10" i="24"/>
  <c r="C2" i="24"/>
  <c r="E3" i="24"/>
  <c r="F3" i="24"/>
  <c r="G3" i="24"/>
  <c r="H3" i="24"/>
  <c r="I3" i="24"/>
  <c r="D3" i="24"/>
  <c r="C9" i="23" l="1"/>
  <c r="C8" i="23"/>
  <c r="N11" i="23"/>
  <c r="N10" i="23"/>
  <c r="M11" i="23"/>
  <c r="M10" i="23"/>
  <c r="C5" i="23"/>
  <c r="C4" i="23"/>
  <c r="C3" i="23"/>
  <c r="E5" i="23"/>
  <c r="F5" i="23"/>
  <c r="G5" i="23"/>
  <c r="H5" i="23"/>
  <c r="I5" i="23"/>
  <c r="D5" i="23"/>
  <c r="J4" i="23"/>
  <c r="I4" i="23"/>
  <c r="I11" i="23" s="1"/>
  <c r="H4" i="23"/>
  <c r="G4" i="23"/>
  <c r="G10" i="23" s="1"/>
  <c r="F4" i="23"/>
  <c r="E4" i="23"/>
  <c r="E11" i="23" s="1"/>
  <c r="D4" i="23"/>
  <c r="C9" i="3"/>
  <c r="C8" i="3"/>
  <c r="C4" i="3"/>
  <c r="C8" i="22"/>
  <c r="C4" i="22"/>
  <c r="N11" i="22"/>
  <c r="N10" i="22"/>
  <c r="J10" i="23" l="1"/>
  <c r="F10" i="23"/>
  <c r="D11" i="23"/>
  <c r="H11" i="23"/>
  <c r="F11" i="23"/>
  <c r="J11" i="23"/>
  <c r="D10" i="23"/>
  <c r="H10" i="23"/>
  <c r="E10" i="23"/>
  <c r="I10" i="23"/>
  <c r="G11" i="23"/>
  <c r="C9" i="22"/>
  <c r="M11" i="22"/>
  <c r="M10" i="22"/>
  <c r="E5" i="22"/>
  <c r="F5" i="22"/>
  <c r="G5" i="22"/>
  <c r="H5" i="22"/>
  <c r="I5" i="22"/>
  <c r="J5" i="22"/>
  <c r="D5" i="22"/>
  <c r="K4" i="22"/>
  <c r="K11" i="22" s="1"/>
  <c r="J4" i="22"/>
  <c r="J10" i="22" s="1"/>
  <c r="I4" i="22"/>
  <c r="I10" i="22" s="1"/>
  <c r="H4" i="22"/>
  <c r="H11" i="22" s="1"/>
  <c r="G4" i="22"/>
  <c r="G11" i="22" s="1"/>
  <c r="F4" i="22"/>
  <c r="F10" i="22" s="1"/>
  <c r="E4" i="22"/>
  <c r="E10" i="22" s="1"/>
  <c r="D4" i="22"/>
  <c r="D11" i="22" s="1"/>
  <c r="C4" i="21"/>
  <c r="I17" i="21" s="1"/>
  <c r="I11" i="22" l="1"/>
  <c r="E11" i="22"/>
  <c r="G10" i="22"/>
  <c r="K10" i="22"/>
  <c r="D10" i="22"/>
  <c r="H10" i="22"/>
  <c r="F11" i="22"/>
  <c r="J11" i="22"/>
  <c r="I15" i="21"/>
  <c r="K14" i="21"/>
  <c r="I14" i="21"/>
  <c r="O11" i="21"/>
  <c r="O10" i="21"/>
  <c r="O5" i="21"/>
  <c r="K4" i="21"/>
  <c r="K11" i="21" s="1"/>
  <c r="L4" i="21"/>
  <c r="L10" i="21" s="1"/>
  <c r="M4" i="21"/>
  <c r="M11" i="21" s="1"/>
  <c r="K5" i="21"/>
  <c r="L5" i="21"/>
  <c r="K10" i="21"/>
  <c r="M10" i="21"/>
  <c r="J5" i="21"/>
  <c r="I5" i="21"/>
  <c r="H5" i="21"/>
  <c r="G5" i="21"/>
  <c r="F5" i="21"/>
  <c r="E5" i="21"/>
  <c r="D5" i="21"/>
  <c r="J4" i="21"/>
  <c r="J10" i="21" s="1"/>
  <c r="I4" i="21"/>
  <c r="I10" i="21" s="1"/>
  <c r="H4" i="21"/>
  <c r="H11" i="21" s="1"/>
  <c r="G4" i="21"/>
  <c r="G11" i="21" s="1"/>
  <c r="F4" i="21"/>
  <c r="F10" i="21" s="1"/>
  <c r="E4" i="21"/>
  <c r="E10" i="21" s="1"/>
  <c r="D4" i="21"/>
  <c r="D11" i="21" s="1"/>
  <c r="O11" i="20"/>
  <c r="O10" i="20"/>
  <c r="L11" i="21" l="1"/>
  <c r="J11" i="21"/>
  <c r="I11" i="21"/>
  <c r="F11" i="21"/>
  <c r="E11" i="21"/>
  <c r="G10" i="21"/>
  <c r="D10" i="21"/>
  <c r="H10" i="21"/>
  <c r="L5" i="20" l="1"/>
  <c r="K5" i="20"/>
  <c r="J5" i="20"/>
  <c r="I5" i="20"/>
  <c r="H5" i="20"/>
  <c r="G5" i="20"/>
  <c r="F5" i="20"/>
  <c r="E5" i="20"/>
  <c r="D5" i="20"/>
  <c r="M4" i="20"/>
  <c r="M10" i="20" s="1"/>
  <c r="L4" i="20"/>
  <c r="L11" i="20" s="1"/>
  <c r="K4" i="20"/>
  <c r="K11" i="20" s="1"/>
  <c r="J4" i="20"/>
  <c r="J10" i="20" s="1"/>
  <c r="I4" i="20"/>
  <c r="I10" i="20" s="1"/>
  <c r="H4" i="20"/>
  <c r="H11" i="20" s="1"/>
  <c r="G4" i="20"/>
  <c r="G11" i="20" s="1"/>
  <c r="F4" i="20"/>
  <c r="F10" i="20" s="1"/>
  <c r="E4" i="20"/>
  <c r="E10" i="20" s="1"/>
  <c r="D4" i="20"/>
  <c r="D11" i="20" s="1"/>
  <c r="I11" i="20" l="1"/>
  <c r="G10" i="20"/>
  <c r="M11" i="20"/>
  <c r="E11" i="20"/>
  <c r="K10" i="20"/>
  <c r="D10" i="20"/>
  <c r="H10" i="20"/>
  <c r="L10" i="20"/>
  <c r="F11" i="20"/>
  <c r="J11" i="20"/>
  <c r="C3" i="8"/>
  <c r="C4" i="7"/>
  <c r="C9" i="7"/>
  <c r="C8" i="20" l="1"/>
  <c r="C9" i="20"/>
  <c r="D6" i="2"/>
  <c r="D20" i="2" s="1"/>
  <c r="D21" i="1"/>
  <c r="C5" i="12"/>
  <c r="P12" i="19"/>
  <c r="O12" i="19"/>
  <c r="M12" i="19"/>
  <c r="L12" i="19"/>
  <c r="K12" i="19"/>
  <c r="J12" i="19"/>
  <c r="I12" i="19"/>
  <c r="H12" i="19"/>
  <c r="G12" i="19"/>
  <c r="F12" i="19"/>
  <c r="E12" i="19"/>
  <c r="D12" i="19"/>
  <c r="O11" i="19"/>
  <c r="M11" i="19"/>
  <c r="L11" i="19"/>
  <c r="K11" i="19"/>
  <c r="J11" i="19"/>
  <c r="I11" i="19"/>
  <c r="H11" i="19"/>
  <c r="G11" i="19"/>
  <c r="F11" i="19"/>
  <c r="P11" i="19" s="1"/>
  <c r="E11" i="19"/>
  <c r="D11" i="19"/>
  <c r="L6" i="19"/>
  <c r="K6" i="19"/>
  <c r="J6" i="19"/>
  <c r="I6" i="19"/>
  <c r="H6" i="19"/>
  <c r="G6" i="19"/>
  <c r="F6" i="19"/>
  <c r="E6" i="19"/>
  <c r="D6" i="19"/>
  <c r="C5" i="19"/>
  <c r="C14" i="19" s="1"/>
  <c r="L4" i="19"/>
  <c r="K4" i="19"/>
  <c r="J4" i="19"/>
  <c r="I4" i="19"/>
  <c r="H4" i="19"/>
  <c r="G4" i="19"/>
  <c r="C4" i="19"/>
  <c r="H3" i="19"/>
  <c r="G3" i="19"/>
  <c r="F3" i="19"/>
  <c r="F4" i="19" s="1"/>
  <c r="E3" i="19"/>
  <c r="E4" i="19" s="1"/>
  <c r="D3" i="19"/>
  <c r="C3" i="19"/>
  <c r="D11" i="7"/>
  <c r="D10" i="7"/>
  <c r="D5" i="7"/>
  <c r="D19" i="2" l="1"/>
  <c r="O4" i="19"/>
  <c r="P4" i="19"/>
  <c r="D4" i="19"/>
  <c r="C5" i="17"/>
  <c r="C12" i="17" s="1"/>
  <c r="D5" i="17"/>
  <c r="D3" i="17"/>
  <c r="P6" i="17"/>
  <c r="O6" i="17"/>
  <c r="F5" i="17"/>
  <c r="G5" i="17"/>
  <c r="G6" i="17" s="1"/>
  <c r="H5" i="17"/>
  <c r="I5" i="17"/>
  <c r="I6" i="17" s="1"/>
  <c r="J5" i="17"/>
  <c r="K5" i="17"/>
  <c r="K6" i="17" s="1"/>
  <c r="L5" i="17"/>
  <c r="M5" i="17"/>
  <c r="E5" i="17"/>
  <c r="F6" i="17"/>
  <c r="J6" i="17"/>
  <c r="L6" i="17"/>
  <c r="E6" i="17"/>
  <c r="F4" i="17"/>
  <c r="G4" i="17"/>
  <c r="H4" i="17"/>
  <c r="I4" i="17"/>
  <c r="J4" i="17"/>
  <c r="K4" i="17"/>
  <c r="L4" i="17"/>
  <c r="E4" i="17"/>
  <c r="M12" i="17"/>
  <c r="L12" i="17"/>
  <c r="J12" i="17"/>
  <c r="H12" i="17"/>
  <c r="G12" i="17"/>
  <c r="F12" i="17"/>
  <c r="E12" i="17"/>
  <c r="D12" i="17"/>
  <c r="M11" i="17"/>
  <c r="L11" i="17"/>
  <c r="K11" i="17"/>
  <c r="J11" i="17"/>
  <c r="H11" i="17"/>
  <c r="G11" i="17"/>
  <c r="F11" i="17"/>
  <c r="E11" i="17"/>
  <c r="C10" i="12"/>
  <c r="C5" i="16"/>
  <c r="C14" i="16" s="1"/>
  <c r="I6" i="16"/>
  <c r="J6" i="16"/>
  <c r="K6" i="16"/>
  <c r="L12" i="16"/>
  <c r="L4" i="16"/>
  <c r="I4" i="16"/>
  <c r="J4" i="16"/>
  <c r="K4" i="16"/>
  <c r="D3" i="16"/>
  <c r="C3" i="16" s="1"/>
  <c r="C4" i="16" s="1"/>
  <c r="H3" i="16"/>
  <c r="H4" i="16" s="1"/>
  <c r="G3" i="16"/>
  <c r="G4" i="16" s="1"/>
  <c r="F3" i="16"/>
  <c r="E3" i="16"/>
  <c r="M12" i="16"/>
  <c r="J12" i="16"/>
  <c r="I12" i="16"/>
  <c r="G12" i="16"/>
  <c r="M11" i="16"/>
  <c r="J11" i="16"/>
  <c r="I11" i="16"/>
  <c r="G11" i="16"/>
  <c r="C10" i="14"/>
  <c r="C9" i="14"/>
  <c r="C5" i="14"/>
  <c r="E12" i="14"/>
  <c r="F12" i="14"/>
  <c r="G12" i="14"/>
  <c r="H12" i="14"/>
  <c r="I12" i="14"/>
  <c r="J12" i="14"/>
  <c r="K12" i="14"/>
  <c r="D12" i="14"/>
  <c r="K11" i="14"/>
  <c r="E11" i="14"/>
  <c r="F11" i="14"/>
  <c r="G11" i="14"/>
  <c r="H11" i="14"/>
  <c r="I11" i="14"/>
  <c r="J11" i="14"/>
  <c r="D11" i="14"/>
  <c r="D3" i="14"/>
  <c r="D5" i="14" s="1"/>
  <c r="D4" i="14"/>
  <c r="F6" i="14"/>
  <c r="G6" i="14"/>
  <c r="H6" i="14"/>
  <c r="I6" i="14"/>
  <c r="J6" i="14"/>
  <c r="E6" i="14"/>
  <c r="K5" i="14"/>
  <c r="F5" i="14"/>
  <c r="G5" i="14"/>
  <c r="H5" i="14"/>
  <c r="I5" i="14"/>
  <c r="J5" i="14"/>
  <c r="E5" i="14"/>
  <c r="F4" i="14"/>
  <c r="G4" i="14"/>
  <c r="H4" i="14"/>
  <c r="I4" i="14"/>
  <c r="J4" i="14"/>
  <c r="E4" i="14"/>
  <c r="K3" i="14"/>
  <c r="J3" i="14"/>
  <c r="I3" i="14"/>
  <c r="H3" i="14"/>
  <c r="G3" i="14"/>
  <c r="F3" i="14"/>
  <c r="E3" i="14"/>
  <c r="P12" i="12"/>
  <c r="P11" i="12"/>
  <c r="O12" i="12"/>
  <c r="O11" i="12"/>
  <c r="D5" i="12"/>
  <c r="E12" i="12"/>
  <c r="F12" i="12"/>
  <c r="G12" i="12"/>
  <c r="H12" i="12"/>
  <c r="I12" i="12"/>
  <c r="J12" i="12"/>
  <c r="K12" i="12"/>
  <c r="L12" i="12"/>
  <c r="M12" i="12"/>
  <c r="D12" i="12"/>
  <c r="E11" i="12"/>
  <c r="F11" i="12"/>
  <c r="G11" i="12"/>
  <c r="H11" i="12"/>
  <c r="I11" i="12"/>
  <c r="J11" i="12"/>
  <c r="K11" i="12"/>
  <c r="L11" i="12"/>
  <c r="M11" i="12"/>
  <c r="D11" i="12"/>
  <c r="C11" i="17" l="1"/>
  <c r="D11" i="17"/>
  <c r="O12" i="17"/>
  <c r="P12" i="17"/>
  <c r="K12" i="17"/>
  <c r="H6" i="17"/>
  <c r="I12" i="17"/>
  <c r="I11" i="17"/>
  <c r="O11" i="17" s="1"/>
  <c r="O4" i="17"/>
  <c r="P4" i="17"/>
  <c r="C9" i="12"/>
  <c r="F4" i="16"/>
  <c r="E6" i="16"/>
  <c r="E11" i="16"/>
  <c r="E12" i="16"/>
  <c r="F12" i="16"/>
  <c r="F6" i="16"/>
  <c r="F11" i="16"/>
  <c r="L6" i="16"/>
  <c r="E4" i="16"/>
  <c r="D4" i="16"/>
  <c r="D6" i="16"/>
  <c r="K12" i="16"/>
  <c r="L11" i="16"/>
  <c r="K11" i="16"/>
  <c r="O4" i="16"/>
  <c r="M4" i="14"/>
  <c r="D6" i="12"/>
  <c r="D4" i="12"/>
  <c r="P4" i="12"/>
  <c r="O4" i="12"/>
  <c r="G3" i="12"/>
  <c r="M3" i="12"/>
  <c r="L3" i="12"/>
  <c r="K3" i="12"/>
  <c r="J4" i="12" s="1"/>
  <c r="J3" i="12"/>
  <c r="I3" i="12"/>
  <c r="H3" i="12"/>
  <c r="F3" i="12"/>
  <c r="L6" i="12"/>
  <c r="G4" i="12"/>
  <c r="I4" i="12"/>
  <c r="L4" i="12"/>
  <c r="E4" i="12"/>
  <c r="E3" i="12"/>
  <c r="P11" i="17" l="1"/>
  <c r="H6" i="16"/>
  <c r="H11" i="16"/>
  <c r="H12" i="16"/>
  <c r="G6" i="16"/>
  <c r="D12" i="16"/>
  <c r="D11" i="16"/>
  <c r="O11" i="16" s="1"/>
  <c r="P4" i="16"/>
  <c r="P11" i="16"/>
  <c r="N12" i="14"/>
  <c r="M12" i="14"/>
  <c r="N4" i="14"/>
  <c r="N11" i="14"/>
  <c r="M11" i="14"/>
  <c r="F4" i="12"/>
  <c r="K4" i="12"/>
  <c r="K6" i="12"/>
  <c r="J6" i="12"/>
  <c r="H6" i="12"/>
  <c r="I6" i="12"/>
  <c r="H4" i="12"/>
  <c r="G6" i="12"/>
  <c r="F6" i="12"/>
  <c r="E6" i="12"/>
  <c r="P12" i="16" l="1"/>
  <c r="O12" i="16"/>
  <c r="C5" i="8" l="1"/>
  <c r="C9" i="8" s="1"/>
  <c r="E6" i="8"/>
  <c r="F6" i="8"/>
  <c r="G6" i="8"/>
  <c r="H6" i="8"/>
  <c r="D6" i="8"/>
  <c r="E11" i="8"/>
  <c r="F11" i="8"/>
  <c r="G11" i="8"/>
  <c r="H11" i="8"/>
  <c r="I11" i="8"/>
  <c r="D11" i="8"/>
  <c r="L11" i="8" s="1"/>
  <c r="E10" i="8"/>
  <c r="F10" i="8"/>
  <c r="G10" i="8"/>
  <c r="H10" i="8"/>
  <c r="I10" i="8"/>
  <c r="D10" i="8"/>
  <c r="L10" i="8" s="1"/>
  <c r="D4" i="8"/>
  <c r="L4" i="8"/>
  <c r="K4" i="8"/>
  <c r="F4" i="8"/>
  <c r="G4" i="8"/>
  <c r="H4" i="8"/>
  <c r="E4" i="8"/>
  <c r="C3" i="7"/>
  <c r="K10" i="8" l="1"/>
  <c r="C8" i="8" s="1"/>
  <c r="K11" i="8"/>
  <c r="M14" i="7" l="1"/>
  <c r="D4" i="7"/>
  <c r="F5" i="7"/>
  <c r="G5" i="7"/>
  <c r="H5" i="7"/>
  <c r="I5" i="7"/>
  <c r="J5" i="7"/>
  <c r="K5" i="7"/>
  <c r="L5" i="7"/>
  <c r="F4" i="7"/>
  <c r="G4" i="7"/>
  <c r="H4" i="7"/>
  <c r="I4" i="7"/>
  <c r="I11" i="7" s="1"/>
  <c r="J4" i="7"/>
  <c r="K4" i="7"/>
  <c r="L4" i="7"/>
  <c r="M4" i="7"/>
  <c r="M11" i="7" s="1"/>
  <c r="E4" i="7"/>
  <c r="L11" i="7"/>
  <c r="K11" i="7"/>
  <c r="J11" i="7"/>
  <c r="H11" i="7"/>
  <c r="G11" i="7"/>
  <c r="F11" i="7"/>
  <c r="E11" i="7"/>
  <c r="L10" i="7"/>
  <c r="K10" i="7"/>
  <c r="J10" i="7"/>
  <c r="I10" i="7"/>
  <c r="H10" i="7"/>
  <c r="G10" i="7"/>
  <c r="F10" i="7"/>
  <c r="E10" i="7"/>
  <c r="E5" i="7"/>
  <c r="M15" i="3"/>
  <c r="C3" i="3" s="1"/>
  <c r="D5" i="3"/>
  <c r="M14" i="3" s="1"/>
  <c r="E5" i="3"/>
  <c r="F5" i="3"/>
  <c r="G5" i="3"/>
  <c r="H5" i="3"/>
  <c r="I5" i="3"/>
  <c r="J5" i="3"/>
  <c r="K5" i="3"/>
  <c r="L5" i="3"/>
  <c r="M5" i="3"/>
  <c r="N5" i="3"/>
  <c r="F11" i="3"/>
  <c r="G11" i="3"/>
  <c r="H11" i="3"/>
  <c r="I11" i="3"/>
  <c r="J11" i="3"/>
  <c r="K11" i="3"/>
  <c r="L11" i="3"/>
  <c r="M11" i="3"/>
  <c r="N11" i="3"/>
  <c r="O11" i="3"/>
  <c r="E11" i="3"/>
  <c r="F10" i="3"/>
  <c r="G10" i="3"/>
  <c r="H10" i="3"/>
  <c r="I10" i="3"/>
  <c r="J10" i="3"/>
  <c r="K10" i="3"/>
  <c r="L10" i="3"/>
  <c r="M10" i="3"/>
  <c r="N10" i="3"/>
  <c r="O10" i="3"/>
  <c r="E10" i="3"/>
  <c r="K15" i="7" l="1"/>
  <c r="K14" i="7"/>
  <c r="C8" i="7" s="1"/>
  <c r="C10" i="3"/>
  <c r="M10" i="7"/>
  <c r="M15" i="7"/>
  <c r="E11" i="2"/>
  <c r="E10" i="2"/>
  <c r="G23" i="2"/>
  <c r="G22" i="2"/>
  <c r="E23" i="2"/>
  <c r="E22" i="2"/>
  <c r="F20" i="2"/>
  <c r="G20" i="2"/>
  <c r="H20" i="2"/>
  <c r="I20" i="2"/>
  <c r="J20" i="2"/>
  <c r="K20" i="2"/>
  <c r="L20" i="2"/>
  <c r="M20" i="2"/>
  <c r="N20" i="2"/>
  <c r="E20" i="2"/>
  <c r="G19" i="2"/>
  <c r="H19" i="2"/>
  <c r="I19" i="2"/>
  <c r="J19" i="2"/>
  <c r="K19" i="2"/>
  <c r="L19" i="2"/>
  <c r="M19" i="2"/>
  <c r="N19" i="2"/>
  <c r="F19" i="2"/>
  <c r="E19" i="2"/>
  <c r="F7" i="2"/>
  <c r="G7" i="2"/>
  <c r="H7" i="2"/>
  <c r="I7" i="2"/>
  <c r="J7" i="2"/>
  <c r="K7" i="2"/>
  <c r="L7" i="2"/>
  <c r="M7" i="2"/>
  <c r="E7" i="2"/>
  <c r="D4" i="3" l="1"/>
  <c r="D10" i="3" l="1"/>
  <c r="K14" i="3" s="1"/>
  <c r="K20" i="3" s="1"/>
  <c r="D11" i="3"/>
  <c r="K15" i="3" s="1"/>
  <c r="E21" i="1"/>
  <c r="G23" i="1"/>
  <c r="K23" i="1"/>
  <c r="G21" i="1"/>
  <c r="H21" i="1"/>
  <c r="I21" i="1"/>
  <c r="J21" i="1"/>
  <c r="K21" i="1"/>
  <c r="L21" i="1"/>
  <c r="F21" i="1"/>
  <c r="F23" i="1" s="1"/>
  <c r="E19" i="1"/>
  <c r="E23" i="1" s="1"/>
  <c r="E17" i="1"/>
  <c r="E22" i="1" s="1"/>
  <c r="E14" i="1"/>
  <c r="E11" i="1"/>
  <c r="G19" i="1"/>
  <c r="H19" i="1"/>
  <c r="H23" i="1" s="1"/>
  <c r="I19" i="1"/>
  <c r="I23" i="1" s="1"/>
  <c r="J19" i="1"/>
  <c r="J23" i="1" s="1"/>
  <c r="K19" i="1"/>
  <c r="L19" i="1"/>
  <c r="L23" i="1" s="1"/>
  <c r="G17" i="1"/>
  <c r="G22" i="1" s="1"/>
  <c r="H17" i="1"/>
  <c r="H22" i="1" s="1"/>
  <c r="I17" i="1"/>
  <c r="I22" i="1" s="1"/>
  <c r="J17" i="1"/>
  <c r="J22" i="1" s="1"/>
  <c r="K17" i="1"/>
  <c r="K22" i="1" s="1"/>
  <c r="L17" i="1"/>
  <c r="L22" i="1" s="1"/>
  <c r="F19" i="1"/>
  <c r="F17" i="1"/>
  <c r="F22" i="1" s="1"/>
  <c r="F26" i="1" s="1"/>
  <c r="G26" i="1" s="1"/>
  <c r="G14" i="1"/>
  <c r="H14" i="1"/>
  <c r="I14" i="1"/>
  <c r="J14" i="1"/>
  <c r="K14" i="1"/>
  <c r="L14" i="1"/>
  <c r="F14" i="1"/>
  <c r="G11" i="1"/>
  <c r="H11" i="1"/>
  <c r="I11" i="1"/>
  <c r="J11" i="1"/>
  <c r="K11" i="1"/>
  <c r="L11" i="1"/>
  <c r="F11" i="1"/>
  <c r="K18" i="3" l="1"/>
  <c r="C11" i="3"/>
  <c r="K21" i="3"/>
  <c r="K17" i="3"/>
  <c r="F27" i="1"/>
  <c r="G27" i="1" s="1"/>
</calcChain>
</file>

<file path=xl/sharedStrings.xml><?xml version="1.0" encoding="utf-8"?>
<sst xmlns="http://schemas.openxmlformats.org/spreadsheetml/2006/main" count="1181" uniqueCount="82">
  <si>
    <t>Formula:</t>
  </si>
  <si>
    <t>EV</t>
  </si>
  <si>
    <t>New Business</t>
  </si>
  <si>
    <t>2019 (forecast)</t>
  </si>
  <si>
    <t>P = EV/share + (New Business Value * capital factor)/share</t>
  </si>
  <si>
    <t>Lowest price</t>
  </si>
  <si>
    <t>Highest price</t>
  </si>
  <si>
    <t>Issued Shares</t>
  </si>
  <si>
    <t>Exchange Rate</t>
  </si>
  <si>
    <t>% Change</t>
  </si>
  <si>
    <t>Lowest price (in CNY)</t>
  </si>
  <si>
    <t>Highest price (in CNY)</t>
  </si>
  <si>
    <t>P = DPS * (P/DPS)</t>
  </si>
  <si>
    <t>DPS</t>
  </si>
  <si>
    <t>OCF</t>
  </si>
  <si>
    <t>IssuedShares</t>
  </si>
  <si>
    <t>EPS</t>
  </si>
  <si>
    <t>OCF/share</t>
  </si>
  <si>
    <t>HighestP</t>
  </si>
  <si>
    <t>LowestP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</si>
  <si>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</si>
  <si>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</si>
  <si>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</si>
  <si>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</si>
  <si>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</si>
  <si>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</si>
  <si>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</si>
  <si>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</si>
  <si>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</si>
  <si>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</si>
  <si>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</si>
  <si>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</si>
  <si>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</si>
  <si>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</si>
  <si>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</si>
  <si>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</si>
  <si>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</si>
  <si>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</si>
  <si>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</si>
  <si>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</si>
  <si>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</si>
  <si>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</si>
  <si>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</si>
  <si>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</si>
  <si>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</si>
  <si>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</si>
  <si>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</si>
  <si>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</si>
  <si>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</si>
  <si>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PROBABILITY OUTPUT</t>
  </si>
  <si>
    <t>Percentile</t>
  </si>
  <si>
    <t>Y</t>
  </si>
  <si>
    <t>%change</t>
  </si>
  <si>
    <t>%Change</t>
  </si>
  <si>
    <t>P/DPS (Highest)</t>
  </si>
  <si>
    <t>P/DPS (Lowest)</t>
  </si>
  <si>
    <t>2020 (forecast)</t>
  </si>
  <si>
    <t>HP/OCF</t>
  </si>
  <si>
    <t>LP/OCF</t>
  </si>
  <si>
    <t>Standard Residuals</t>
  </si>
  <si>
    <t>RNAV</t>
  </si>
  <si>
    <t>RNAV/Shares</t>
  </si>
  <si>
    <t>LowestPrice</t>
  </si>
  <si>
    <t>HighestPrice</t>
  </si>
  <si>
    <t>HP/RNAV</t>
  </si>
  <si>
    <t>LP/RNAV</t>
  </si>
  <si>
    <t>Sales</t>
  </si>
  <si>
    <t>Sales/Shares</t>
  </si>
  <si>
    <t>HP/Sales</t>
  </si>
  <si>
    <t>LP/Sales</t>
  </si>
  <si>
    <t>FX Rate</t>
  </si>
  <si>
    <t>Sales/share</t>
  </si>
  <si>
    <t>HP/EPS</t>
  </si>
  <si>
    <t>LP/EPS</t>
  </si>
  <si>
    <t>2019-2018</t>
  </si>
  <si>
    <t>2018-2017</t>
  </si>
  <si>
    <t>2019-2020 (forecast)</t>
  </si>
  <si>
    <t>2017-2016</t>
  </si>
  <si>
    <t>2016-2015</t>
  </si>
  <si>
    <t>2015-2014</t>
  </si>
  <si>
    <t>2014-2013</t>
  </si>
  <si>
    <t>2013-2012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</si>
</sst>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HK$&quot;* #,##0.00_);_(&quot;HK$&quot;* \(#,##0.00\);_(&quot;HK$&quot;* &quot;-&quot;??_);_(@_)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sz val="12"/>
      <color rgb="FFFF0000"/>
      <name val="Calibri"/>
      <family val="2"/>
      <scheme val="minor"/>
    </font>
    <font>
      <sz val="12"/>
      <color rgb="FF008000"/>
      <name val="Calibri"/>
      <family val="2"/>
      <scheme val="minor"/>
    </font>
    <font>
      <sz val="12"/>
      <color rgb="FF000000"/>
      <name val="Courier"/>
      <family val="1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NumberFormat="1"/>
    <xf numFmtId="2" fontId="1" fillId="0" borderId="0" xfId="0" applyNumberFormat="1" applyFont="1"/>
    <xf numFmtId="0" fontId="0" fillId="0" borderId="0" xfId="0" applyAlignment="1">
      <alignment wrapText="1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3" fillId="0" borderId="0" xfId="0" applyFont="1"/>
    <xf numFmtId="2" fontId="0" fillId="0" borderId="0" xfId="0" applyNumberFormat="1" applyFont="1"/>
    <xf numFmtId="46" fontId="0" fillId="0" borderId="0" xfId="0" applyNumberFormat="1"/>
    <xf numFmtId="3" fontId="0" fillId="0" borderId="0" xfId="0" applyNumberFormat="1"/>
    <xf numFmtId="10" fontId="5" fillId="0" borderId="0" xfId="0" applyNumberFormat="1" applyFont="1"/>
    <xf numFmtId="10" fontId="4" fillId="0" borderId="0" xfId="0" applyNumberFormat="1" applyFont="1"/>
    <xf numFmtId="0" fontId="6" fillId="0" borderId="0" xfId="0" applyFont="1"/>
    <xf numFmtId="44" fontId="0" fillId="0" borderId="0" xfId="1" applyFont="1"/>
    <xf numFmtId="0" fontId="0" fillId="0" borderId="0" xfId="0" applyFill="1"/>
    <xf numFmtId="0" fontId="2" fillId="0" borderId="0" xfId="0" applyFont="1" applyFill="1" applyBorder="1" applyAlignment="1">
      <alignment horizontal="centerContinuous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'S&amp;P500'!$E$12:$E$18</c:f>
              <c:numCache>
                <c:formatCode>General</c:formatCode>
                <c:ptCount val="7"/>
                <c:pt idx="0">
                  <c:v>98.66</c:v>
                </c:pt>
                <c:pt idx="1">
                  <c:v>148.16999999999999</c:v>
                </c:pt>
                <c:pt idx="2">
                  <c:v>143.86000000000001</c:v>
                </c:pt>
                <c:pt idx="3">
                  <c:v>121.68</c:v>
                </c:pt>
                <c:pt idx="4">
                  <c:v>106.91</c:v>
                </c:pt>
                <c:pt idx="5">
                  <c:v>99.88</c:v>
                </c:pt>
                <c:pt idx="6">
                  <c:v>118.95</c:v>
                </c:pt>
              </c:numCache>
            </c:numRef>
          </c:xVal>
          <c:yVal>
            <c:numRef>
              <c:f>'S&amp;P500'!$D$44:$D$50</c:f>
              <c:numCache>
                <c:formatCode>General</c:formatCode>
                <c:ptCount val="7"/>
                <c:pt idx="0">
                  <c:v>12.685847058823533</c:v>
                </c:pt>
                <c:pt idx="1">
                  <c:v>-0.46093228454171964</c:v>
                </c:pt>
                <c:pt idx="2">
                  <c:v>-2.3670355677154546</c:v>
                </c:pt>
                <c:pt idx="3">
                  <c:v>-5.7939932968536176</c:v>
                </c:pt>
                <c:pt idx="4">
                  <c:v>-8.6694205198358425</c:v>
                </c:pt>
                <c:pt idx="5">
                  <c:v>-1.4092608755129987</c:v>
                </c:pt>
                <c:pt idx="6">
                  <c:v>6.0147954856361139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13-3945-9C03-11D72C1F9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435728"/>
        <c:axId val="1283639824"/>
      </c:scatterChart>
      <c:valAx>
        <c:axId val="1280435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3639824"/>
        <c:crosses val="autoZero"/>
        <c:crossBetween val="midCat"/>
      </c:valAx>
      <c:valAx>
        <c:axId val="1283639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04357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AMZN!$F$88:$F$98</c:f>
              <c:numCache>
                <c:formatCode>General</c:formatCode>
                <c:ptCount val="11"/>
                <c:pt idx="0">
                  <c:v>4.5454545454545459</c:v>
                </c:pt>
                <c:pt idx="1">
                  <c:v>13.636363636363637</c:v>
                </c:pt>
                <c:pt idx="2">
                  <c:v>22.72727272727273</c:v>
                </c:pt>
                <c:pt idx="3">
                  <c:v>31.81818181818182</c:v>
                </c:pt>
                <c:pt idx="4">
                  <c:v>40.909090909090914</c:v>
                </c:pt>
                <c:pt idx="5">
                  <c:v>50.000000000000007</c:v>
                </c:pt>
                <c:pt idx="6">
                  <c:v>59.090909090909093</c:v>
                </c:pt>
                <c:pt idx="7">
                  <c:v>68.181818181818187</c:v>
                </c:pt>
                <c:pt idx="8">
                  <c:v>77.27272727272728</c:v>
                </c:pt>
                <c:pt idx="9">
                  <c:v>86.363636363636374</c:v>
                </c:pt>
                <c:pt idx="10">
                  <c:v>95.454545454545467</c:v>
                </c:pt>
              </c:numCache>
            </c:numRef>
          </c:xVal>
          <c:yVal>
            <c:numRef>
              <c:f>AMZN!$G$88:$G$98</c:f>
              <c:numCache>
                <c:formatCode>General</c:formatCode>
                <c:ptCount val="11"/>
                <c:pt idx="0">
                  <c:v>96.25</c:v>
                </c:pt>
                <c:pt idx="1">
                  <c:v>142.25</c:v>
                </c:pt>
                <c:pt idx="2">
                  <c:v>184.76</c:v>
                </c:pt>
                <c:pt idx="3">
                  <c:v>246.71</c:v>
                </c:pt>
                <c:pt idx="4">
                  <c:v>261.68</c:v>
                </c:pt>
                <c:pt idx="5">
                  <c:v>404.39</c:v>
                </c:pt>
                <c:pt idx="6">
                  <c:v>407.05</c:v>
                </c:pt>
                <c:pt idx="7">
                  <c:v>693.97</c:v>
                </c:pt>
                <c:pt idx="8">
                  <c:v>844.36</c:v>
                </c:pt>
                <c:pt idx="9">
                  <c:v>1195.83</c:v>
                </c:pt>
                <c:pt idx="10">
                  <c:v>2039.51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58-654B-8AA5-273132ACD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686640"/>
        <c:axId val="970688272"/>
      </c:scatterChart>
      <c:valAx>
        <c:axId val="97068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0688272"/>
        <c:crosses val="autoZero"/>
        <c:crossBetween val="midCat"/>
      </c:valAx>
      <c:valAx>
        <c:axId val="970688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06866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BABA!$D$14:$D$19</c:f>
              <c:numCache>
                <c:formatCode>General</c:formatCode>
                <c:ptCount val="6"/>
                <c:pt idx="0">
                  <c:v>8.5764391917651537</c:v>
                </c:pt>
                <c:pt idx="1">
                  <c:v>7.6455938697318011</c:v>
                </c:pt>
                <c:pt idx="2">
                  <c:v>4.5355616012436846</c:v>
                </c:pt>
                <c:pt idx="3">
                  <c:v>3.440671350507416</c:v>
                </c:pt>
                <c:pt idx="4">
                  <c:v>2.6596000000000002</c:v>
                </c:pt>
                <c:pt idx="5">
                  <c:v>1.8233276157804459</c:v>
                </c:pt>
              </c:numCache>
            </c:numRef>
          </c:xVal>
          <c:yVal>
            <c:numRef>
              <c:f>BABA!$C$46:$C$51</c:f>
              <c:numCache>
                <c:formatCode>General</c:formatCode>
                <c:ptCount val="6"/>
                <c:pt idx="0">
                  <c:v>-8.0151674286594243</c:v>
                </c:pt>
                <c:pt idx="1">
                  <c:v>1.9208459689993447</c:v>
                </c:pt>
                <c:pt idx="2">
                  <c:v>36.584263641308837</c:v>
                </c:pt>
                <c:pt idx="3">
                  <c:v>-26.069021182744109</c:v>
                </c:pt>
                <c:pt idx="4">
                  <c:v>-16.883101828494702</c:v>
                </c:pt>
                <c:pt idx="5">
                  <c:v>12.462180829590054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85-9448-BA8D-2100DBDD0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582592"/>
        <c:axId val="1155831904"/>
      </c:scatterChart>
      <c:valAx>
        <c:axId val="123358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5831904"/>
        <c:crosses val="autoZero"/>
        <c:crossBetween val="midCat"/>
      </c:valAx>
      <c:valAx>
        <c:axId val="1155831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35825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BABA!$D$14:$D$19</c:f>
              <c:numCache>
                <c:formatCode>General</c:formatCode>
                <c:ptCount val="6"/>
                <c:pt idx="0">
                  <c:v>8.5764391917651537</c:v>
                </c:pt>
                <c:pt idx="1">
                  <c:v>7.6455938697318011</c:v>
                </c:pt>
                <c:pt idx="2">
                  <c:v>4.5355616012436846</c:v>
                </c:pt>
                <c:pt idx="3">
                  <c:v>3.440671350507416</c:v>
                </c:pt>
                <c:pt idx="4">
                  <c:v>2.6596000000000002</c:v>
                </c:pt>
                <c:pt idx="5">
                  <c:v>1.8233276157804459</c:v>
                </c:pt>
              </c:numCache>
            </c:numRef>
          </c:xVal>
          <c:yVal>
            <c:numRef>
              <c:f>BABA!$E$14:$E$19</c:f>
              <c:numCache>
                <c:formatCode>General</c:formatCode>
                <c:ptCount val="6"/>
                <c:pt idx="0">
                  <c:v>218.11000100000001</c:v>
                </c:pt>
                <c:pt idx="1">
                  <c:v>211.699997</c:v>
                </c:pt>
                <c:pt idx="2">
                  <c:v>191.75</c:v>
                </c:pt>
                <c:pt idx="3">
                  <c:v>109.870003</c:v>
                </c:pt>
                <c:pt idx="4">
                  <c:v>105.339996</c:v>
                </c:pt>
                <c:pt idx="5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70-EA47-ACDF-1C4975D70A13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BABA!$D$14:$D$19</c:f>
              <c:numCache>
                <c:formatCode>General</c:formatCode>
                <c:ptCount val="6"/>
                <c:pt idx="0">
                  <c:v>8.5764391917651537</c:v>
                </c:pt>
                <c:pt idx="1">
                  <c:v>7.6455938697318011</c:v>
                </c:pt>
                <c:pt idx="2">
                  <c:v>4.5355616012436846</c:v>
                </c:pt>
                <c:pt idx="3">
                  <c:v>3.440671350507416</c:v>
                </c:pt>
                <c:pt idx="4">
                  <c:v>2.6596000000000002</c:v>
                </c:pt>
                <c:pt idx="5">
                  <c:v>1.8233276157804459</c:v>
                </c:pt>
              </c:numCache>
            </c:numRef>
          </c:xVal>
          <c:yVal>
            <c:numRef>
              <c:f>BABA!$B$46:$B$51</c:f>
              <c:numCache>
                <c:formatCode>General</c:formatCode>
                <c:ptCount val="6"/>
                <c:pt idx="0">
                  <c:v>226.12516842865944</c:v>
                </c:pt>
                <c:pt idx="1">
                  <c:v>209.77915103100065</c:v>
                </c:pt>
                <c:pt idx="2">
                  <c:v>155.16573635869116</c:v>
                </c:pt>
                <c:pt idx="3">
                  <c:v>135.93902418274411</c:v>
                </c:pt>
                <c:pt idx="4">
                  <c:v>122.2230978284947</c:v>
                </c:pt>
                <c:pt idx="5">
                  <c:v>107.53781917040995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70-EA47-ACDF-1C4975D70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570800"/>
        <c:axId val="1152572432"/>
      </c:scatterChart>
      <c:valAx>
        <c:axId val="1152570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2572432"/>
        <c:crosses val="autoZero"/>
        <c:crossBetween val="midCat"/>
      </c:valAx>
      <c:valAx>
        <c:axId val="1152572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257080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BABA!$F$14:$F$19</c:f>
              <c:numCache>
                <c:formatCode>General</c:formatCode>
                <c:ptCount val="6"/>
                <c:pt idx="0">
                  <c:v>129.83000200000001</c:v>
                </c:pt>
                <c:pt idx="1">
                  <c:v>129.770004</c:v>
                </c:pt>
                <c:pt idx="2">
                  <c:v>88.080001999999993</c:v>
                </c:pt>
                <c:pt idx="3">
                  <c:v>59.25</c:v>
                </c:pt>
                <c:pt idx="4">
                  <c:v>57.200001</c:v>
                </c:pt>
                <c:pt idx="5">
                  <c:v>82.809997999999993</c:v>
                </c:pt>
              </c:numCache>
            </c:numRef>
          </c:xVal>
          <c:yVal>
            <c:numRef>
              <c:f>BABA!$C$78:$C$83</c:f>
              <c:numCache>
                <c:formatCode>General</c:formatCode>
                <c:ptCount val="6"/>
                <c:pt idx="0">
                  <c:v>4.6863192939014198E-2</c:v>
                </c:pt>
                <c:pt idx="1">
                  <c:v>-6.2722261970010322</c:v>
                </c:pt>
                <c:pt idx="2">
                  <c:v>36.950387143814481</c:v>
                </c:pt>
                <c:pt idx="3">
                  <c:v>-1.2436804942504693</c:v>
                </c:pt>
                <c:pt idx="4">
                  <c:v>-2.6673362874056892</c:v>
                </c:pt>
                <c:pt idx="5">
                  <c:v>-26.814007358096575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05-D042-B4B5-F68990859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341760"/>
        <c:axId val="1237343392"/>
      </c:scatterChart>
      <c:valAx>
        <c:axId val="1237341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7343392"/>
        <c:crosses val="autoZero"/>
        <c:crossBetween val="midCat"/>
      </c:valAx>
      <c:valAx>
        <c:axId val="1237343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73417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BABA!$F$14:$F$19</c:f>
              <c:numCache>
                <c:formatCode>General</c:formatCode>
                <c:ptCount val="6"/>
                <c:pt idx="0">
                  <c:v>129.83000200000001</c:v>
                </c:pt>
                <c:pt idx="1">
                  <c:v>129.770004</c:v>
                </c:pt>
                <c:pt idx="2">
                  <c:v>88.080001999999993</c:v>
                </c:pt>
                <c:pt idx="3">
                  <c:v>59.25</c:v>
                </c:pt>
                <c:pt idx="4">
                  <c:v>57.200001</c:v>
                </c:pt>
                <c:pt idx="5">
                  <c:v>82.809997999999993</c:v>
                </c:pt>
              </c:numCache>
            </c:numRef>
          </c:xVal>
          <c:yVal>
            <c:numRef>
              <c:f>BABA!$E$14:$E$19</c:f>
              <c:numCache>
                <c:formatCode>General</c:formatCode>
                <c:ptCount val="6"/>
                <c:pt idx="0">
                  <c:v>218.11000100000001</c:v>
                </c:pt>
                <c:pt idx="1">
                  <c:v>211.699997</c:v>
                </c:pt>
                <c:pt idx="2">
                  <c:v>191.75</c:v>
                </c:pt>
                <c:pt idx="3">
                  <c:v>109.870003</c:v>
                </c:pt>
                <c:pt idx="4">
                  <c:v>105.339996</c:v>
                </c:pt>
                <c:pt idx="5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3C-8B40-9933-95368219F73D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BABA!$F$14:$F$19</c:f>
              <c:numCache>
                <c:formatCode>General</c:formatCode>
                <c:ptCount val="6"/>
                <c:pt idx="0">
                  <c:v>129.83000200000001</c:v>
                </c:pt>
                <c:pt idx="1">
                  <c:v>129.770004</c:v>
                </c:pt>
                <c:pt idx="2">
                  <c:v>88.080001999999993</c:v>
                </c:pt>
                <c:pt idx="3">
                  <c:v>59.25</c:v>
                </c:pt>
                <c:pt idx="4">
                  <c:v>57.200001</c:v>
                </c:pt>
                <c:pt idx="5">
                  <c:v>82.809997999999993</c:v>
                </c:pt>
              </c:numCache>
            </c:numRef>
          </c:xVal>
          <c:yVal>
            <c:numRef>
              <c:f>BABA!$B$78:$B$83</c:f>
              <c:numCache>
                <c:formatCode>General</c:formatCode>
                <c:ptCount val="6"/>
                <c:pt idx="0">
                  <c:v>218.063137807061</c:v>
                </c:pt>
                <c:pt idx="1">
                  <c:v>217.97222319700103</c:v>
                </c:pt>
                <c:pt idx="2">
                  <c:v>154.79961285618552</c:v>
                </c:pt>
                <c:pt idx="3">
                  <c:v>111.11368349425047</c:v>
                </c:pt>
                <c:pt idx="4">
                  <c:v>108.00733228740569</c:v>
                </c:pt>
                <c:pt idx="5">
                  <c:v>146.81400735809657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3C-8B40-9933-95368219F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168336"/>
        <c:axId val="1235142224"/>
      </c:scatterChart>
      <c:valAx>
        <c:axId val="1215168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5142224"/>
        <c:crosses val="autoZero"/>
        <c:crossBetween val="midCat"/>
      </c:valAx>
      <c:valAx>
        <c:axId val="1235142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51683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NFLX!$D$14:$D$23</c:f>
              <c:numCache>
                <c:formatCode>General</c:formatCode>
                <c:ptCount val="10"/>
                <c:pt idx="0">
                  <c:v>44.592920353982301</c:v>
                </c:pt>
                <c:pt idx="1">
                  <c:v>35.019955654101999</c:v>
                </c:pt>
                <c:pt idx="2">
                  <c:v>26.156599552572708</c:v>
                </c:pt>
                <c:pt idx="3">
                  <c:v>20.113895216400913</c:v>
                </c:pt>
                <c:pt idx="4">
                  <c:v>15.55045871559633</c:v>
                </c:pt>
                <c:pt idx="5">
                  <c:v>12.74074074074074</c:v>
                </c:pt>
                <c:pt idx="6">
                  <c:v>10.291764705882352</c:v>
                </c:pt>
                <c:pt idx="7">
                  <c:v>8.7597087378640772</c:v>
                </c:pt>
                <c:pt idx="8">
                  <c:v>8.4094488188976371</c:v>
                </c:pt>
                <c:pt idx="9">
                  <c:v>5.6921052631578943</c:v>
                </c:pt>
              </c:numCache>
            </c:numRef>
          </c:xVal>
          <c:yVal>
            <c:numRef>
              <c:f>NFLX!$D$49:$D$58</c:f>
              <c:numCache>
                <c:formatCode>General</c:formatCode>
                <c:ptCount val="10"/>
                <c:pt idx="0">
                  <c:v>-44.496957358227974</c:v>
                </c:pt>
                <c:pt idx="1">
                  <c:v>93.619205840390578</c:v>
                </c:pt>
                <c:pt idx="2">
                  <c:v>-26.216826066325638</c:v>
                </c:pt>
                <c:pt idx="3">
                  <c:v>-34.788121963519956</c:v>
                </c:pt>
                <c:pt idx="4">
                  <c:v>17.452701047798087</c:v>
                </c:pt>
                <c:pt idx="5">
                  <c:v>-13.702420080693315</c:v>
                </c:pt>
                <c:pt idx="6">
                  <c:v>-1.8818541300946379</c:v>
                </c:pt>
                <c:pt idx="7">
                  <c:v>-21.113815146573167</c:v>
                </c:pt>
                <c:pt idx="8">
                  <c:v>7.9092289599426593</c:v>
                </c:pt>
                <c:pt idx="9">
                  <c:v>23.218858897303374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C8-5D4A-BCE8-0D4FEDD06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06079"/>
        <c:axId val="412300751"/>
      </c:scatterChart>
      <c:valAx>
        <c:axId val="457406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2300751"/>
        <c:crosses val="autoZero"/>
        <c:crossBetween val="midCat"/>
      </c:valAx>
      <c:valAx>
        <c:axId val="4123007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74060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NFLX!$D$14:$D$23</c:f>
              <c:numCache>
                <c:formatCode>General</c:formatCode>
                <c:ptCount val="10"/>
                <c:pt idx="0">
                  <c:v>44.592920353982301</c:v>
                </c:pt>
                <c:pt idx="1">
                  <c:v>35.019955654101999</c:v>
                </c:pt>
                <c:pt idx="2">
                  <c:v>26.156599552572708</c:v>
                </c:pt>
                <c:pt idx="3">
                  <c:v>20.113895216400913</c:v>
                </c:pt>
                <c:pt idx="4">
                  <c:v>15.55045871559633</c:v>
                </c:pt>
                <c:pt idx="5">
                  <c:v>12.74074074074074</c:v>
                </c:pt>
                <c:pt idx="6">
                  <c:v>10.291764705882352</c:v>
                </c:pt>
                <c:pt idx="7">
                  <c:v>8.7597087378640772</c:v>
                </c:pt>
                <c:pt idx="8">
                  <c:v>8.4094488188976371</c:v>
                </c:pt>
                <c:pt idx="9">
                  <c:v>5.6921052631578943</c:v>
                </c:pt>
              </c:numCache>
            </c:numRef>
          </c:xVal>
          <c:yVal>
            <c:numRef>
              <c:f>NFLX!$E$14:$E$23</c:f>
              <c:numCache>
                <c:formatCode>General</c:formatCode>
                <c:ptCount val="10"/>
                <c:pt idx="0">
                  <c:v>385.03</c:v>
                </c:pt>
                <c:pt idx="1">
                  <c:v>418.97</c:v>
                </c:pt>
                <c:pt idx="2">
                  <c:v>202.68</c:v>
                </c:pt>
                <c:pt idx="3">
                  <c:v>128.35</c:v>
                </c:pt>
                <c:pt idx="4">
                  <c:v>130.93</c:v>
                </c:pt>
                <c:pt idx="5">
                  <c:v>69.198599999999999</c:v>
                </c:pt>
                <c:pt idx="6">
                  <c:v>54.368600000000001</c:v>
                </c:pt>
                <c:pt idx="7">
                  <c:v>18.464300000000001</c:v>
                </c:pt>
                <c:pt idx="8">
                  <c:v>43.675699999999999</c:v>
                </c:pt>
                <c:pt idx="9">
                  <c:v>29.414300000000001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77-D542-BFB9-E9CB799CA7B6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NFLX!$D$14:$D$23</c:f>
              <c:numCache>
                <c:formatCode>General</c:formatCode>
                <c:ptCount val="10"/>
                <c:pt idx="0">
                  <c:v>44.592920353982301</c:v>
                </c:pt>
                <c:pt idx="1">
                  <c:v>35.019955654101999</c:v>
                </c:pt>
                <c:pt idx="2">
                  <c:v>26.156599552572708</c:v>
                </c:pt>
                <c:pt idx="3">
                  <c:v>20.113895216400913</c:v>
                </c:pt>
                <c:pt idx="4">
                  <c:v>15.55045871559633</c:v>
                </c:pt>
                <c:pt idx="5">
                  <c:v>12.74074074074074</c:v>
                </c:pt>
                <c:pt idx="6">
                  <c:v>10.291764705882352</c:v>
                </c:pt>
                <c:pt idx="7">
                  <c:v>8.7597087378640772</c:v>
                </c:pt>
                <c:pt idx="8">
                  <c:v>8.4094488188976371</c:v>
                </c:pt>
                <c:pt idx="9">
                  <c:v>5.6921052631578943</c:v>
                </c:pt>
              </c:numCache>
            </c:numRef>
          </c:xVal>
          <c:yVal>
            <c:numRef>
              <c:f>NFLX!$C$49:$C$58</c:f>
              <c:numCache>
                <c:formatCode>General</c:formatCode>
                <c:ptCount val="10"/>
                <c:pt idx="0">
                  <c:v>429.52695735822795</c:v>
                </c:pt>
                <c:pt idx="1">
                  <c:v>325.35079415960945</c:v>
                </c:pt>
                <c:pt idx="2">
                  <c:v>228.89682606632564</c:v>
                </c:pt>
                <c:pt idx="3">
                  <c:v>163.13812196351995</c:v>
                </c:pt>
                <c:pt idx="4">
                  <c:v>113.47729895220192</c:v>
                </c:pt>
                <c:pt idx="5">
                  <c:v>82.901020080693314</c:v>
                </c:pt>
                <c:pt idx="6">
                  <c:v>56.250454130094639</c:v>
                </c:pt>
                <c:pt idx="7">
                  <c:v>39.578115146573168</c:v>
                </c:pt>
                <c:pt idx="8">
                  <c:v>35.76647104005734</c:v>
                </c:pt>
                <c:pt idx="9">
                  <c:v>6.195441102696627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77-D542-BFB9-E9CB799CA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00159"/>
        <c:axId val="455178927"/>
      </c:scatterChart>
      <c:valAx>
        <c:axId val="4574001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5178927"/>
        <c:crosses val="autoZero"/>
        <c:crossBetween val="midCat"/>
      </c:valAx>
      <c:valAx>
        <c:axId val="4551789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740015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NFLX!$G$49:$G$58</c:f>
              <c:numCache>
                <c:formatCode>General</c:formatCode>
                <c:ptCount val="1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</c:numCache>
            </c:numRef>
          </c:xVal>
          <c:yVal>
            <c:numRef>
              <c:f>NFLX!$H$49:$H$58</c:f>
              <c:numCache>
                <c:formatCode>General</c:formatCode>
                <c:ptCount val="10"/>
                <c:pt idx="0">
                  <c:v>18.464300000000001</c:v>
                </c:pt>
                <c:pt idx="1">
                  <c:v>29.414300000000001</c:v>
                </c:pt>
                <c:pt idx="2">
                  <c:v>43.675699999999999</c:v>
                </c:pt>
                <c:pt idx="3">
                  <c:v>54.368600000000001</c:v>
                </c:pt>
                <c:pt idx="4">
                  <c:v>69.198599999999999</c:v>
                </c:pt>
                <c:pt idx="5">
                  <c:v>128.35</c:v>
                </c:pt>
                <c:pt idx="6">
                  <c:v>130.93</c:v>
                </c:pt>
                <c:pt idx="7">
                  <c:v>202.68</c:v>
                </c:pt>
                <c:pt idx="8">
                  <c:v>385.03</c:v>
                </c:pt>
                <c:pt idx="9">
                  <c:v>418.97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57-8C40-B927-8D30D182D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459743"/>
        <c:axId val="459461375"/>
      </c:scatterChart>
      <c:valAx>
        <c:axId val="459459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9461375"/>
        <c:crosses val="autoZero"/>
        <c:crossBetween val="midCat"/>
      </c:valAx>
      <c:valAx>
        <c:axId val="4594613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94597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NFLX!$D$14:$D$23</c:f>
              <c:numCache>
                <c:formatCode>General</c:formatCode>
                <c:ptCount val="10"/>
                <c:pt idx="0">
                  <c:v>44.592920353982301</c:v>
                </c:pt>
                <c:pt idx="1">
                  <c:v>35.019955654101999</c:v>
                </c:pt>
                <c:pt idx="2">
                  <c:v>26.156599552572708</c:v>
                </c:pt>
                <c:pt idx="3">
                  <c:v>20.113895216400913</c:v>
                </c:pt>
                <c:pt idx="4">
                  <c:v>15.55045871559633</c:v>
                </c:pt>
                <c:pt idx="5">
                  <c:v>12.74074074074074</c:v>
                </c:pt>
                <c:pt idx="6">
                  <c:v>10.291764705882352</c:v>
                </c:pt>
                <c:pt idx="7">
                  <c:v>8.7597087378640772</c:v>
                </c:pt>
                <c:pt idx="8">
                  <c:v>8.4094488188976371</c:v>
                </c:pt>
                <c:pt idx="9">
                  <c:v>5.6921052631578943</c:v>
                </c:pt>
              </c:numCache>
            </c:numRef>
          </c:xVal>
          <c:yVal>
            <c:numRef>
              <c:f>NFLX!$D$87:$D$96</c:f>
              <c:numCache>
                <c:formatCode>General</c:formatCode>
                <c:ptCount val="10"/>
                <c:pt idx="0">
                  <c:v>-1.2588302009827146</c:v>
                </c:pt>
                <c:pt idx="1">
                  <c:v>10.563574151752675</c:v>
                </c:pt>
                <c:pt idx="2">
                  <c:v>-2.5176131538211877</c:v>
                </c:pt>
                <c:pt idx="3">
                  <c:v>-5.9717878011900893</c:v>
                </c:pt>
                <c:pt idx="4">
                  <c:v>-12.065934784547977</c:v>
                </c:pt>
                <c:pt idx="5">
                  <c:v>6.4524215330574251</c:v>
                </c:pt>
                <c:pt idx="6">
                  <c:v>-8.5743466694079604</c:v>
                </c:pt>
                <c:pt idx="7">
                  <c:v>-3.5755571676454254</c:v>
                </c:pt>
                <c:pt idx="8">
                  <c:v>0.2521199814594528</c:v>
                </c:pt>
                <c:pt idx="9">
                  <c:v>16.695954111325854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70-F843-A6CD-59311D3BC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815343"/>
        <c:axId val="459540015"/>
      </c:scatterChart>
      <c:valAx>
        <c:axId val="469815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9540015"/>
        <c:crosses val="autoZero"/>
        <c:crossBetween val="midCat"/>
      </c:valAx>
      <c:valAx>
        <c:axId val="4595400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98153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NFLX!$D$14:$D$23</c:f>
              <c:numCache>
                <c:formatCode>General</c:formatCode>
                <c:ptCount val="10"/>
                <c:pt idx="0">
                  <c:v>44.592920353982301</c:v>
                </c:pt>
                <c:pt idx="1">
                  <c:v>35.019955654101999</c:v>
                </c:pt>
                <c:pt idx="2">
                  <c:v>26.156599552572708</c:v>
                </c:pt>
                <c:pt idx="3">
                  <c:v>20.113895216400913</c:v>
                </c:pt>
                <c:pt idx="4">
                  <c:v>15.55045871559633</c:v>
                </c:pt>
                <c:pt idx="5">
                  <c:v>12.74074074074074</c:v>
                </c:pt>
                <c:pt idx="6">
                  <c:v>10.291764705882352</c:v>
                </c:pt>
                <c:pt idx="7">
                  <c:v>8.7597087378640772</c:v>
                </c:pt>
                <c:pt idx="8">
                  <c:v>8.4094488188976371</c:v>
                </c:pt>
                <c:pt idx="9">
                  <c:v>5.6921052631578943</c:v>
                </c:pt>
              </c:numCache>
            </c:numRef>
          </c:xVal>
          <c:yVal>
            <c:numRef>
              <c:f>NFLX!$F$14:$F$23</c:f>
              <c:numCache>
                <c:formatCode>General</c:formatCode>
                <c:ptCount val="10"/>
                <c:pt idx="0">
                  <c:v>254.59</c:v>
                </c:pt>
                <c:pt idx="1">
                  <c:v>201.07</c:v>
                </c:pt>
                <c:pt idx="2">
                  <c:v>127.49</c:v>
                </c:pt>
                <c:pt idx="3">
                  <c:v>82.79</c:v>
                </c:pt>
                <c:pt idx="4">
                  <c:v>45.5471</c:v>
                </c:pt>
                <c:pt idx="5">
                  <c:v>44.887099999999997</c:v>
                </c:pt>
                <c:pt idx="6">
                  <c:v>13.144299999999999</c:v>
                </c:pt>
                <c:pt idx="7">
                  <c:v>7.6856999999999998</c:v>
                </c:pt>
                <c:pt idx="8">
                  <c:v>9.1226000000000003</c:v>
                </c:pt>
                <c:pt idx="9">
                  <c:v>7.0186000000000002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3A-7C44-BB08-8655C4E1F0A7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NFLX!$D$14:$D$23</c:f>
              <c:numCache>
                <c:formatCode>General</c:formatCode>
                <c:ptCount val="10"/>
                <c:pt idx="0">
                  <c:v>44.592920353982301</c:v>
                </c:pt>
                <c:pt idx="1">
                  <c:v>35.019955654101999</c:v>
                </c:pt>
                <c:pt idx="2">
                  <c:v>26.156599552572708</c:v>
                </c:pt>
                <c:pt idx="3">
                  <c:v>20.113895216400913</c:v>
                </c:pt>
                <c:pt idx="4">
                  <c:v>15.55045871559633</c:v>
                </c:pt>
                <c:pt idx="5">
                  <c:v>12.74074074074074</c:v>
                </c:pt>
                <c:pt idx="6">
                  <c:v>10.291764705882352</c:v>
                </c:pt>
                <c:pt idx="7">
                  <c:v>8.7597087378640772</c:v>
                </c:pt>
                <c:pt idx="8">
                  <c:v>8.4094488188976371</c:v>
                </c:pt>
                <c:pt idx="9">
                  <c:v>5.6921052631578943</c:v>
                </c:pt>
              </c:numCache>
            </c:numRef>
          </c:xVal>
          <c:yVal>
            <c:numRef>
              <c:f>NFLX!$C$87:$C$96</c:f>
              <c:numCache>
                <c:formatCode>General</c:formatCode>
                <c:ptCount val="10"/>
                <c:pt idx="0">
                  <c:v>255.84883020098272</c:v>
                </c:pt>
                <c:pt idx="1">
                  <c:v>190.50642584824732</c:v>
                </c:pt>
                <c:pt idx="2">
                  <c:v>130.00761315382118</c:v>
                </c:pt>
                <c:pt idx="3">
                  <c:v>88.761787801190096</c:v>
                </c:pt>
                <c:pt idx="4">
                  <c:v>57.613034784547978</c:v>
                </c:pt>
                <c:pt idx="5">
                  <c:v>38.434678466942572</c:v>
                </c:pt>
                <c:pt idx="6">
                  <c:v>21.71864666940796</c:v>
                </c:pt>
                <c:pt idx="7">
                  <c:v>11.261257167645425</c:v>
                </c:pt>
                <c:pt idx="8">
                  <c:v>8.8704800185405475</c:v>
                </c:pt>
                <c:pt idx="9">
                  <c:v>-9.6773541113258545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3A-7C44-BB08-8655C4E1F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889647"/>
        <c:axId val="469893999"/>
      </c:scatterChart>
      <c:valAx>
        <c:axId val="469889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9893999"/>
        <c:crosses val="autoZero"/>
        <c:crossBetween val="midCat"/>
      </c:valAx>
      <c:valAx>
        <c:axId val="4698939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988964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'S&amp;P500'!$E$12:$E$18</c:f>
              <c:numCache>
                <c:formatCode>General</c:formatCode>
                <c:ptCount val="7"/>
                <c:pt idx="0">
                  <c:v>98.66</c:v>
                </c:pt>
                <c:pt idx="1">
                  <c:v>148.16999999999999</c:v>
                </c:pt>
                <c:pt idx="2">
                  <c:v>143.86000000000001</c:v>
                </c:pt>
                <c:pt idx="3">
                  <c:v>121.68</c:v>
                </c:pt>
                <c:pt idx="4">
                  <c:v>106.91</c:v>
                </c:pt>
                <c:pt idx="5">
                  <c:v>99.88</c:v>
                </c:pt>
                <c:pt idx="6">
                  <c:v>118.95</c:v>
                </c:pt>
              </c:numCache>
            </c:numRef>
          </c:xVal>
          <c:yVal>
            <c:numRef>
              <c:f>'S&amp;P500'!$F$12:$F$18</c:f>
              <c:numCache>
                <c:formatCode>General</c:formatCode>
                <c:ptCount val="7"/>
                <c:pt idx="0">
                  <c:v>3756.07</c:v>
                </c:pt>
                <c:pt idx="1">
                  <c:v>3240.02</c:v>
                </c:pt>
                <c:pt idx="2">
                  <c:v>2930.75</c:v>
                </c:pt>
                <c:pt idx="3">
                  <c:v>2690.16</c:v>
                </c:pt>
                <c:pt idx="4">
                  <c:v>2271.7199999999998</c:v>
                </c:pt>
                <c:pt idx="5">
                  <c:v>2130.8200000000002</c:v>
                </c:pt>
                <c:pt idx="6">
                  <c:v>2090.5700000000002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D6-5E49-9220-EB3CF604D158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'S&amp;P500'!$E$12:$E$18</c:f>
              <c:numCache>
                <c:formatCode>General</c:formatCode>
                <c:ptCount val="7"/>
                <c:pt idx="0">
                  <c:v>98.66</c:v>
                </c:pt>
                <c:pt idx="1">
                  <c:v>148.16999999999999</c:v>
                </c:pt>
                <c:pt idx="2">
                  <c:v>143.86000000000001</c:v>
                </c:pt>
                <c:pt idx="3">
                  <c:v>121.68</c:v>
                </c:pt>
                <c:pt idx="4">
                  <c:v>106.91</c:v>
                </c:pt>
                <c:pt idx="5">
                  <c:v>99.88</c:v>
                </c:pt>
                <c:pt idx="6">
                  <c:v>118.95</c:v>
                </c:pt>
              </c:numCache>
            </c:numRef>
          </c:xVal>
          <c:yVal>
            <c:numRef>
              <c:f>'S&amp;P500'!$B$44:$B$50</c:f>
              <c:numCache>
                <c:formatCode>General</c:formatCode>
                <c:ptCount val="7"/>
                <c:pt idx="0">
                  <c:v>46.544152941176463</c:v>
                </c:pt>
                <c:pt idx="1">
                  <c:v>46.840932284541722</c:v>
                </c:pt>
                <c:pt idx="2">
                  <c:v>45.357035567715457</c:v>
                </c:pt>
                <c:pt idx="3">
                  <c:v>37.343993296853618</c:v>
                </c:pt>
                <c:pt idx="4">
                  <c:v>34.079420519835843</c:v>
                </c:pt>
                <c:pt idx="5">
                  <c:v>24.879260875512998</c:v>
                </c:pt>
                <c:pt idx="6">
                  <c:v>14.195204514363887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D6-5E49-9220-EB3CF604D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026592"/>
        <c:axId val="1276028224"/>
      </c:scatterChart>
      <c:valAx>
        <c:axId val="1276026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6028224"/>
        <c:crosses val="autoZero"/>
        <c:crossBetween val="midCat"/>
      </c:valAx>
      <c:valAx>
        <c:axId val="1276028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60265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NFLX!$G$87:$G$96</c:f>
              <c:numCache>
                <c:formatCode>General</c:formatCode>
                <c:ptCount val="1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</c:numCache>
            </c:numRef>
          </c:xVal>
          <c:yVal>
            <c:numRef>
              <c:f>NFLX!$H$87:$H$96</c:f>
              <c:numCache>
                <c:formatCode>General</c:formatCode>
                <c:ptCount val="10"/>
                <c:pt idx="0">
                  <c:v>7.0186000000000002</c:v>
                </c:pt>
                <c:pt idx="1">
                  <c:v>7.6856999999999998</c:v>
                </c:pt>
                <c:pt idx="2">
                  <c:v>9.1226000000000003</c:v>
                </c:pt>
                <c:pt idx="3">
                  <c:v>13.144299999999999</c:v>
                </c:pt>
                <c:pt idx="4">
                  <c:v>44.887099999999997</c:v>
                </c:pt>
                <c:pt idx="5">
                  <c:v>45.5471</c:v>
                </c:pt>
                <c:pt idx="6">
                  <c:v>82.79</c:v>
                </c:pt>
                <c:pt idx="7">
                  <c:v>127.49</c:v>
                </c:pt>
                <c:pt idx="8">
                  <c:v>201.07</c:v>
                </c:pt>
                <c:pt idx="9">
                  <c:v>254.59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97-FE4C-8F5C-0CD6DCA73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710175"/>
        <c:axId val="412562351"/>
      </c:scatterChart>
      <c:valAx>
        <c:axId val="359710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2562351"/>
        <c:crosses val="autoZero"/>
        <c:crossBetween val="midCat"/>
      </c:valAx>
      <c:valAx>
        <c:axId val="4125623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97101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NOW!$H$14:$H$21</c:f>
              <c:numCache>
                <c:formatCode>General</c:formatCode>
                <c:ptCount val="8"/>
                <c:pt idx="0">
                  <c:v>6.2739695431472082</c:v>
                </c:pt>
                <c:pt idx="1">
                  <c:v>4.556679775280899</c:v>
                </c:pt>
                <c:pt idx="2">
                  <c:v>3.7598830409356729</c:v>
                </c:pt>
                <c:pt idx="3">
                  <c:v>0.96412727272727261</c:v>
                </c:pt>
                <c:pt idx="4">
                  <c:v>2.0368782051282048</c:v>
                </c:pt>
                <c:pt idx="5">
                  <c:v>0.97197931034482765</c:v>
                </c:pt>
                <c:pt idx="6">
                  <c:v>0.60552592592592591</c:v>
                </c:pt>
                <c:pt idx="7">
                  <c:v>0.65900000000000003</c:v>
                </c:pt>
              </c:numCache>
            </c:numRef>
          </c:xVal>
          <c:yVal>
            <c:numRef>
              <c:f>NOW!$C$48:$C$55</c:f>
              <c:numCache>
                <c:formatCode>General</c:formatCode>
                <c:ptCount val="8"/>
                <c:pt idx="0">
                  <c:v>27.365272982591591</c:v>
                </c:pt>
                <c:pt idx="1">
                  <c:v>-1.6743078719422613</c:v>
                </c:pt>
                <c:pt idx="2">
                  <c:v>-43.692982088690343</c:v>
                </c:pt>
                <c:pt idx="3">
                  <c:v>25.35534131953488</c:v>
                </c:pt>
                <c:pt idx="4">
                  <c:v>-15.473964124510729</c:v>
                </c:pt>
                <c:pt idx="5">
                  <c:v>7.9412651716486948</c:v>
                </c:pt>
                <c:pt idx="6">
                  <c:v>10.159150546627878</c:v>
                </c:pt>
                <c:pt idx="7">
                  <c:v>-9.9797759352597168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A5-8940-AA05-D12EF7F2A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850048"/>
        <c:axId val="228790048"/>
      </c:scatterChart>
      <c:valAx>
        <c:axId val="22985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8790048"/>
        <c:crosses val="autoZero"/>
        <c:crossBetween val="midCat"/>
      </c:valAx>
      <c:valAx>
        <c:axId val="228790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98500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NOW!$H$14:$H$21</c:f>
              <c:numCache>
                <c:formatCode>General</c:formatCode>
                <c:ptCount val="8"/>
                <c:pt idx="0">
                  <c:v>6.2739695431472082</c:v>
                </c:pt>
                <c:pt idx="1">
                  <c:v>4.556679775280899</c:v>
                </c:pt>
                <c:pt idx="2">
                  <c:v>3.7598830409356729</c:v>
                </c:pt>
                <c:pt idx="3">
                  <c:v>0.96412727272727261</c:v>
                </c:pt>
                <c:pt idx="4">
                  <c:v>2.0368782051282048</c:v>
                </c:pt>
                <c:pt idx="5">
                  <c:v>0.97197931034482765</c:v>
                </c:pt>
                <c:pt idx="6">
                  <c:v>0.60552592592592591</c:v>
                </c:pt>
                <c:pt idx="7">
                  <c:v>0.65900000000000003</c:v>
                </c:pt>
              </c:numCache>
            </c:numRef>
          </c:xVal>
          <c:yVal>
            <c:numRef>
              <c:f>NOW!$E$14:$E$21</c:f>
              <c:numCache>
                <c:formatCode>General</c:formatCode>
                <c:ptCount val="8"/>
                <c:pt idx="0">
                  <c:v>302.31</c:v>
                </c:pt>
                <c:pt idx="1">
                  <c:v>204.58</c:v>
                </c:pt>
                <c:pt idx="2">
                  <c:v>130.69</c:v>
                </c:pt>
                <c:pt idx="3">
                  <c:v>87.91</c:v>
                </c:pt>
                <c:pt idx="4">
                  <c:v>89.99</c:v>
                </c:pt>
                <c:pt idx="5">
                  <c:v>70.81</c:v>
                </c:pt>
                <c:pt idx="6">
                  <c:v>58.37</c:v>
                </c:pt>
                <c:pt idx="7">
                  <c:v>40.369999999999997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F8-3B41-8771-86A24D671242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NOW!$H$14:$H$21</c:f>
              <c:numCache>
                <c:formatCode>General</c:formatCode>
                <c:ptCount val="8"/>
                <c:pt idx="0">
                  <c:v>6.2739695431472082</c:v>
                </c:pt>
                <c:pt idx="1">
                  <c:v>4.556679775280899</c:v>
                </c:pt>
                <c:pt idx="2">
                  <c:v>3.7598830409356729</c:v>
                </c:pt>
                <c:pt idx="3">
                  <c:v>0.96412727272727261</c:v>
                </c:pt>
                <c:pt idx="4">
                  <c:v>2.0368782051282048</c:v>
                </c:pt>
                <c:pt idx="5">
                  <c:v>0.97197931034482765</c:v>
                </c:pt>
                <c:pt idx="6">
                  <c:v>0.60552592592592591</c:v>
                </c:pt>
                <c:pt idx="7">
                  <c:v>0.65900000000000003</c:v>
                </c:pt>
              </c:numCache>
            </c:numRef>
          </c:xVal>
          <c:yVal>
            <c:numRef>
              <c:f>NOW!$B$48:$B$55</c:f>
              <c:numCache>
                <c:formatCode>General</c:formatCode>
                <c:ptCount val="8"/>
                <c:pt idx="0">
                  <c:v>274.94472701740841</c:v>
                </c:pt>
                <c:pt idx="1">
                  <c:v>206.25430787194227</c:v>
                </c:pt>
                <c:pt idx="2">
                  <c:v>174.38298208869034</c:v>
                </c:pt>
                <c:pt idx="3">
                  <c:v>62.554658680465117</c:v>
                </c:pt>
                <c:pt idx="4">
                  <c:v>105.46396412451072</c:v>
                </c:pt>
                <c:pt idx="5">
                  <c:v>62.868734828351307</c:v>
                </c:pt>
                <c:pt idx="6">
                  <c:v>48.21084945337212</c:v>
                </c:pt>
                <c:pt idx="7">
                  <c:v>50.349775935259714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F8-3B41-8771-86A24D671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803648"/>
        <c:axId val="228805328"/>
      </c:scatterChart>
      <c:valAx>
        <c:axId val="228803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8805328"/>
        <c:crosses val="autoZero"/>
        <c:crossBetween val="midCat"/>
      </c:valAx>
      <c:valAx>
        <c:axId val="228805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88036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NOW!$H$14:$H$21</c:f>
              <c:numCache>
                <c:formatCode>General</c:formatCode>
                <c:ptCount val="8"/>
                <c:pt idx="0">
                  <c:v>6.2739695431472082</c:v>
                </c:pt>
                <c:pt idx="1">
                  <c:v>4.556679775280899</c:v>
                </c:pt>
                <c:pt idx="2">
                  <c:v>3.7598830409356729</c:v>
                </c:pt>
                <c:pt idx="3">
                  <c:v>0.96412727272727261</c:v>
                </c:pt>
                <c:pt idx="4">
                  <c:v>2.0368782051282048</c:v>
                </c:pt>
                <c:pt idx="5">
                  <c:v>0.97197931034482765</c:v>
                </c:pt>
                <c:pt idx="6">
                  <c:v>0.60552592592592591</c:v>
                </c:pt>
                <c:pt idx="7">
                  <c:v>0.65900000000000003</c:v>
                </c:pt>
              </c:numCache>
            </c:numRef>
          </c:xVal>
          <c:yVal>
            <c:numRef>
              <c:f>NOW!$C$82:$C$89</c:f>
              <c:numCache>
                <c:formatCode>General</c:formatCode>
                <c:ptCount val="8"/>
                <c:pt idx="0">
                  <c:v>6.9294063951589351</c:v>
                </c:pt>
                <c:pt idx="1">
                  <c:v>9.9221557418836426</c:v>
                </c:pt>
                <c:pt idx="2">
                  <c:v>-27.410853328897105</c:v>
                </c:pt>
                <c:pt idx="3">
                  <c:v>9.8124513450109703</c:v>
                </c:pt>
                <c:pt idx="4">
                  <c:v>1.0762881049906809</c:v>
                </c:pt>
                <c:pt idx="5">
                  <c:v>8.9078075691590044</c:v>
                </c:pt>
                <c:pt idx="6">
                  <c:v>-2.8248958934988373</c:v>
                </c:pt>
                <c:pt idx="7">
                  <c:v>-6.4123599338072843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A9-A346-A0AA-368B9574D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004512"/>
        <c:axId val="230006192"/>
      </c:scatterChart>
      <c:valAx>
        <c:axId val="230004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0006192"/>
        <c:crosses val="autoZero"/>
        <c:crossBetween val="midCat"/>
      </c:valAx>
      <c:valAx>
        <c:axId val="230006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00045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NOW!$H$14:$H$21</c:f>
              <c:numCache>
                <c:formatCode>General</c:formatCode>
                <c:ptCount val="8"/>
                <c:pt idx="0">
                  <c:v>6.2739695431472082</c:v>
                </c:pt>
                <c:pt idx="1">
                  <c:v>4.556679775280899</c:v>
                </c:pt>
                <c:pt idx="2">
                  <c:v>3.7598830409356729</c:v>
                </c:pt>
                <c:pt idx="3">
                  <c:v>0.96412727272727261</c:v>
                </c:pt>
                <c:pt idx="4">
                  <c:v>2.0368782051282048</c:v>
                </c:pt>
                <c:pt idx="5">
                  <c:v>0.97197931034482765</c:v>
                </c:pt>
                <c:pt idx="6">
                  <c:v>0.60552592592592591</c:v>
                </c:pt>
                <c:pt idx="7">
                  <c:v>0.65900000000000003</c:v>
                </c:pt>
              </c:numCache>
            </c:numRef>
          </c:xVal>
          <c:yVal>
            <c:numRef>
              <c:f>NOW!$F$14:$F$21</c:f>
              <c:numCache>
                <c:formatCode>General</c:formatCode>
                <c:ptCount val="8"/>
                <c:pt idx="0">
                  <c:v>169.12</c:v>
                </c:pt>
                <c:pt idx="1">
                  <c:v>131.72999999999999</c:v>
                </c:pt>
                <c:pt idx="2">
                  <c:v>75.66</c:v>
                </c:pt>
                <c:pt idx="3">
                  <c:v>47.14</c:v>
                </c:pt>
                <c:pt idx="4">
                  <c:v>63.63</c:v>
                </c:pt>
                <c:pt idx="5">
                  <c:v>46.42</c:v>
                </c:pt>
                <c:pt idx="6">
                  <c:v>26.07</c:v>
                </c:pt>
                <c:pt idx="7">
                  <c:v>23.74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DA-0340-AE65-60EF2E006E99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NOW!$H$14:$H$21</c:f>
              <c:numCache>
                <c:formatCode>General</c:formatCode>
                <c:ptCount val="8"/>
                <c:pt idx="0">
                  <c:v>6.2739695431472082</c:v>
                </c:pt>
                <c:pt idx="1">
                  <c:v>4.556679775280899</c:v>
                </c:pt>
                <c:pt idx="2">
                  <c:v>3.7598830409356729</c:v>
                </c:pt>
                <c:pt idx="3">
                  <c:v>0.96412727272727261</c:v>
                </c:pt>
                <c:pt idx="4">
                  <c:v>2.0368782051282048</c:v>
                </c:pt>
                <c:pt idx="5">
                  <c:v>0.97197931034482765</c:v>
                </c:pt>
                <c:pt idx="6">
                  <c:v>0.60552592592592591</c:v>
                </c:pt>
                <c:pt idx="7">
                  <c:v>0.65900000000000003</c:v>
                </c:pt>
              </c:numCache>
            </c:numRef>
          </c:xVal>
          <c:yVal>
            <c:numRef>
              <c:f>NOW!$B$82:$B$89</c:f>
              <c:numCache>
                <c:formatCode>General</c:formatCode>
                <c:ptCount val="8"/>
                <c:pt idx="0">
                  <c:v>162.19059360484107</c:v>
                </c:pt>
                <c:pt idx="1">
                  <c:v>121.80784425811635</c:v>
                </c:pt>
                <c:pt idx="2">
                  <c:v>103.0708533288971</c:v>
                </c:pt>
                <c:pt idx="3">
                  <c:v>37.32754865498903</c:v>
                </c:pt>
                <c:pt idx="4">
                  <c:v>62.553711895009322</c:v>
                </c:pt>
                <c:pt idx="5">
                  <c:v>37.512192430840997</c:v>
                </c:pt>
                <c:pt idx="6">
                  <c:v>28.894895893498838</c:v>
                </c:pt>
                <c:pt idx="7">
                  <c:v>30.152359933807283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DA-0340-AE65-60EF2E006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009712"/>
        <c:axId val="230011344"/>
      </c:scatterChart>
      <c:valAx>
        <c:axId val="230009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0011344"/>
        <c:crosses val="autoZero"/>
        <c:crossBetween val="midCat"/>
      </c:valAx>
      <c:valAx>
        <c:axId val="230011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000971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DXCM!$D$13:$D$18</c:f>
              <c:numCache>
                <c:formatCode>General</c:formatCode>
                <c:ptCount val="6"/>
                <c:pt idx="0">
                  <c:v>3.4184782608695654</c:v>
                </c:pt>
                <c:pt idx="1">
                  <c:v>1.4000000000000001</c:v>
                </c:pt>
                <c:pt idx="2">
                  <c:v>1.069767441860465</c:v>
                </c:pt>
                <c:pt idx="3">
                  <c:v>0.66904761904761911</c:v>
                </c:pt>
                <c:pt idx="4">
                  <c:v>0.61250000000000004</c:v>
                </c:pt>
                <c:pt idx="5">
                  <c:v>0.31466666666666671</c:v>
                </c:pt>
              </c:numCache>
            </c:numRef>
          </c:xVal>
          <c:yVal>
            <c:numRef>
              <c:f>DXCM!$C$44:$C$49</c:f>
              <c:numCache>
                <c:formatCode>General</c:formatCode>
                <c:ptCount val="6"/>
                <c:pt idx="0">
                  <c:v>-3.447081904911812</c:v>
                </c:pt>
                <c:pt idx="1">
                  <c:v>21.522495331822583</c:v>
                </c:pt>
                <c:pt idx="2">
                  <c:v>-25.31979634867362</c:v>
                </c:pt>
                <c:pt idx="3">
                  <c:v>5.7737759364117238</c:v>
                </c:pt>
                <c:pt idx="4">
                  <c:v>14.816651878949159</c:v>
                </c:pt>
                <c:pt idx="5">
                  <c:v>-13.346044893597892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8B-4541-AA38-1775FF2BC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10096"/>
        <c:axId val="203652160"/>
      </c:scatterChart>
      <c:valAx>
        <c:axId val="203210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652160"/>
        <c:crosses val="autoZero"/>
        <c:crossBetween val="midCat"/>
      </c:valAx>
      <c:valAx>
        <c:axId val="203652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2100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DXCM!$D$13:$D$18</c:f>
              <c:numCache>
                <c:formatCode>General</c:formatCode>
                <c:ptCount val="6"/>
                <c:pt idx="0">
                  <c:v>3.4184782608695654</c:v>
                </c:pt>
                <c:pt idx="1">
                  <c:v>1.4000000000000001</c:v>
                </c:pt>
                <c:pt idx="2">
                  <c:v>1.069767441860465</c:v>
                </c:pt>
                <c:pt idx="3">
                  <c:v>0.66904761904761911</c:v>
                </c:pt>
                <c:pt idx="4">
                  <c:v>0.61250000000000004</c:v>
                </c:pt>
                <c:pt idx="5">
                  <c:v>0.31466666666666671</c:v>
                </c:pt>
              </c:numCache>
            </c:numRef>
          </c:xVal>
          <c:yVal>
            <c:numRef>
              <c:f>DXCM!$E$13:$E$18</c:f>
              <c:numCache>
                <c:formatCode>General</c:formatCode>
                <c:ptCount val="6"/>
                <c:pt idx="0">
                  <c:v>229.18</c:v>
                </c:pt>
                <c:pt idx="1">
                  <c:v>149.46</c:v>
                </c:pt>
                <c:pt idx="2">
                  <c:v>85.49</c:v>
                </c:pt>
                <c:pt idx="3">
                  <c:v>95.8</c:v>
                </c:pt>
                <c:pt idx="4">
                  <c:v>101.91</c:v>
                </c:pt>
                <c:pt idx="5">
                  <c:v>58.3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D4-D643-BD0F-05B6F330E946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DXCM!$D$13:$D$18</c:f>
              <c:numCache>
                <c:formatCode>General</c:formatCode>
                <c:ptCount val="6"/>
                <c:pt idx="0">
                  <c:v>3.4184782608695654</c:v>
                </c:pt>
                <c:pt idx="1">
                  <c:v>1.4000000000000001</c:v>
                </c:pt>
                <c:pt idx="2">
                  <c:v>1.069767441860465</c:v>
                </c:pt>
                <c:pt idx="3">
                  <c:v>0.66904761904761911</c:v>
                </c:pt>
                <c:pt idx="4">
                  <c:v>0.61250000000000004</c:v>
                </c:pt>
                <c:pt idx="5">
                  <c:v>0.31466666666666671</c:v>
                </c:pt>
              </c:numCache>
            </c:numRef>
          </c:xVal>
          <c:yVal>
            <c:numRef>
              <c:f>DXCM!$B$44:$B$49</c:f>
              <c:numCache>
                <c:formatCode>General</c:formatCode>
                <c:ptCount val="6"/>
                <c:pt idx="0">
                  <c:v>232.62708190491182</c:v>
                </c:pt>
                <c:pt idx="1">
                  <c:v>127.93750466817743</c:v>
                </c:pt>
                <c:pt idx="2">
                  <c:v>110.80979634867361</c:v>
                </c:pt>
                <c:pt idx="3">
                  <c:v>90.026224063588273</c:v>
                </c:pt>
                <c:pt idx="4">
                  <c:v>87.093348121050838</c:v>
                </c:pt>
                <c:pt idx="5">
                  <c:v>71.646044893597889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D4-D643-BD0F-05B6F330E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15040"/>
        <c:axId val="202316672"/>
      </c:scatterChart>
      <c:valAx>
        <c:axId val="202315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316672"/>
        <c:crosses val="autoZero"/>
        <c:crossBetween val="midCat"/>
      </c:valAx>
      <c:valAx>
        <c:axId val="202316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3150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DXCM!$D$13:$D$18</c:f>
              <c:numCache>
                <c:formatCode>General</c:formatCode>
                <c:ptCount val="6"/>
                <c:pt idx="0">
                  <c:v>3.4184782608695654</c:v>
                </c:pt>
                <c:pt idx="1">
                  <c:v>1.4000000000000001</c:v>
                </c:pt>
                <c:pt idx="2">
                  <c:v>1.069767441860465</c:v>
                </c:pt>
                <c:pt idx="3">
                  <c:v>0.66904761904761911</c:v>
                </c:pt>
                <c:pt idx="4">
                  <c:v>0.61250000000000004</c:v>
                </c:pt>
                <c:pt idx="5">
                  <c:v>0.31466666666666671</c:v>
                </c:pt>
              </c:numCache>
            </c:numRef>
          </c:xVal>
          <c:yVal>
            <c:numRef>
              <c:f>DXCM!$C$77:$C$82</c:f>
              <c:numCache>
                <c:formatCode>General</c:formatCode>
                <c:ptCount val="6"/>
                <c:pt idx="0">
                  <c:v>2.1734373257037873</c:v>
                </c:pt>
                <c:pt idx="1">
                  <c:v>-6.6875332149374458</c:v>
                </c:pt>
                <c:pt idx="2">
                  <c:v>-7.8893301760642487</c:v>
                </c:pt>
                <c:pt idx="3">
                  <c:v>9.0251073477998105</c:v>
                </c:pt>
                <c:pt idx="4">
                  <c:v>10.983243221952939</c:v>
                </c:pt>
                <c:pt idx="5">
                  <c:v>-7.6049245044548712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D6-3449-BBAE-778D336D5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04784"/>
        <c:axId val="201824128"/>
      </c:scatterChart>
      <c:valAx>
        <c:axId val="156604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824128"/>
        <c:crosses val="autoZero"/>
        <c:crossBetween val="midCat"/>
      </c:valAx>
      <c:valAx>
        <c:axId val="201824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6047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DXCM!$D$13:$D$18</c:f>
              <c:numCache>
                <c:formatCode>General</c:formatCode>
                <c:ptCount val="6"/>
                <c:pt idx="0">
                  <c:v>3.4184782608695654</c:v>
                </c:pt>
                <c:pt idx="1">
                  <c:v>1.4000000000000001</c:v>
                </c:pt>
                <c:pt idx="2">
                  <c:v>1.069767441860465</c:v>
                </c:pt>
                <c:pt idx="3">
                  <c:v>0.66904761904761911</c:v>
                </c:pt>
                <c:pt idx="4">
                  <c:v>0.61250000000000004</c:v>
                </c:pt>
                <c:pt idx="5">
                  <c:v>0.31466666666666671</c:v>
                </c:pt>
              </c:numCache>
            </c:numRef>
          </c:xVal>
          <c:yVal>
            <c:numRef>
              <c:f>DXCM!$F$13:$F$18</c:f>
              <c:numCache>
                <c:formatCode>General</c:formatCode>
                <c:ptCount val="6"/>
                <c:pt idx="0">
                  <c:v>101.38</c:v>
                </c:pt>
                <c:pt idx="1">
                  <c:v>52.25</c:v>
                </c:pt>
                <c:pt idx="2">
                  <c:v>44.46</c:v>
                </c:pt>
                <c:pt idx="3">
                  <c:v>53.38</c:v>
                </c:pt>
                <c:pt idx="4">
                  <c:v>54.21</c:v>
                </c:pt>
                <c:pt idx="5">
                  <c:v>29.68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FA-934F-8525-7E7C64528DC3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DXCM!$D$13:$D$18</c:f>
              <c:numCache>
                <c:formatCode>General</c:formatCode>
                <c:ptCount val="6"/>
                <c:pt idx="0">
                  <c:v>3.4184782608695654</c:v>
                </c:pt>
                <c:pt idx="1">
                  <c:v>1.4000000000000001</c:v>
                </c:pt>
                <c:pt idx="2">
                  <c:v>1.069767441860465</c:v>
                </c:pt>
                <c:pt idx="3">
                  <c:v>0.66904761904761911</c:v>
                </c:pt>
                <c:pt idx="4">
                  <c:v>0.61250000000000004</c:v>
                </c:pt>
                <c:pt idx="5">
                  <c:v>0.31466666666666671</c:v>
                </c:pt>
              </c:numCache>
            </c:numRef>
          </c:xVal>
          <c:yVal>
            <c:numRef>
              <c:f>DXCM!$B$77:$B$82</c:f>
              <c:numCache>
                <c:formatCode>General</c:formatCode>
                <c:ptCount val="6"/>
                <c:pt idx="0">
                  <c:v>99.206562674296208</c:v>
                </c:pt>
                <c:pt idx="1">
                  <c:v>58.937533214937446</c:v>
                </c:pt>
                <c:pt idx="2">
                  <c:v>52.34933017606425</c:v>
                </c:pt>
                <c:pt idx="3">
                  <c:v>44.354892652200192</c:v>
                </c:pt>
                <c:pt idx="4">
                  <c:v>43.226756778047061</c:v>
                </c:pt>
                <c:pt idx="5">
                  <c:v>37.284924504454871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FA-934F-8525-7E7C64528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62000"/>
        <c:axId val="202233104"/>
      </c:scatterChart>
      <c:valAx>
        <c:axId val="201862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233104"/>
        <c:crosses val="autoZero"/>
        <c:crossBetween val="midCat"/>
      </c:valAx>
      <c:valAx>
        <c:axId val="202233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86200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VEEV!$H$14:$H$20</c:f>
              <c:numCache>
                <c:formatCode>General</c:formatCode>
                <c:ptCount val="7"/>
                <c:pt idx="0">
                  <c:v>2.7681962025316458</c:v>
                </c:pt>
                <c:pt idx="1">
                  <c:v>1.9924807692307691</c:v>
                </c:pt>
                <c:pt idx="2">
                  <c:v>1.5158311688311688</c:v>
                </c:pt>
                <c:pt idx="3">
                  <c:v>0.97304729729729722</c:v>
                </c:pt>
                <c:pt idx="4">
                  <c:v>0.55278620689655167</c:v>
                </c:pt>
                <c:pt idx="5">
                  <c:v>0.46926388888888887</c:v>
                </c:pt>
                <c:pt idx="6">
                  <c:v>0.61401470588235296</c:v>
                </c:pt>
              </c:numCache>
            </c:numRef>
          </c:xVal>
          <c:yVal>
            <c:numRef>
              <c:f>VEEV!$C$46:$C$52</c:f>
              <c:numCache>
                <c:formatCode>General</c:formatCode>
                <c:ptCount val="7"/>
                <c:pt idx="0">
                  <c:v>15.288128947189279</c:v>
                </c:pt>
                <c:pt idx="1">
                  <c:v>-6.6052601845129573</c:v>
                </c:pt>
                <c:pt idx="2">
                  <c:v>-21.074031018265444</c:v>
                </c:pt>
                <c:pt idx="3">
                  <c:v>-9.1259561222242098</c:v>
                </c:pt>
                <c:pt idx="4">
                  <c:v>0.52236373849197548</c:v>
                </c:pt>
                <c:pt idx="5">
                  <c:v>10.465365154069119</c:v>
                </c:pt>
                <c:pt idx="6">
                  <c:v>10.529389485252352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09-5F4A-8D5B-2B7B5DBA9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871152"/>
        <c:axId val="204068272"/>
      </c:scatterChart>
      <c:valAx>
        <c:axId val="23287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068272"/>
        <c:crosses val="autoZero"/>
        <c:crossBetween val="midCat"/>
      </c:valAx>
      <c:valAx>
        <c:axId val="204068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28711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'S&amp;P500'!$E$12:$E$18</c:f>
              <c:numCache>
                <c:formatCode>General</c:formatCode>
                <c:ptCount val="7"/>
                <c:pt idx="0">
                  <c:v>98.66</c:v>
                </c:pt>
                <c:pt idx="1">
                  <c:v>148.16999999999999</c:v>
                </c:pt>
                <c:pt idx="2">
                  <c:v>143.86000000000001</c:v>
                </c:pt>
                <c:pt idx="3">
                  <c:v>121.68</c:v>
                </c:pt>
                <c:pt idx="4">
                  <c:v>106.91</c:v>
                </c:pt>
                <c:pt idx="5">
                  <c:v>99.88</c:v>
                </c:pt>
                <c:pt idx="6">
                  <c:v>118.95</c:v>
                </c:pt>
              </c:numCache>
            </c:numRef>
          </c:xVal>
          <c:yVal>
            <c:numRef>
              <c:f>'S&amp;P500'!$D$78:$D$84</c:f>
              <c:numCache>
                <c:formatCode>General</c:formatCode>
                <c:ptCount val="7"/>
                <c:pt idx="0">
                  <c:v>3.4641411764705978</c:v>
                </c:pt>
                <c:pt idx="1">
                  <c:v>4.216307797537624</c:v>
                </c:pt>
                <c:pt idx="2">
                  <c:v>-0.89452530779753658</c:v>
                </c:pt>
                <c:pt idx="3">
                  <c:v>-4.9030240766073838</c:v>
                </c:pt>
                <c:pt idx="4">
                  <c:v>-4.6668569083447302</c:v>
                </c:pt>
                <c:pt idx="5">
                  <c:v>-1.45402216142271</c:v>
                </c:pt>
                <c:pt idx="6">
                  <c:v>4.2379794801641566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E-2A4D-92DA-B02942A9C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075648"/>
        <c:axId val="1281077280"/>
      </c:scatterChart>
      <c:valAx>
        <c:axId val="128107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1077280"/>
        <c:crosses val="autoZero"/>
        <c:crossBetween val="midCat"/>
      </c:valAx>
      <c:valAx>
        <c:axId val="1281077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10756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VEEV!$H$14:$H$20</c:f>
              <c:numCache>
                <c:formatCode>General</c:formatCode>
                <c:ptCount val="7"/>
                <c:pt idx="0">
                  <c:v>2.7681962025316458</c:v>
                </c:pt>
                <c:pt idx="1">
                  <c:v>1.9924807692307691</c:v>
                </c:pt>
                <c:pt idx="2">
                  <c:v>1.5158311688311688</c:v>
                </c:pt>
                <c:pt idx="3">
                  <c:v>0.97304729729729722</c:v>
                </c:pt>
                <c:pt idx="4">
                  <c:v>0.55278620689655167</c:v>
                </c:pt>
                <c:pt idx="5">
                  <c:v>0.46926388888888887</c:v>
                </c:pt>
                <c:pt idx="6">
                  <c:v>0.61401470588235296</c:v>
                </c:pt>
              </c:numCache>
            </c:numRef>
          </c:xVal>
          <c:yVal>
            <c:numRef>
              <c:f>VEEV!$E$14:$E$20</c:f>
              <c:numCache>
                <c:formatCode>General</c:formatCode>
                <c:ptCount val="7"/>
                <c:pt idx="0">
                  <c:v>175.65</c:v>
                </c:pt>
                <c:pt idx="1">
                  <c:v>108.87</c:v>
                </c:pt>
                <c:pt idx="2">
                  <c:v>66.819999999999993</c:v>
                </c:pt>
                <c:pt idx="3">
                  <c:v>47.36</c:v>
                </c:pt>
                <c:pt idx="4">
                  <c:v>32.69</c:v>
                </c:pt>
                <c:pt idx="5">
                  <c:v>37.799999999999997</c:v>
                </c:pt>
                <c:pt idx="6">
                  <c:v>46.24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81-004B-9842-4306324C93E1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VEEV!$H$14:$H$20</c:f>
              <c:numCache>
                <c:formatCode>General</c:formatCode>
                <c:ptCount val="7"/>
                <c:pt idx="0">
                  <c:v>2.7681962025316458</c:v>
                </c:pt>
                <c:pt idx="1">
                  <c:v>1.9924807692307691</c:v>
                </c:pt>
                <c:pt idx="2">
                  <c:v>1.5158311688311688</c:v>
                </c:pt>
                <c:pt idx="3">
                  <c:v>0.97304729729729722</c:v>
                </c:pt>
                <c:pt idx="4">
                  <c:v>0.55278620689655167</c:v>
                </c:pt>
                <c:pt idx="5">
                  <c:v>0.46926388888888887</c:v>
                </c:pt>
                <c:pt idx="6">
                  <c:v>0.61401470588235296</c:v>
                </c:pt>
              </c:numCache>
            </c:numRef>
          </c:xVal>
          <c:yVal>
            <c:numRef>
              <c:f>VEEV!$B$46:$B$52</c:f>
              <c:numCache>
                <c:formatCode>General</c:formatCode>
                <c:ptCount val="7"/>
                <c:pt idx="0">
                  <c:v>160.36187105281073</c:v>
                </c:pt>
                <c:pt idx="1">
                  <c:v>115.47526018451296</c:v>
                </c:pt>
                <c:pt idx="2">
                  <c:v>87.894031018265437</c:v>
                </c:pt>
                <c:pt idx="3">
                  <c:v>56.485956122224209</c:v>
                </c:pt>
                <c:pt idx="4">
                  <c:v>32.167636261508022</c:v>
                </c:pt>
                <c:pt idx="5">
                  <c:v>27.334634845930879</c:v>
                </c:pt>
                <c:pt idx="6">
                  <c:v>35.71061051474765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81-004B-9842-4306324C9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835664"/>
        <c:axId val="204864768"/>
      </c:scatterChart>
      <c:valAx>
        <c:axId val="230835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864768"/>
        <c:crosses val="autoZero"/>
        <c:crossBetween val="midCat"/>
      </c:valAx>
      <c:valAx>
        <c:axId val="204864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08356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VEEV!$H$14:$H$20</c:f>
              <c:numCache>
                <c:formatCode>General</c:formatCode>
                <c:ptCount val="7"/>
                <c:pt idx="0">
                  <c:v>2.7681962025316458</c:v>
                </c:pt>
                <c:pt idx="1">
                  <c:v>1.9924807692307691</c:v>
                </c:pt>
                <c:pt idx="2">
                  <c:v>1.5158311688311688</c:v>
                </c:pt>
                <c:pt idx="3">
                  <c:v>0.97304729729729722</c:v>
                </c:pt>
                <c:pt idx="4">
                  <c:v>0.55278620689655167</c:v>
                </c:pt>
                <c:pt idx="5">
                  <c:v>0.46926388888888887</c:v>
                </c:pt>
                <c:pt idx="6">
                  <c:v>0.61401470588235296</c:v>
                </c:pt>
              </c:numCache>
            </c:numRef>
          </c:xVal>
          <c:yVal>
            <c:numRef>
              <c:f>VEEV!$C$80:$C$86</c:f>
              <c:numCache>
                <c:formatCode>General</c:formatCode>
                <c:ptCount val="7"/>
                <c:pt idx="0">
                  <c:v>6.1395351538915435</c:v>
                </c:pt>
                <c:pt idx="1">
                  <c:v>-3.9115803935236997</c:v>
                </c:pt>
                <c:pt idx="2">
                  <c:v>-4.2734541978745639</c:v>
                </c:pt>
                <c:pt idx="3">
                  <c:v>-10.655973265288441</c:v>
                </c:pt>
                <c:pt idx="4">
                  <c:v>2.6805887929856524</c:v>
                </c:pt>
                <c:pt idx="5">
                  <c:v>-7.0115479689878413E-2</c:v>
                </c:pt>
                <c:pt idx="6">
                  <c:v>10.090999389499387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D6-0C46-88BF-3653FFF05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610032"/>
        <c:axId val="207796768"/>
      </c:scatterChart>
      <c:valAx>
        <c:axId val="25261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796768"/>
        <c:crosses val="autoZero"/>
        <c:crossBetween val="midCat"/>
      </c:valAx>
      <c:valAx>
        <c:axId val="207796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26100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VEEV!$H$14:$H$20</c:f>
              <c:numCache>
                <c:formatCode>General</c:formatCode>
                <c:ptCount val="7"/>
                <c:pt idx="0">
                  <c:v>2.7681962025316458</c:v>
                </c:pt>
                <c:pt idx="1">
                  <c:v>1.9924807692307691</c:v>
                </c:pt>
                <c:pt idx="2">
                  <c:v>1.5158311688311688</c:v>
                </c:pt>
                <c:pt idx="3">
                  <c:v>0.97304729729729722</c:v>
                </c:pt>
                <c:pt idx="4">
                  <c:v>0.55278620689655167</c:v>
                </c:pt>
                <c:pt idx="5">
                  <c:v>0.46926388888888887</c:v>
                </c:pt>
                <c:pt idx="6">
                  <c:v>0.61401470588235296</c:v>
                </c:pt>
              </c:numCache>
            </c:numRef>
          </c:xVal>
          <c:yVal>
            <c:numRef>
              <c:f>VEEV!$F$14:$F$20</c:f>
              <c:numCache>
                <c:formatCode>General</c:formatCode>
                <c:ptCount val="7"/>
                <c:pt idx="0">
                  <c:v>84.89</c:v>
                </c:pt>
                <c:pt idx="1">
                  <c:v>54.32</c:v>
                </c:pt>
                <c:pt idx="2">
                  <c:v>41.35</c:v>
                </c:pt>
                <c:pt idx="3">
                  <c:v>20.61</c:v>
                </c:pt>
                <c:pt idx="4">
                  <c:v>22.83</c:v>
                </c:pt>
                <c:pt idx="5">
                  <c:v>17.87</c:v>
                </c:pt>
                <c:pt idx="6">
                  <c:v>31.86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0E-6842-9213-B8C90C82C038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VEEV!$H$14:$H$20</c:f>
              <c:numCache>
                <c:formatCode>General</c:formatCode>
                <c:ptCount val="7"/>
                <c:pt idx="0">
                  <c:v>2.7681962025316458</c:v>
                </c:pt>
                <c:pt idx="1">
                  <c:v>1.9924807692307691</c:v>
                </c:pt>
                <c:pt idx="2">
                  <c:v>1.5158311688311688</c:v>
                </c:pt>
                <c:pt idx="3">
                  <c:v>0.97304729729729722</c:v>
                </c:pt>
                <c:pt idx="4">
                  <c:v>0.55278620689655167</c:v>
                </c:pt>
                <c:pt idx="5">
                  <c:v>0.46926388888888887</c:v>
                </c:pt>
                <c:pt idx="6">
                  <c:v>0.61401470588235296</c:v>
                </c:pt>
              </c:numCache>
            </c:numRef>
          </c:xVal>
          <c:yVal>
            <c:numRef>
              <c:f>VEEV!$B$80:$B$86</c:f>
              <c:numCache>
                <c:formatCode>General</c:formatCode>
                <c:ptCount val="7"/>
                <c:pt idx="0">
                  <c:v>78.750464846108457</c:v>
                </c:pt>
                <c:pt idx="1">
                  <c:v>58.2315803935237</c:v>
                </c:pt>
                <c:pt idx="2">
                  <c:v>45.623454197874565</c:v>
                </c:pt>
                <c:pt idx="3">
                  <c:v>31.265973265288441</c:v>
                </c:pt>
                <c:pt idx="4">
                  <c:v>20.149411207014346</c:v>
                </c:pt>
                <c:pt idx="5">
                  <c:v>17.940115479689879</c:v>
                </c:pt>
                <c:pt idx="6">
                  <c:v>21.769000610500612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0E-6842-9213-B8C90C82C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564288"/>
        <c:axId val="228515008"/>
      </c:scatterChart>
      <c:valAx>
        <c:axId val="25256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8515008"/>
        <c:crosses val="autoZero"/>
        <c:crossBetween val="midCat"/>
      </c:valAx>
      <c:valAx>
        <c:axId val="228515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25642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GOOGL!$H$14:$H$23</c:f>
              <c:numCache>
                <c:formatCode>General</c:formatCode>
                <c:ptCount val="10"/>
                <c:pt idx="0">
                  <c:v>77.268724832214758</c:v>
                </c:pt>
                <c:pt idx="1">
                  <c:v>63.961333333333336</c:v>
                </c:pt>
                <c:pt idx="2">
                  <c:v>49.388814913448734</c:v>
                </c:pt>
                <c:pt idx="3">
                  <c:v>48.176470588235297</c:v>
                </c:pt>
                <c:pt idx="4">
                  <c:v>35.667114093959732</c:v>
                </c:pt>
                <c:pt idx="5">
                  <c:v>31.029649595687331</c:v>
                </c:pt>
                <c:pt idx="6">
                  <c:v>25.317503392130259</c:v>
                </c:pt>
                <c:pt idx="7">
                  <c:v>24.990977443609022</c:v>
                </c:pt>
                <c:pt idx="8">
                  <c:v>22.270642201834864</c:v>
                </c:pt>
                <c:pt idx="9">
                  <c:v>17.126738794435859</c:v>
                </c:pt>
              </c:numCache>
            </c:numRef>
          </c:xVal>
          <c:yVal>
            <c:numRef>
              <c:f>GOOGL!$C$50:$C$59</c:f>
              <c:numCache>
                <c:formatCode>General</c:formatCode>
                <c:ptCount val="10"/>
                <c:pt idx="0">
                  <c:v>-99.342857511053353</c:v>
                </c:pt>
                <c:pt idx="1">
                  <c:v>61.131619125789939</c:v>
                </c:pt>
                <c:pt idx="2">
                  <c:v>141.23410361011588</c:v>
                </c:pt>
                <c:pt idx="3">
                  <c:v>-97.655776200431092</c:v>
                </c:pt>
                <c:pt idx="4">
                  <c:v>102.14135450625611</c:v>
                </c:pt>
                <c:pt idx="5">
                  <c:v>21.985492508273637</c:v>
                </c:pt>
                <c:pt idx="6">
                  <c:v>76.237153625017243</c:v>
                </c:pt>
                <c:pt idx="7">
                  <c:v>-90.259671123170961</c:v>
                </c:pt>
                <c:pt idx="8">
                  <c:v>-102.40004886128435</c:v>
                </c:pt>
                <c:pt idx="9">
                  <c:v>-13.07136967951277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37-5749-B028-8E901D7D2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321567"/>
        <c:axId val="366597055"/>
      </c:scatterChart>
      <c:valAx>
        <c:axId val="3623215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6597055"/>
        <c:crosses val="autoZero"/>
        <c:crossBetween val="midCat"/>
      </c:valAx>
      <c:valAx>
        <c:axId val="3665970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23215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GOOGL!$H$14:$H$23</c:f>
              <c:numCache>
                <c:formatCode>General</c:formatCode>
                <c:ptCount val="10"/>
                <c:pt idx="0">
                  <c:v>77.268724832214758</c:v>
                </c:pt>
                <c:pt idx="1">
                  <c:v>63.961333333333336</c:v>
                </c:pt>
                <c:pt idx="2">
                  <c:v>49.388814913448734</c:v>
                </c:pt>
                <c:pt idx="3">
                  <c:v>48.176470588235297</c:v>
                </c:pt>
                <c:pt idx="4">
                  <c:v>35.667114093959732</c:v>
                </c:pt>
                <c:pt idx="5">
                  <c:v>31.029649595687331</c:v>
                </c:pt>
                <c:pt idx="6">
                  <c:v>25.317503392130259</c:v>
                </c:pt>
                <c:pt idx="7">
                  <c:v>24.990977443609022</c:v>
                </c:pt>
                <c:pt idx="8">
                  <c:v>22.270642201834864</c:v>
                </c:pt>
                <c:pt idx="9">
                  <c:v>17.126738794435859</c:v>
                </c:pt>
              </c:numCache>
            </c:numRef>
          </c:xVal>
          <c:yVal>
            <c:numRef>
              <c:f>GOOGL!$E$14:$E$23</c:f>
              <c:numCache>
                <c:formatCode>General</c:formatCode>
                <c:ptCount val="10"/>
                <c:pt idx="0">
                  <c:v>1365</c:v>
                </c:pt>
                <c:pt idx="1">
                  <c:v>1273.8900000000001</c:v>
                </c:pt>
                <c:pt idx="2">
                  <c:v>1078.49</c:v>
                </c:pt>
                <c:pt idx="3">
                  <c:v>816.68</c:v>
                </c:pt>
                <c:pt idx="4">
                  <c:v>779.98</c:v>
                </c:pt>
                <c:pt idx="5">
                  <c:v>612.15</c:v>
                </c:pt>
                <c:pt idx="6">
                  <c:v>558.41</c:v>
                </c:pt>
                <c:pt idx="7">
                  <c:v>385.74</c:v>
                </c:pt>
                <c:pt idx="8">
                  <c:v>322.17</c:v>
                </c:pt>
                <c:pt idx="9">
                  <c:v>314.25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0D-0C47-85EE-6D8D0C72E289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GOOGL!$H$14:$H$23</c:f>
              <c:numCache>
                <c:formatCode>General</c:formatCode>
                <c:ptCount val="10"/>
                <c:pt idx="0">
                  <c:v>77.268724832214758</c:v>
                </c:pt>
                <c:pt idx="1">
                  <c:v>63.961333333333336</c:v>
                </c:pt>
                <c:pt idx="2">
                  <c:v>49.388814913448734</c:v>
                </c:pt>
                <c:pt idx="3">
                  <c:v>48.176470588235297</c:v>
                </c:pt>
                <c:pt idx="4">
                  <c:v>35.667114093959732</c:v>
                </c:pt>
                <c:pt idx="5">
                  <c:v>31.029649595687331</c:v>
                </c:pt>
                <c:pt idx="6">
                  <c:v>25.317503392130259</c:v>
                </c:pt>
                <c:pt idx="7">
                  <c:v>24.990977443609022</c:v>
                </c:pt>
                <c:pt idx="8">
                  <c:v>22.270642201834864</c:v>
                </c:pt>
                <c:pt idx="9">
                  <c:v>17.126738794435859</c:v>
                </c:pt>
              </c:numCache>
            </c:numRef>
          </c:xVal>
          <c:yVal>
            <c:numRef>
              <c:f>GOOGL!$B$50:$B$59</c:f>
              <c:numCache>
                <c:formatCode>General</c:formatCode>
                <c:ptCount val="10"/>
                <c:pt idx="0">
                  <c:v>1464.3428575110534</c:v>
                </c:pt>
                <c:pt idx="1">
                  <c:v>1212.7583808742102</c:v>
                </c:pt>
                <c:pt idx="2">
                  <c:v>937.25589638988413</c:v>
                </c:pt>
                <c:pt idx="3">
                  <c:v>914.33577620043104</c:v>
                </c:pt>
                <c:pt idx="4">
                  <c:v>677.83864549374391</c:v>
                </c:pt>
                <c:pt idx="5">
                  <c:v>590.16450749172634</c:v>
                </c:pt>
                <c:pt idx="6">
                  <c:v>482.17284637498273</c:v>
                </c:pt>
                <c:pt idx="7">
                  <c:v>475.99967112317097</c:v>
                </c:pt>
                <c:pt idx="8">
                  <c:v>424.57004886128436</c:v>
                </c:pt>
                <c:pt idx="9">
                  <c:v>327.32136967951277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0D-0C47-85EE-6D8D0C72E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617087"/>
        <c:axId val="366618767"/>
      </c:scatterChart>
      <c:valAx>
        <c:axId val="3666170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6618767"/>
        <c:crosses val="autoZero"/>
        <c:crossBetween val="midCat"/>
      </c:valAx>
      <c:valAx>
        <c:axId val="3666187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661708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GOOGL!$F$50:$F$59</c:f>
              <c:numCache>
                <c:formatCode>General</c:formatCode>
                <c:ptCount val="1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</c:numCache>
            </c:numRef>
          </c:xVal>
          <c:yVal>
            <c:numRef>
              <c:f>GOOGL!$G$50:$G$59</c:f>
              <c:numCache>
                <c:formatCode>General</c:formatCode>
                <c:ptCount val="10"/>
                <c:pt idx="0">
                  <c:v>314.25</c:v>
                </c:pt>
                <c:pt idx="1">
                  <c:v>322.17</c:v>
                </c:pt>
                <c:pt idx="2">
                  <c:v>385.74</c:v>
                </c:pt>
                <c:pt idx="3">
                  <c:v>558.41</c:v>
                </c:pt>
                <c:pt idx="4">
                  <c:v>612.15</c:v>
                </c:pt>
                <c:pt idx="5">
                  <c:v>779.98</c:v>
                </c:pt>
                <c:pt idx="6">
                  <c:v>816.68</c:v>
                </c:pt>
                <c:pt idx="7">
                  <c:v>1078.49</c:v>
                </c:pt>
                <c:pt idx="8">
                  <c:v>1273.8900000000001</c:v>
                </c:pt>
                <c:pt idx="9">
                  <c:v>1365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DE-154E-B82D-47376597E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553231"/>
        <c:axId val="314554911"/>
      </c:scatterChart>
      <c:valAx>
        <c:axId val="3145532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4554911"/>
        <c:crosses val="autoZero"/>
        <c:crossBetween val="midCat"/>
      </c:valAx>
      <c:valAx>
        <c:axId val="3145549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45532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GOOGL!$H$14:$H$23</c:f>
              <c:numCache>
                <c:formatCode>General</c:formatCode>
                <c:ptCount val="10"/>
                <c:pt idx="0">
                  <c:v>77.268724832214758</c:v>
                </c:pt>
                <c:pt idx="1">
                  <c:v>63.961333333333336</c:v>
                </c:pt>
                <c:pt idx="2">
                  <c:v>49.388814913448734</c:v>
                </c:pt>
                <c:pt idx="3">
                  <c:v>48.176470588235297</c:v>
                </c:pt>
                <c:pt idx="4">
                  <c:v>35.667114093959732</c:v>
                </c:pt>
                <c:pt idx="5">
                  <c:v>31.029649595687331</c:v>
                </c:pt>
                <c:pt idx="6">
                  <c:v>25.317503392130259</c:v>
                </c:pt>
                <c:pt idx="7">
                  <c:v>24.990977443609022</c:v>
                </c:pt>
                <c:pt idx="8">
                  <c:v>22.270642201834864</c:v>
                </c:pt>
                <c:pt idx="9">
                  <c:v>17.126738794435859</c:v>
                </c:pt>
              </c:numCache>
            </c:numRef>
          </c:xVal>
          <c:yVal>
            <c:numRef>
              <c:f>GOOGL!$C$88:$C$97</c:f>
              <c:numCache>
                <c:formatCode>General</c:formatCode>
                <c:ptCount val="10"/>
                <c:pt idx="0">
                  <c:v>-89.911001016889372</c:v>
                </c:pt>
                <c:pt idx="1">
                  <c:v>62.398680916724174</c:v>
                </c:pt>
                <c:pt idx="2">
                  <c:v>83.017621384349923</c:v>
                </c:pt>
                <c:pt idx="3">
                  <c:v>-11.841606480580367</c:v>
                </c:pt>
                <c:pt idx="4">
                  <c:v>-4.1720807446744175</c:v>
                </c:pt>
                <c:pt idx="5">
                  <c:v>65.655522356643928</c:v>
                </c:pt>
                <c:pt idx="6">
                  <c:v>8.7035223215267479</c:v>
                </c:pt>
                <c:pt idx="7">
                  <c:v>-55.720571866675186</c:v>
                </c:pt>
                <c:pt idx="8">
                  <c:v>-57.188559021355843</c:v>
                </c:pt>
                <c:pt idx="9">
                  <c:v>-0.94152784907112164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6C-D643-9DA1-83CAF26C1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083839"/>
        <c:axId val="366201935"/>
      </c:scatterChart>
      <c:valAx>
        <c:axId val="3660838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6201935"/>
        <c:crosses val="autoZero"/>
        <c:crossBetween val="midCat"/>
      </c:valAx>
      <c:valAx>
        <c:axId val="3662019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608383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GOOGL!$H$14:$H$23</c:f>
              <c:numCache>
                <c:formatCode>General</c:formatCode>
                <c:ptCount val="10"/>
                <c:pt idx="0">
                  <c:v>77.268724832214758</c:v>
                </c:pt>
                <c:pt idx="1">
                  <c:v>63.961333333333336</c:v>
                </c:pt>
                <c:pt idx="2">
                  <c:v>49.388814913448734</c:v>
                </c:pt>
                <c:pt idx="3">
                  <c:v>48.176470588235297</c:v>
                </c:pt>
                <c:pt idx="4">
                  <c:v>35.667114093959732</c:v>
                </c:pt>
                <c:pt idx="5">
                  <c:v>31.029649595687331</c:v>
                </c:pt>
                <c:pt idx="6">
                  <c:v>25.317503392130259</c:v>
                </c:pt>
                <c:pt idx="7">
                  <c:v>24.990977443609022</c:v>
                </c:pt>
                <c:pt idx="8">
                  <c:v>22.270642201834864</c:v>
                </c:pt>
                <c:pt idx="9">
                  <c:v>17.126738794435859</c:v>
                </c:pt>
              </c:numCache>
            </c:numRef>
          </c:xVal>
          <c:yVal>
            <c:numRef>
              <c:f>GOOGL!$F$14:$F$23</c:f>
              <c:numCache>
                <c:formatCode>General</c:formatCode>
                <c:ptCount val="10"/>
                <c:pt idx="0">
                  <c:v>1014.07</c:v>
                </c:pt>
                <c:pt idx="1">
                  <c:v>970.11</c:v>
                </c:pt>
                <c:pt idx="2">
                  <c:v>775.8</c:v>
                </c:pt>
                <c:pt idx="3">
                  <c:v>663.06</c:v>
                </c:pt>
                <c:pt idx="4">
                  <c:v>486.23</c:v>
                </c:pt>
                <c:pt idx="5">
                  <c:v>487.66</c:v>
                </c:pt>
                <c:pt idx="6">
                  <c:v>346.46</c:v>
                </c:pt>
                <c:pt idx="7">
                  <c:v>277.22000000000003</c:v>
                </c:pt>
                <c:pt idx="8">
                  <c:v>235.63</c:v>
                </c:pt>
                <c:pt idx="9">
                  <c:v>216.01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7A-E546-95CE-5294B229F124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GOOGL!$H$14:$H$23</c:f>
              <c:numCache>
                <c:formatCode>General</c:formatCode>
                <c:ptCount val="10"/>
                <c:pt idx="0">
                  <c:v>77.268724832214758</c:v>
                </c:pt>
                <c:pt idx="1">
                  <c:v>63.961333333333336</c:v>
                </c:pt>
                <c:pt idx="2">
                  <c:v>49.388814913448734</c:v>
                </c:pt>
                <c:pt idx="3">
                  <c:v>48.176470588235297</c:v>
                </c:pt>
                <c:pt idx="4">
                  <c:v>35.667114093959732</c:v>
                </c:pt>
                <c:pt idx="5">
                  <c:v>31.029649595687331</c:v>
                </c:pt>
                <c:pt idx="6">
                  <c:v>25.317503392130259</c:v>
                </c:pt>
                <c:pt idx="7">
                  <c:v>24.990977443609022</c:v>
                </c:pt>
                <c:pt idx="8">
                  <c:v>22.270642201834864</c:v>
                </c:pt>
                <c:pt idx="9">
                  <c:v>17.126738794435859</c:v>
                </c:pt>
              </c:numCache>
            </c:numRef>
          </c:xVal>
          <c:yVal>
            <c:numRef>
              <c:f>GOOGL!$B$88:$B$97</c:f>
              <c:numCache>
                <c:formatCode>General</c:formatCode>
                <c:ptCount val="10"/>
                <c:pt idx="0">
                  <c:v>1103.9810010168894</c:v>
                </c:pt>
                <c:pt idx="1">
                  <c:v>907.71131908327584</c:v>
                </c:pt>
                <c:pt idx="2">
                  <c:v>692.78237861565003</c:v>
                </c:pt>
                <c:pt idx="3">
                  <c:v>674.90160648058031</c:v>
                </c:pt>
                <c:pt idx="4">
                  <c:v>490.40208074467444</c:v>
                </c:pt>
                <c:pt idx="5">
                  <c:v>422.0044776433561</c:v>
                </c:pt>
                <c:pt idx="6">
                  <c:v>337.75647767847323</c:v>
                </c:pt>
                <c:pt idx="7">
                  <c:v>332.94057186667521</c:v>
                </c:pt>
                <c:pt idx="8">
                  <c:v>292.81855902135584</c:v>
                </c:pt>
                <c:pt idx="9">
                  <c:v>216.95152784907111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7A-E546-95CE-5294B229F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870495"/>
        <c:axId val="366872127"/>
      </c:scatterChart>
      <c:valAx>
        <c:axId val="366870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6872127"/>
        <c:crosses val="autoZero"/>
        <c:crossBetween val="midCat"/>
      </c:valAx>
      <c:valAx>
        <c:axId val="3668721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687049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GOOGL!$F$88:$F$97</c:f>
              <c:numCache>
                <c:formatCode>General</c:formatCode>
                <c:ptCount val="1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</c:numCache>
            </c:numRef>
          </c:xVal>
          <c:yVal>
            <c:numRef>
              <c:f>GOOGL!$G$88:$G$97</c:f>
              <c:numCache>
                <c:formatCode>General</c:formatCode>
                <c:ptCount val="10"/>
                <c:pt idx="0">
                  <c:v>216.01</c:v>
                </c:pt>
                <c:pt idx="1">
                  <c:v>235.63</c:v>
                </c:pt>
                <c:pt idx="2">
                  <c:v>277.22000000000003</c:v>
                </c:pt>
                <c:pt idx="3">
                  <c:v>346.46</c:v>
                </c:pt>
                <c:pt idx="4">
                  <c:v>486.23</c:v>
                </c:pt>
                <c:pt idx="5">
                  <c:v>487.66</c:v>
                </c:pt>
                <c:pt idx="6">
                  <c:v>663.06</c:v>
                </c:pt>
                <c:pt idx="7">
                  <c:v>775.8</c:v>
                </c:pt>
                <c:pt idx="8">
                  <c:v>970.11</c:v>
                </c:pt>
                <c:pt idx="9">
                  <c:v>1014.07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EC-B54C-AD4E-44778FE58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064751"/>
        <c:axId val="367058399"/>
      </c:scatterChart>
      <c:valAx>
        <c:axId val="367064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7058399"/>
        <c:crosses val="autoZero"/>
        <c:crossBetween val="midCat"/>
      </c:valAx>
      <c:valAx>
        <c:axId val="3670583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70647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TSM!$D$12:$D$18</c:f>
              <c:numCache>
                <c:formatCode>General</c:formatCode>
                <c:ptCount val="7"/>
                <c:pt idx="0">
                  <c:v>2.2799999999999998</c:v>
                </c:pt>
                <c:pt idx="1">
                  <c:v>2.29</c:v>
                </c:pt>
                <c:pt idx="2">
                  <c:v>2.2400000000000002</c:v>
                </c:pt>
                <c:pt idx="3">
                  <c:v>1.97</c:v>
                </c:pt>
                <c:pt idx="4">
                  <c:v>1.86</c:v>
                </c:pt>
                <c:pt idx="5">
                  <c:v>1.55</c:v>
                </c:pt>
                <c:pt idx="6">
                  <c:v>1.19</c:v>
                </c:pt>
              </c:numCache>
            </c:numRef>
          </c:xVal>
          <c:yVal>
            <c:numRef>
              <c:f>TSM!$C$44:$C$50</c:f>
              <c:numCache>
                <c:formatCode>General</c:formatCode>
                <c:ptCount val="7"/>
                <c:pt idx="0">
                  <c:v>12.685847058823533</c:v>
                </c:pt>
                <c:pt idx="1">
                  <c:v>-0.46093228454171964</c:v>
                </c:pt>
                <c:pt idx="2">
                  <c:v>-2.3670355677154546</c:v>
                </c:pt>
                <c:pt idx="3">
                  <c:v>-5.7939932968536176</c:v>
                </c:pt>
                <c:pt idx="4">
                  <c:v>-8.6694205198358425</c:v>
                </c:pt>
                <c:pt idx="5">
                  <c:v>-1.4092608755129987</c:v>
                </c:pt>
                <c:pt idx="6">
                  <c:v>6.0147954856361139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00-764C-9265-A0D8E3694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435728"/>
        <c:axId val="1283639824"/>
      </c:scatterChart>
      <c:valAx>
        <c:axId val="1280435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3639824"/>
        <c:crosses val="autoZero"/>
        <c:crossBetween val="midCat"/>
      </c:valAx>
      <c:valAx>
        <c:axId val="1283639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04357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'S&amp;P500'!$E$12:$E$18</c:f>
              <c:numCache>
                <c:formatCode>General</c:formatCode>
                <c:ptCount val="7"/>
                <c:pt idx="0">
                  <c:v>98.66</c:v>
                </c:pt>
                <c:pt idx="1">
                  <c:v>148.16999999999999</c:v>
                </c:pt>
                <c:pt idx="2">
                  <c:v>143.86000000000001</c:v>
                </c:pt>
                <c:pt idx="3">
                  <c:v>121.68</c:v>
                </c:pt>
                <c:pt idx="4">
                  <c:v>106.91</c:v>
                </c:pt>
                <c:pt idx="5">
                  <c:v>99.88</c:v>
                </c:pt>
                <c:pt idx="6">
                  <c:v>118.95</c:v>
                </c:pt>
              </c:numCache>
            </c:numRef>
          </c:xVal>
          <c:yVal>
            <c:numRef>
              <c:f>'S&amp;P500'!$G$12:$G$18</c:f>
              <c:numCache>
                <c:formatCode>General</c:formatCode>
                <c:ptCount val="7"/>
                <c:pt idx="0">
                  <c:v>2237.4</c:v>
                </c:pt>
                <c:pt idx="1">
                  <c:v>2447.89</c:v>
                </c:pt>
                <c:pt idx="2">
                  <c:v>2351.1</c:v>
                </c:pt>
                <c:pt idx="3">
                  <c:v>2257.83</c:v>
                </c:pt>
                <c:pt idx="4">
                  <c:v>1829.08</c:v>
                </c:pt>
                <c:pt idx="5">
                  <c:v>1867.61</c:v>
                </c:pt>
                <c:pt idx="6">
                  <c:v>1741.89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5E-C94E-A1C6-E7F9E8941E80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'S&amp;P500'!$E$12:$E$18</c:f>
              <c:numCache>
                <c:formatCode>General</c:formatCode>
                <c:ptCount val="7"/>
                <c:pt idx="0">
                  <c:v>98.66</c:v>
                </c:pt>
                <c:pt idx="1">
                  <c:v>148.16999999999999</c:v>
                </c:pt>
                <c:pt idx="2">
                  <c:v>143.86000000000001</c:v>
                </c:pt>
                <c:pt idx="3">
                  <c:v>121.68</c:v>
                </c:pt>
                <c:pt idx="4">
                  <c:v>106.91</c:v>
                </c:pt>
                <c:pt idx="5">
                  <c:v>99.88</c:v>
                </c:pt>
                <c:pt idx="6">
                  <c:v>118.95</c:v>
                </c:pt>
              </c:numCache>
            </c:numRef>
          </c:xVal>
          <c:yVal>
            <c:numRef>
              <c:f>'S&amp;P500'!$B$78:$B$84</c:f>
              <c:numCache>
                <c:formatCode>General</c:formatCode>
                <c:ptCount val="7"/>
                <c:pt idx="0">
                  <c:v>30.895858823529402</c:v>
                </c:pt>
                <c:pt idx="1">
                  <c:v>31.073692202462375</c:v>
                </c:pt>
                <c:pt idx="2">
                  <c:v>30.184525307797536</c:v>
                </c:pt>
                <c:pt idx="3">
                  <c:v>25.383024076607384</c:v>
                </c:pt>
                <c:pt idx="4">
                  <c:v>23.426856908344732</c:v>
                </c:pt>
                <c:pt idx="5">
                  <c:v>17.914022161422711</c:v>
                </c:pt>
                <c:pt idx="6">
                  <c:v>11.512020519835843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5E-C94E-A1C6-E7F9E8941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76208"/>
        <c:axId val="1283877888"/>
      </c:scatterChart>
      <c:valAx>
        <c:axId val="1283876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3877888"/>
        <c:crosses val="autoZero"/>
        <c:crossBetween val="midCat"/>
      </c:valAx>
      <c:valAx>
        <c:axId val="1283877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38762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TSM!$D$12:$D$18</c:f>
              <c:numCache>
                <c:formatCode>General</c:formatCode>
                <c:ptCount val="7"/>
                <c:pt idx="0">
                  <c:v>2.2799999999999998</c:v>
                </c:pt>
                <c:pt idx="1">
                  <c:v>2.29</c:v>
                </c:pt>
                <c:pt idx="2">
                  <c:v>2.2400000000000002</c:v>
                </c:pt>
                <c:pt idx="3">
                  <c:v>1.97</c:v>
                </c:pt>
                <c:pt idx="4">
                  <c:v>1.86</c:v>
                </c:pt>
                <c:pt idx="5">
                  <c:v>1.55</c:v>
                </c:pt>
                <c:pt idx="6">
                  <c:v>1.19</c:v>
                </c:pt>
              </c:numCache>
            </c:numRef>
          </c:xVal>
          <c:yVal>
            <c:numRef>
              <c:f>TSM!$E$12:$E$18</c:f>
              <c:numCache>
                <c:formatCode>General</c:formatCode>
                <c:ptCount val="7"/>
                <c:pt idx="0">
                  <c:v>59.23</c:v>
                </c:pt>
                <c:pt idx="1">
                  <c:v>46.38</c:v>
                </c:pt>
                <c:pt idx="2">
                  <c:v>42.99</c:v>
                </c:pt>
                <c:pt idx="3">
                  <c:v>31.55</c:v>
                </c:pt>
                <c:pt idx="4">
                  <c:v>25.41</c:v>
                </c:pt>
                <c:pt idx="5">
                  <c:v>23.47</c:v>
                </c:pt>
                <c:pt idx="6">
                  <c:v>20.21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C4-E14C-A784-BC7BB7DB5BA3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TSM!$D$12:$D$18</c:f>
              <c:numCache>
                <c:formatCode>General</c:formatCode>
                <c:ptCount val="7"/>
                <c:pt idx="0">
                  <c:v>2.2799999999999998</c:v>
                </c:pt>
                <c:pt idx="1">
                  <c:v>2.29</c:v>
                </c:pt>
                <c:pt idx="2">
                  <c:v>2.2400000000000002</c:v>
                </c:pt>
                <c:pt idx="3">
                  <c:v>1.97</c:v>
                </c:pt>
                <c:pt idx="4">
                  <c:v>1.86</c:v>
                </c:pt>
                <c:pt idx="5">
                  <c:v>1.55</c:v>
                </c:pt>
                <c:pt idx="6">
                  <c:v>1.19</c:v>
                </c:pt>
              </c:numCache>
            </c:numRef>
          </c:xVal>
          <c:yVal>
            <c:numRef>
              <c:f>TSM!$B$44:$B$50</c:f>
              <c:numCache>
                <c:formatCode>General</c:formatCode>
                <c:ptCount val="7"/>
                <c:pt idx="0">
                  <c:v>46.544152941176463</c:v>
                </c:pt>
                <c:pt idx="1">
                  <c:v>46.840932284541722</c:v>
                </c:pt>
                <c:pt idx="2">
                  <c:v>45.357035567715457</c:v>
                </c:pt>
                <c:pt idx="3">
                  <c:v>37.343993296853618</c:v>
                </c:pt>
                <c:pt idx="4">
                  <c:v>34.079420519835843</c:v>
                </c:pt>
                <c:pt idx="5">
                  <c:v>24.879260875512998</c:v>
                </c:pt>
                <c:pt idx="6">
                  <c:v>14.195204514363887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C4-E14C-A784-BC7BB7DB5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026592"/>
        <c:axId val="1276028224"/>
      </c:scatterChart>
      <c:valAx>
        <c:axId val="1276026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6028224"/>
        <c:crosses val="autoZero"/>
        <c:crossBetween val="midCat"/>
      </c:valAx>
      <c:valAx>
        <c:axId val="1276028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60265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TSM!$D$12:$D$18</c:f>
              <c:numCache>
                <c:formatCode>General</c:formatCode>
                <c:ptCount val="7"/>
                <c:pt idx="0">
                  <c:v>2.2799999999999998</c:v>
                </c:pt>
                <c:pt idx="1">
                  <c:v>2.29</c:v>
                </c:pt>
                <c:pt idx="2">
                  <c:v>2.2400000000000002</c:v>
                </c:pt>
                <c:pt idx="3">
                  <c:v>1.97</c:v>
                </c:pt>
                <c:pt idx="4">
                  <c:v>1.86</c:v>
                </c:pt>
                <c:pt idx="5">
                  <c:v>1.55</c:v>
                </c:pt>
                <c:pt idx="6">
                  <c:v>1.19</c:v>
                </c:pt>
              </c:numCache>
            </c:numRef>
          </c:xVal>
          <c:yVal>
            <c:numRef>
              <c:f>TSM!$C$78:$C$84</c:f>
              <c:numCache>
                <c:formatCode>General</c:formatCode>
                <c:ptCount val="7"/>
                <c:pt idx="0">
                  <c:v>3.4641411764705978</c:v>
                </c:pt>
                <c:pt idx="1">
                  <c:v>4.216307797537624</c:v>
                </c:pt>
                <c:pt idx="2">
                  <c:v>-0.89452530779753658</c:v>
                </c:pt>
                <c:pt idx="3">
                  <c:v>-4.9030240766073838</c:v>
                </c:pt>
                <c:pt idx="4">
                  <c:v>-4.6668569083447302</c:v>
                </c:pt>
                <c:pt idx="5">
                  <c:v>-1.45402216142271</c:v>
                </c:pt>
                <c:pt idx="6">
                  <c:v>4.2379794801641566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97-6147-A543-D167CC800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075648"/>
        <c:axId val="1281077280"/>
      </c:scatterChart>
      <c:valAx>
        <c:axId val="128107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1077280"/>
        <c:crosses val="autoZero"/>
        <c:crossBetween val="midCat"/>
      </c:valAx>
      <c:valAx>
        <c:axId val="1281077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10756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TSM!$D$12:$D$18</c:f>
              <c:numCache>
                <c:formatCode>General</c:formatCode>
                <c:ptCount val="7"/>
                <c:pt idx="0">
                  <c:v>2.2799999999999998</c:v>
                </c:pt>
                <c:pt idx="1">
                  <c:v>2.29</c:v>
                </c:pt>
                <c:pt idx="2">
                  <c:v>2.2400000000000002</c:v>
                </c:pt>
                <c:pt idx="3">
                  <c:v>1.97</c:v>
                </c:pt>
                <c:pt idx="4">
                  <c:v>1.86</c:v>
                </c:pt>
                <c:pt idx="5">
                  <c:v>1.55</c:v>
                </c:pt>
                <c:pt idx="6">
                  <c:v>1.19</c:v>
                </c:pt>
              </c:numCache>
            </c:numRef>
          </c:xVal>
          <c:yVal>
            <c:numRef>
              <c:f>TSM!$F$12:$F$18</c:f>
              <c:numCache>
                <c:formatCode>General</c:formatCode>
                <c:ptCount val="7"/>
                <c:pt idx="0">
                  <c:v>34.36</c:v>
                </c:pt>
                <c:pt idx="1">
                  <c:v>35.29</c:v>
                </c:pt>
                <c:pt idx="2">
                  <c:v>29.29</c:v>
                </c:pt>
                <c:pt idx="3">
                  <c:v>20.48</c:v>
                </c:pt>
                <c:pt idx="4">
                  <c:v>18.760000000000002</c:v>
                </c:pt>
                <c:pt idx="5">
                  <c:v>16.46</c:v>
                </c:pt>
                <c:pt idx="6">
                  <c:v>15.75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E8-314F-BC40-16FB57DF6A09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TSM!$D$12:$D$18</c:f>
              <c:numCache>
                <c:formatCode>General</c:formatCode>
                <c:ptCount val="7"/>
                <c:pt idx="0">
                  <c:v>2.2799999999999998</c:v>
                </c:pt>
                <c:pt idx="1">
                  <c:v>2.29</c:v>
                </c:pt>
                <c:pt idx="2">
                  <c:v>2.2400000000000002</c:v>
                </c:pt>
                <c:pt idx="3">
                  <c:v>1.97</c:v>
                </c:pt>
                <c:pt idx="4">
                  <c:v>1.86</c:v>
                </c:pt>
                <c:pt idx="5">
                  <c:v>1.55</c:v>
                </c:pt>
                <c:pt idx="6">
                  <c:v>1.19</c:v>
                </c:pt>
              </c:numCache>
            </c:numRef>
          </c:xVal>
          <c:yVal>
            <c:numRef>
              <c:f>TSM!$B$78:$B$84</c:f>
              <c:numCache>
                <c:formatCode>General</c:formatCode>
                <c:ptCount val="7"/>
                <c:pt idx="0">
                  <c:v>30.895858823529402</c:v>
                </c:pt>
                <c:pt idx="1">
                  <c:v>31.073692202462375</c:v>
                </c:pt>
                <c:pt idx="2">
                  <c:v>30.184525307797536</c:v>
                </c:pt>
                <c:pt idx="3">
                  <c:v>25.383024076607384</c:v>
                </c:pt>
                <c:pt idx="4">
                  <c:v>23.426856908344732</c:v>
                </c:pt>
                <c:pt idx="5">
                  <c:v>17.914022161422711</c:v>
                </c:pt>
                <c:pt idx="6">
                  <c:v>11.512020519835843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E8-314F-BC40-16FB57DF6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76208"/>
        <c:axId val="1283877888"/>
      </c:scatterChart>
      <c:valAx>
        <c:axId val="1283876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3877888"/>
        <c:crosses val="autoZero"/>
        <c:crossBetween val="midCat"/>
      </c:valAx>
      <c:valAx>
        <c:axId val="1283877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38762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FB!$D$14:$D$20</c:f>
              <c:numCache>
                <c:formatCode>General</c:formatCode>
                <c:ptCount val="7"/>
                <c:pt idx="0">
                  <c:v>12.626564673157162</c:v>
                </c:pt>
                <c:pt idx="1">
                  <c:v>10.021910304690175</c:v>
                </c:pt>
                <c:pt idx="2">
                  <c:v>8.1921515561569684</c:v>
                </c:pt>
                <c:pt idx="3">
                  <c:v>5.5070085470085468</c:v>
                </c:pt>
                <c:pt idx="4">
                  <c:v>3.6172450052576237</c:v>
                </c:pt>
                <c:pt idx="5">
                  <c:v>2.75</c:v>
                </c:pt>
                <c:pt idx="6">
                  <c:v>1.6773937226857369</c:v>
                </c:pt>
              </c:numCache>
            </c:numRef>
          </c:xVal>
          <c:yVal>
            <c:numRef>
              <c:f>FB!$C$47:$C$53</c:f>
              <c:numCache>
                <c:formatCode>General</c:formatCode>
                <c:ptCount val="7"/>
                <c:pt idx="0">
                  <c:v>-26.83650835818159</c:v>
                </c:pt>
                <c:pt idx="1">
                  <c:v>21.297043856905901</c:v>
                </c:pt>
                <c:pt idx="2">
                  <c:v>14.037201521332435</c:v>
                </c:pt>
                <c:pt idx="3">
                  <c:v>4.2176921879468807</c:v>
                </c:pt>
                <c:pt idx="4">
                  <c:v>8.050175075785674</c:v>
                </c:pt>
                <c:pt idx="5">
                  <c:v>-6.6131119856025151</c:v>
                </c:pt>
                <c:pt idx="6">
                  <c:v>-14.152492298186907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31-024F-8777-9F89B5653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959984"/>
        <c:axId val="300961664"/>
      </c:scatterChart>
      <c:valAx>
        <c:axId val="300959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0961664"/>
        <c:crosses val="autoZero"/>
        <c:crossBetween val="midCat"/>
      </c:valAx>
      <c:valAx>
        <c:axId val="300961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09599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FB!$D$14:$D$20</c:f>
              <c:numCache>
                <c:formatCode>General</c:formatCode>
                <c:ptCount val="7"/>
                <c:pt idx="0">
                  <c:v>12.626564673157162</c:v>
                </c:pt>
                <c:pt idx="1">
                  <c:v>10.021910304690175</c:v>
                </c:pt>
                <c:pt idx="2">
                  <c:v>8.1921515561569684</c:v>
                </c:pt>
                <c:pt idx="3">
                  <c:v>5.5070085470085468</c:v>
                </c:pt>
                <c:pt idx="4">
                  <c:v>3.6172450052576237</c:v>
                </c:pt>
                <c:pt idx="5">
                  <c:v>2.75</c:v>
                </c:pt>
                <c:pt idx="6">
                  <c:v>1.6773937226857369</c:v>
                </c:pt>
              </c:numCache>
            </c:numRef>
          </c:xVal>
          <c:yVal>
            <c:numRef>
              <c:f>FB!$E$14:$E$20</c:f>
              <c:numCache>
                <c:formatCode>General</c:formatCode>
                <c:ptCount val="7"/>
                <c:pt idx="0">
                  <c:v>208.1</c:v>
                </c:pt>
                <c:pt idx="1">
                  <c:v>217.5</c:v>
                </c:pt>
                <c:pt idx="2">
                  <c:v>183.03</c:v>
                </c:pt>
                <c:pt idx="3">
                  <c:v>133.28</c:v>
                </c:pt>
                <c:pt idx="4">
                  <c:v>109.01</c:v>
                </c:pt>
                <c:pt idx="5">
                  <c:v>81.45</c:v>
                </c:pt>
                <c:pt idx="6">
                  <c:v>57.96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CE-C04C-9CD2-A7EB703982F4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FB!$D$14:$D$20</c:f>
              <c:numCache>
                <c:formatCode>General</c:formatCode>
                <c:ptCount val="7"/>
                <c:pt idx="0">
                  <c:v>12.626564673157162</c:v>
                </c:pt>
                <c:pt idx="1">
                  <c:v>10.021910304690175</c:v>
                </c:pt>
                <c:pt idx="2">
                  <c:v>8.1921515561569684</c:v>
                </c:pt>
                <c:pt idx="3">
                  <c:v>5.5070085470085468</c:v>
                </c:pt>
                <c:pt idx="4">
                  <c:v>3.6172450052576237</c:v>
                </c:pt>
                <c:pt idx="5">
                  <c:v>2.75</c:v>
                </c:pt>
                <c:pt idx="6">
                  <c:v>1.6773937226857369</c:v>
                </c:pt>
              </c:numCache>
            </c:numRef>
          </c:xVal>
          <c:yVal>
            <c:numRef>
              <c:f>FB!$B$47:$B$53</c:f>
              <c:numCache>
                <c:formatCode>General</c:formatCode>
                <c:ptCount val="7"/>
                <c:pt idx="0">
                  <c:v>234.93650835818158</c:v>
                </c:pt>
                <c:pt idx="1">
                  <c:v>196.2029561430941</c:v>
                </c:pt>
                <c:pt idx="2">
                  <c:v>168.99279847866757</c:v>
                </c:pt>
                <c:pt idx="3">
                  <c:v>129.06230781205312</c:v>
                </c:pt>
                <c:pt idx="4">
                  <c:v>100.95982492421433</c:v>
                </c:pt>
                <c:pt idx="5">
                  <c:v>88.063111985602518</c:v>
                </c:pt>
                <c:pt idx="6">
                  <c:v>72.112492298186908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CE-C04C-9CD2-A7EB70398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975920"/>
        <c:axId val="300977792"/>
      </c:scatterChart>
      <c:valAx>
        <c:axId val="300975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0977792"/>
        <c:crosses val="autoZero"/>
        <c:crossBetween val="midCat"/>
      </c:valAx>
      <c:valAx>
        <c:axId val="300977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097592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FB!$D$14:$D$20</c:f>
              <c:numCache>
                <c:formatCode>General</c:formatCode>
                <c:ptCount val="7"/>
                <c:pt idx="0">
                  <c:v>12.626564673157162</c:v>
                </c:pt>
                <c:pt idx="1">
                  <c:v>10.021910304690175</c:v>
                </c:pt>
                <c:pt idx="2">
                  <c:v>8.1921515561569684</c:v>
                </c:pt>
                <c:pt idx="3">
                  <c:v>5.5070085470085468</c:v>
                </c:pt>
                <c:pt idx="4">
                  <c:v>3.6172450052576237</c:v>
                </c:pt>
                <c:pt idx="5">
                  <c:v>2.75</c:v>
                </c:pt>
                <c:pt idx="6">
                  <c:v>1.6773937226857369</c:v>
                </c:pt>
              </c:numCache>
            </c:numRef>
          </c:xVal>
          <c:yVal>
            <c:numRef>
              <c:f>FB!$C$79:$C$85</c:f>
              <c:numCache>
                <c:formatCode>General</c:formatCode>
                <c:ptCount val="7"/>
                <c:pt idx="0">
                  <c:v>-14.791290700118054</c:v>
                </c:pt>
                <c:pt idx="1">
                  <c:v>1.7092973888188538</c:v>
                </c:pt>
                <c:pt idx="2">
                  <c:v>11.496058909293097</c:v>
                </c:pt>
                <c:pt idx="3">
                  <c:v>13.723871923624515</c:v>
                </c:pt>
                <c:pt idx="4">
                  <c:v>11.157694375378256</c:v>
                </c:pt>
                <c:pt idx="5">
                  <c:v>-1.3111436362213169</c:v>
                </c:pt>
                <c:pt idx="6">
                  <c:v>-21.984488260775308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4A-6C43-807A-9ED81B3DF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277568"/>
        <c:axId val="300783792"/>
      </c:scatterChart>
      <c:valAx>
        <c:axId val="300277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0783792"/>
        <c:crosses val="autoZero"/>
        <c:crossBetween val="midCat"/>
      </c:valAx>
      <c:valAx>
        <c:axId val="300783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02775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FB!$D$14:$D$20</c:f>
              <c:numCache>
                <c:formatCode>General</c:formatCode>
                <c:ptCount val="7"/>
                <c:pt idx="0">
                  <c:v>12.626564673157162</c:v>
                </c:pt>
                <c:pt idx="1">
                  <c:v>10.021910304690175</c:v>
                </c:pt>
                <c:pt idx="2">
                  <c:v>8.1921515561569684</c:v>
                </c:pt>
                <c:pt idx="3">
                  <c:v>5.5070085470085468</c:v>
                </c:pt>
                <c:pt idx="4">
                  <c:v>3.6172450052576237</c:v>
                </c:pt>
                <c:pt idx="5">
                  <c:v>2.75</c:v>
                </c:pt>
                <c:pt idx="6">
                  <c:v>1.6773937226857369</c:v>
                </c:pt>
              </c:numCache>
            </c:numRef>
          </c:xVal>
          <c:yVal>
            <c:numRef>
              <c:f>FB!$F$14:$F$20</c:f>
              <c:numCache>
                <c:formatCode>General</c:formatCode>
                <c:ptCount val="7"/>
                <c:pt idx="0">
                  <c:v>131.74</c:v>
                </c:pt>
                <c:pt idx="1">
                  <c:v>124.06</c:v>
                </c:pt>
                <c:pt idx="2">
                  <c:v>116.86</c:v>
                </c:pt>
                <c:pt idx="3">
                  <c:v>94.16</c:v>
                </c:pt>
                <c:pt idx="4">
                  <c:v>74.05</c:v>
                </c:pt>
                <c:pt idx="5">
                  <c:v>53.53</c:v>
                </c:pt>
                <c:pt idx="6">
                  <c:v>22.899000000000001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BA-9043-9628-20EC9577B125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FB!$D$14:$D$20</c:f>
              <c:numCache>
                <c:formatCode>General</c:formatCode>
                <c:ptCount val="7"/>
                <c:pt idx="0">
                  <c:v>12.626564673157162</c:v>
                </c:pt>
                <c:pt idx="1">
                  <c:v>10.021910304690175</c:v>
                </c:pt>
                <c:pt idx="2">
                  <c:v>8.1921515561569684</c:v>
                </c:pt>
                <c:pt idx="3">
                  <c:v>5.5070085470085468</c:v>
                </c:pt>
                <c:pt idx="4">
                  <c:v>3.6172450052576237</c:v>
                </c:pt>
                <c:pt idx="5">
                  <c:v>2.75</c:v>
                </c:pt>
                <c:pt idx="6">
                  <c:v>1.6773937226857369</c:v>
                </c:pt>
              </c:numCache>
            </c:numRef>
          </c:xVal>
          <c:yVal>
            <c:numRef>
              <c:f>FB!$B$79:$B$85</c:f>
              <c:numCache>
                <c:formatCode>General</c:formatCode>
                <c:ptCount val="7"/>
                <c:pt idx="0">
                  <c:v>146.53129070011806</c:v>
                </c:pt>
                <c:pt idx="1">
                  <c:v>122.35070261118115</c:v>
                </c:pt>
                <c:pt idx="2">
                  <c:v>105.3639410907069</c:v>
                </c:pt>
                <c:pt idx="3">
                  <c:v>80.436128076375482</c:v>
                </c:pt>
                <c:pt idx="4">
                  <c:v>62.892305624621741</c:v>
                </c:pt>
                <c:pt idx="5">
                  <c:v>54.841143636221318</c:v>
                </c:pt>
                <c:pt idx="6">
                  <c:v>44.883488260775309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BA-9043-9628-20EC9577B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281856"/>
        <c:axId val="299606160"/>
      </c:scatterChart>
      <c:valAx>
        <c:axId val="274281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9606160"/>
        <c:crosses val="autoZero"/>
        <c:crossBetween val="midCat"/>
      </c:valAx>
      <c:valAx>
        <c:axId val="299606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42818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MSFT!$D$15:$D$21</c:f>
              <c:numCache>
                <c:formatCode>General</c:formatCode>
                <c:ptCount val="7"/>
                <c:pt idx="0">
                  <c:v>6.7309428608280664</c:v>
                </c:pt>
                <c:pt idx="1">
                  <c:v>5.6304849884526558</c:v>
                </c:pt>
                <c:pt idx="2">
                  <c:v>5.0443054136874359</c:v>
                </c:pt>
                <c:pt idx="3">
                  <c:v>4.1588668413827534</c:v>
                </c:pt>
                <c:pt idx="4">
                  <c:v>3.5943784831596801</c:v>
                </c:pt>
                <c:pt idx="5">
                  <c:v>3.8697463983807596</c:v>
                </c:pt>
                <c:pt idx="6">
                  <c:v>3.4041322314049585</c:v>
                </c:pt>
              </c:numCache>
            </c:numRef>
          </c:xVal>
          <c:yVal>
            <c:numRef>
              <c:f>MSFT!$C$47:$C$53</c:f>
              <c:numCache>
                <c:formatCode>General</c:formatCode>
                <c:ptCount val="7"/>
                <c:pt idx="0">
                  <c:v>-2.8564017828568637</c:v>
                </c:pt>
                <c:pt idx="1">
                  <c:v>7.6542393615835067</c:v>
                </c:pt>
                <c:pt idx="2">
                  <c:v>-3.5911724798082219</c:v>
                </c:pt>
                <c:pt idx="3">
                  <c:v>-0.65580301269206132</c:v>
                </c:pt>
                <c:pt idx="4">
                  <c:v>8.8836288775099348</c:v>
                </c:pt>
                <c:pt idx="5">
                  <c:v>-6.1065671212459165</c:v>
                </c:pt>
                <c:pt idx="6">
                  <c:v>-3.3279238424903852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E9-BD4E-8A92-0A7667D06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780096"/>
        <c:axId val="1214781728"/>
      </c:scatterChart>
      <c:valAx>
        <c:axId val="1214780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4781728"/>
        <c:crosses val="autoZero"/>
        <c:crossBetween val="midCat"/>
      </c:valAx>
      <c:valAx>
        <c:axId val="1214781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47800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MSFT!$D$15:$D$21</c:f>
              <c:numCache>
                <c:formatCode>General</c:formatCode>
                <c:ptCount val="7"/>
                <c:pt idx="0">
                  <c:v>6.7309428608280664</c:v>
                </c:pt>
                <c:pt idx="1">
                  <c:v>5.6304849884526558</c:v>
                </c:pt>
                <c:pt idx="2">
                  <c:v>5.0443054136874359</c:v>
                </c:pt>
                <c:pt idx="3">
                  <c:v>4.1588668413827534</c:v>
                </c:pt>
                <c:pt idx="4">
                  <c:v>3.5943784831596801</c:v>
                </c:pt>
                <c:pt idx="5">
                  <c:v>3.8697463983807596</c:v>
                </c:pt>
                <c:pt idx="6">
                  <c:v>3.4041322314049585</c:v>
                </c:pt>
              </c:numCache>
            </c:numRef>
          </c:xVal>
          <c:yVal>
            <c:numRef>
              <c:f>MSFT!$E$15:$E$21</c:f>
              <c:numCache>
                <c:formatCode>General</c:formatCode>
                <c:ptCount val="7"/>
                <c:pt idx="0">
                  <c:v>138.39999399999999</c:v>
                </c:pt>
                <c:pt idx="1">
                  <c:v>116.18</c:v>
                </c:pt>
                <c:pt idx="2">
                  <c:v>87.5</c:v>
                </c:pt>
                <c:pt idx="3">
                  <c:v>64.099997999999999</c:v>
                </c:pt>
                <c:pt idx="4">
                  <c:v>56.849997999999999</c:v>
                </c:pt>
                <c:pt idx="5">
                  <c:v>50.049999</c:v>
                </c:pt>
                <c:pt idx="6">
                  <c:v>38.979999999999997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7F-9B47-8E81-0ADDB0F923CB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MSFT!$D$15:$D$21</c:f>
              <c:numCache>
                <c:formatCode>General</c:formatCode>
                <c:ptCount val="7"/>
                <c:pt idx="0">
                  <c:v>6.7309428608280664</c:v>
                </c:pt>
                <c:pt idx="1">
                  <c:v>5.6304849884526558</c:v>
                </c:pt>
                <c:pt idx="2">
                  <c:v>5.0443054136874359</c:v>
                </c:pt>
                <c:pt idx="3">
                  <c:v>4.1588668413827534</c:v>
                </c:pt>
                <c:pt idx="4">
                  <c:v>3.5943784831596801</c:v>
                </c:pt>
                <c:pt idx="5">
                  <c:v>3.8697463983807596</c:v>
                </c:pt>
                <c:pt idx="6">
                  <c:v>3.4041322314049585</c:v>
                </c:pt>
              </c:numCache>
            </c:numRef>
          </c:xVal>
          <c:yVal>
            <c:numRef>
              <c:f>MSFT!$B$47:$B$53</c:f>
              <c:numCache>
                <c:formatCode>General</c:formatCode>
                <c:ptCount val="7"/>
                <c:pt idx="0">
                  <c:v>141.25639578285686</c:v>
                </c:pt>
                <c:pt idx="1">
                  <c:v>108.5257606384165</c:v>
                </c:pt>
                <c:pt idx="2">
                  <c:v>91.091172479808222</c:v>
                </c:pt>
                <c:pt idx="3">
                  <c:v>64.755801012692061</c:v>
                </c:pt>
                <c:pt idx="4">
                  <c:v>47.966369122490065</c:v>
                </c:pt>
                <c:pt idx="5">
                  <c:v>56.156566121245916</c:v>
                </c:pt>
                <c:pt idx="6">
                  <c:v>42.307923842490382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7F-9B47-8E81-0ADDB0F92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340448"/>
        <c:axId val="1213342080"/>
      </c:scatterChart>
      <c:valAx>
        <c:axId val="121334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3342080"/>
        <c:crosses val="autoZero"/>
        <c:crossBetween val="midCat"/>
      </c:valAx>
      <c:valAx>
        <c:axId val="1213342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33404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MSFT!$D$15:$D$21</c:f>
              <c:numCache>
                <c:formatCode>General</c:formatCode>
                <c:ptCount val="7"/>
                <c:pt idx="0">
                  <c:v>6.7309428608280664</c:v>
                </c:pt>
                <c:pt idx="1">
                  <c:v>5.6304849884526558</c:v>
                </c:pt>
                <c:pt idx="2">
                  <c:v>5.0443054136874359</c:v>
                </c:pt>
                <c:pt idx="3">
                  <c:v>4.1588668413827534</c:v>
                </c:pt>
                <c:pt idx="4">
                  <c:v>3.5943784831596801</c:v>
                </c:pt>
                <c:pt idx="5">
                  <c:v>3.8697463983807596</c:v>
                </c:pt>
                <c:pt idx="6">
                  <c:v>3.4041322314049585</c:v>
                </c:pt>
              </c:numCache>
            </c:numRef>
          </c:xVal>
          <c:yVal>
            <c:numRef>
              <c:f>MSFT!$C$82:$C$88</c:f>
              <c:numCache>
                <c:formatCode>General</c:formatCode>
                <c:ptCount val="7"/>
                <c:pt idx="0">
                  <c:v>-3.2604787830437658</c:v>
                </c:pt>
                <c:pt idx="1">
                  <c:v>6.7200659546901562</c:v>
                </c:pt>
                <c:pt idx="2">
                  <c:v>-2.7218310545976436</c:v>
                </c:pt>
                <c:pt idx="3">
                  <c:v>2.1562289765360276</c:v>
                </c:pt>
                <c:pt idx="4">
                  <c:v>5.8140685386482716</c:v>
                </c:pt>
                <c:pt idx="5">
                  <c:v>-5.118944272907342</c:v>
                </c:pt>
                <c:pt idx="6">
                  <c:v>-3.5891093593257395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7D-B449-9792-DD5187AB7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550736"/>
        <c:axId val="1153552368"/>
      </c:scatterChart>
      <c:valAx>
        <c:axId val="1153550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3552368"/>
        <c:crosses val="autoZero"/>
        <c:crossBetween val="midCat"/>
      </c:valAx>
      <c:valAx>
        <c:axId val="1153552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35507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AMZN!$H$14:$H$24</c:f>
              <c:numCache>
                <c:formatCode>General</c:formatCode>
                <c:ptCount val="11"/>
                <c:pt idx="0">
                  <c:v>61.445999999999998</c:v>
                </c:pt>
                <c:pt idx="1">
                  <c:v>37.251521298174445</c:v>
                </c:pt>
                <c:pt idx="2">
                  <c:v>35.543388429752063</c:v>
                </c:pt>
                <c:pt idx="3">
                  <c:v>25.238993710691823</c:v>
                </c:pt>
                <c:pt idx="4">
                  <c:v>14.80952380952381</c:v>
                </c:pt>
                <c:pt idx="5">
                  <c:v>11.774193548387096</c:v>
                </c:pt>
                <c:pt idx="6">
                  <c:v>9.2273730684326711</c:v>
                </c:pt>
                <c:pt idx="7">
                  <c:v>8.4663774403470722</c:v>
                </c:pt>
                <c:pt idx="8">
                  <c:v>7.6644736842105265</c:v>
                </c:pt>
                <c:pt idx="9">
                  <c:v>7.4502262443438916</c:v>
                </c:pt>
                <c:pt idx="10">
                  <c:v>3.9282407407407409</c:v>
                </c:pt>
              </c:numCache>
            </c:numRef>
          </c:xVal>
          <c:yVal>
            <c:numRef>
              <c:f>AMZN!$C$50:$C$60</c:f>
              <c:numCache>
                <c:formatCode>General</c:formatCode>
                <c:ptCount val="11"/>
                <c:pt idx="0">
                  <c:v>112.27117310831068</c:v>
                </c:pt>
                <c:pt idx="1">
                  <c:v>52.612042012885013</c:v>
                </c:pt>
                <c:pt idx="2">
                  <c:v>-243.5059980540442</c:v>
                </c:pt>
                <c:pt idx="3">
                  <c:v>-59.982603980224098</c:v>
                </c:pt>
                <c:pt idx="4">
                  <c:v>-8.9361549031096956</c:v>
                </c:pt>
                <c:pt idx="5">
                  <c:v>86.76356997780681</c:v>
                </c:pt>
                <c:pt idx="6">
                  <c:v>26.583159899790644</c:v>
                </c:pt>
                <c:pt idx="7">
                  <c:v>36.273185061615465</c:v>
                </c:pt>
                <c:pt idx="8">
                  <c:v>0.30883606126187146</c:v>
                </c:pt>
                <c:pt idx="9">
                  <c:v>-35.258486395032861</c:v>
                </c:pt>
                <c:pt idx="10">
                  <c:v>32.871277210740075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C-7046-BBB1-CFD057A56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384464"/>
        <c:axId val="1001189648"/>
      </c:scatterChart>
      <c:valAx>
        <c:axId val="911384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1189648"/>
        <c:crosses val="autoZero"/>
        <c:crossBetween val="midCat"/>
      </c:valAx>
      <c:valAx>
        <c:axId val="1001189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13844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MSFT!$D$15:$D$21</c:f>
              <c:numCache>
                <c:formatCode>General</c:formatCode>
                <c:ptCount val="7"/>
                <c:pt idx="0">
                  <c:v>6.7309428608280664</c:v>
                </c:pt>
                <c:pt idx="1">
                  <c:v>5.6304849884526558</c:v>
                </c:pt>
                <c:pt idx="2">
                  <c:v>5.0443054136874359</c:v>
                </c:pt>
                <c:pt idx="3">
                  <c:v>4.1588668413827534</c:v>
                </c:pt>
                <c:pt idx="4">
                  <c:v>3.5943784831596801</c:v>
                </c:pt>
                <c:pt idx="5">
                  <c:v>3.8697463983807596</c:v>
                </c:pt>
                <c:pt idx="6">
                  <c:v>3.4041322314049585</c:v>
                </c:pt>
              </c:numCache>
            </c:numRef>
          </c:xVal>
          <c:yVal>
            <c:numRef>
              <c:f>MSFT!$F$15:$F$21</c:f>
              <c:numCache>
                <c:formatCode>General</c:formatCode>
                <c:ptCount val="7"/>
                <c:pt idx="0">
                  <c:v>97.199996999999996</c:v>
                </c:pt>
                <c:pt idx="1">
                  <c:v>83.830001999999993</c:v>
                </c:pt>
                <c:pt idx="2">
                  <c:v>61.950001</c:v>
                </c:pt>
                <c:pt idx="3">
                  <c:v>48.040000999999997</c:v>
                </c:pt>
                <c:pt idx="4">
                  <c:v>39.720001000000003</c:v>
                </c:pt>
                <c:pt idx="5">
                  <c:v>34.630001</c:v>
                </c:pt>
                <c:pt idx="6">
                  <c:v>26.280000999999999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2A-AF4A-B3F2-D291489C4288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MSFT!$D$15:$D$21</c:f>
              <c:numCache>
                <c:formatCode>General</c:formatCode>
                <c:ptCount val="7"/>
                <c:pt idx="0">
                  <c:v>6.7309428608280664</c:v>
                </c:pt>
                <c:pt idx="1">
                  <c:v>5.6304849884526558</c:v>
                </c:pt>
                <c:pt idx="2">
                  <c:v>5.0443054136874359</c:v>
                </c:pt>
                <c:pt idx="3">
                  <c:v>4.1588668413827534</c:v>
                </c:pt>
                <c:pt idx="4">
                  <c:v>3.5943784831596801</c:v>
                </c:pt>
                <c:pt idx="5">
                  <c:v>3.8697463983807596</c:v>
                </c:pt>
                <c:pt idx="6">
                  <c:v>3.4041322314049585</c:v>
                </c:pt>
              </c:numCache>
            </c:numRef>
          </c:xVal>
          <c:yVal>
            <c:numRef>
              <c:f>MSFT!$B$82:$B$88</c:f>
              <c:numCache>
                <c:formatCode>General</c:formatCode>
                <c:ptCount val="7"/>
                <c:pt idx="0">
                  <c:v>100.46047578304376</c:v>
                </c:pt>
                <c:pt idx="1">
                  <c:v>77.109936045309837</c:v>
                </c:pt>
                <c:pt idx="2">
                  <c:v>64.671832054597644</c:v>
                </c:pt>
                <c:pt idx="3">
                  <c:v>45.883772023463969</c:v>
                </c:pt>
                <c:pt idx="4">
                  <c:v>33.905932461351732</c:v>
                </c:pt>
                <c:pt idx="5">
                  <c:v>39.748945272907342</c:v>
                </c:pt>
                <c:pt idx="6">
                  <c:v>29.869110359325738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2A-AF4A-B3F2-D291489C4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741280"/>
        <c:axId val="1098306096"/>
      </c:scatterChart>
      <c:valAx>
        <c:axId val="115274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8306096"/>
        <c:crosses val="autoZero"/>
        <c:crossBetween val="midCat"/>
      </c:valAx>
      <c:valAx>
        <c:axId val="1098306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27412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CCL!$D$14:$D$23</c:f>
              <c:numCache>
                <c:formatCode>General</c:formatCode>
                <c:ptCount val="10"/>
                <c:pt idx="0">
                  <c:v>7.9118497109826587</c:v>
                </c:pt>
                <c:pt idx="1">
                  <c:v>7.8154929577464785</c:v>
                </c:pt>
                <c:pt idx="2">
                  <c:v>7.3406896551724135</c:v>
                </c:pt>
                <c:pt idx="3">
                  <c:v>6.8728246318607766</c:v>
                </c:pt>
                <c:pt idx="4">
                  <c:v>5.8344030808729137</c:v>
                </c:pt>
                <c:pt idx="5">
                  <c:v>4.4087403598971724</c:v>
                </c:pt>
                <c:pt idx="6">
                  <c:v>3.6473616473616475</c:v>
                </c:pt>
                <c:pt idx="7">
                  <c:v>3.8498074454428757</c:v>
                </c:pt>
                <c:pt idx="8">
                  <c:v>4.7731305449936627</c:v>
                </c:pt>
                <c:pt idx="9">
                  <c:v>4.7428571428571429</c:v>
                </c:pt>
              </c:numCache>
            </c:numRef>
          </c:xVal>
          <c:yVal>
            <c:numRef>
              <c:f>CCL!$D$49:$D$58</c:f>
              <c:numCache>
                <c:formatCode>General</c:formatCode>
                <c:ptCount val="10"/>
                <c:pt idx="0">
                  <c:v>-7.906857066450435</c:v>
                </c:pt>
                <c:pt idx="1">
                  <c:v>5.7879668886504874</c:v>
                </c:pt>
                <c:pt idx="2">
                  <c:v>6.3082708290909224</c:v>
                </c:pt>
                <c:pt idx="3">
                  <c:v>-5.5549762776361646</c:v>
                </c:pt>
                <c:pt idx="4">
                  <c:v>1.4231162113364064</c:v>
                </c:pt>
                <c:pt idx="5">
                  <c:v>1.1818918454322258</c:v>
                </c:pt>
                <c:pt idx="6">
                  <c:v>0.18100767052300881</c:v>
                </c:pt>
                <c:pt idx="7">
                  <c:v>-1.9397290882066258</c:v>
                </c:pt>
                <c:pt idx="8">
                  <c:v>0.79464258112981412</c:v>
                </c:pt>
                <c:pt idx="9">
                  <c:v>-0.27533359386965373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67-5A46-B0AE-2B07F5983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033711"/>
        <c:axId val="417716159"/>
      </c:scatterChart>
      <c:valAx>
        <c:axId val="457033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7716159"/>
        <c:crosses val="autoZero"/>
        <c:crossBetween val="midCat"/>
      </c:valAx>
      <c:valAx>
        <c:axId val="4177161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70337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CCL!$D$14:$D$23</c:f>
              <c:numCache>
                <c:formatCode>General</c:formatCode>
                <c:ptCount val="10"/>
                <c:pt idx="0">
                  <c:v>7.9118497109826587</c:v>
                </c:pt>
                <c:pt idx="1">
                  <c:v>7.8154929577464785</c:v>
                </c:pt>
                <c:pt idx="2">
                  <c:v>7.3406896551724135</c:v>
                </c:pt>
                <c:pt idx="3">
                  <c:v>6.8728246318607766</c:v>
                </c:pt>
                <c:pt idx="4">
                  <c:v>5.8344030808729137</c:v>
                </c:pt>
                <c:pt idx="5">
                  <c:v>4.4087403598971724</c:v>
                </c:pt>
                <c:pt idx="6">
                  <c:v>3.6473616473616475</c:v>
                </c:pt>
                <c:pt idx="7">
                  <c:v>3.8498074454428757</c:v>
                </c:pt>
                <c:pt idx="8">
                  <c:v>4.7731305449936627</c:v>
                </c:pt>
                <c:pt idx="9">
                  <c:v>4.7428571428571429</c:v>
                </c:pt>
              </c:numCache>
            </c:numRef>
          </c:xVal>
          <c:yVal>
            <c:numRef>
              <c:f>CCL!$E$14:$E$23</c:f>
              <c:numCache>
                <c:formatCode>General</c:formatCode>
                <c:ptCount val="10"/>
                <c:pt idx="0">
                  <c:v>58.85</c:v>
                </c:pt>
                <c:pt idx="1">
                  <c:v>71.94</c:v>
                </c:pt>
                <c:pt idx="2">
                  <c:v>69.48</c:v>
                </c:pt>
                <c:pt idx="3">
                  <c:v>54.68</c:v>
                </c:pt>
                <c:pt idx="4">
                  <c:v>55.14</c:v>
                </c:pt>
                <c:pt idx="5">
                  <c:v>45.95</c:v>
                </c:pt>
                <c:pt idx="6">
                  <c:v>40.17</c:v>
                </c:pt>
                <c:pt idx="7">
                  <c:v>39.32</c:v>
                </c:pt>
                <c:pt idx="8">
                  <c:v>47.85</c:v>
                </c:pt>
                <c:pt idx="9">
                  <c:v>46.59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82-054D-B00D-B958C05410B2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CCL!$D$14:$D$23</c:f>
              <c:numCache>
                <c:formatCode>General</c:formatCode>
                <c:ptCount val="10"/>
                <c:pt idx="0">
                  <c:v>7.9118497109826587</c:v>
                </c:pt>
                <c:pt idx="1">
                  <c:v>7.8154929577464785</c:v>
                </c:pt>
                <c:pt idx="2">
                  <c:v>7.3406896551724135</c:v>
                </c:pt>
                <c:pt idx="3">
                  <c:v>6.8728246318607766</c:v>
                </c:pt>
                <c:pt idx="4">
                  <c:v>5.8344030808729137</c:v>
                </c:pt>
                <c:pt idx="5">
                  <c:v>4.4087403598971724</c:v>
                </c:pt>
                <c:pt idx="6">
                  <c:v>3.6473616473616475</c:v>
                </c:pt>
                <c:pt idx="7">
                  <c:v>3.8498074454428757</c:v>
                </c:pt>
                <c:pt idx="8">
                  <c:v>4.7731305449936627</c:v>
                </c:pt>
                <c:pt idx="9">
                  <c:v>4.7428571428571429</c:v>
                </c:pt>
              </c:numCache>
            </c:numRef>
          </c:xVal>
          <c:yVal>
            <c:numRef>
              <c:f>CCL!$C$49:$C$58</c:f>
              <c:numCache>
                <c:formatCode>General</c:formatCode>
                <c:ptCount val="10"/>
                <c:pt idx="0">
                  <c:v>66.756857066450436</c:v>
                </c:pt>
                <c:pt idx="1">
                  <c:v>66.15203311134951</c:v>
                </c:pt>
                <c:pt idx="2">
                  <c:v>63.171729170909082</c:v>
                </c:pt>
                <c:pt idx="3">
                  <c:v>60.234976277636164</c:v>
                </c:pt>
                <c:pt idx="4">
                  <c:v>53.716883788663594</c:v>
                </c:pt>
                <c:pt idx="5">
                  <c:v>44.768108154567777</c:v>
                </c:pt>
                <c:pt idx="6">
                  <c:v>39.988992329476993</c:v>
                </c:pt>
                <c:pt idx="7">
                  <c:v>41.259729088206626</c:v>
                </c:pt>
                <c:pt idx="8">
                  <c:v>47.055357418870187</c:v>
                </c:pt>
                <c:pt idx="9">
                  <c:v>46.865333593869657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82-054D-B00D-B958C0541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141135"/>
        <c:axId val="458142911"/>
      </c:scatterChart>
      <c:valAx>
        <c:axId val="4581411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8142911"/>
        <c:crosses val="autoZero"/>
        <c:crossBetween val="midCat"/>
      </c:valAx>
      <c:valAx>
        <c:axId val="4581429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814113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CCL!$G$49:$G$58</c:f>
              <c:numCache>
                <c:formatCode>General</c:formatCode>
                <c:ptCount val="1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</c:numCache>
            </c:numRef>
          </c:xVal>
          <c:yVal>
            <c:numRef>
              <c:f>CCL!$H$49:$H$58</c:f>
              <c:numCache>
                <c:formatCode>General</c:formatCode>
                <c:ptCount val="10"/>
                <c:pt idx="0">
                  <c:v>39.32</c:v>
                </c:pt>
                <c:pt idx="1">
                  <c:v>40.17</c:v>
                </c:pt>
                <c:pt idx="2">
                  <c:v>45.95</c:v>
                </c:pt>
                <c:pt idx="3">
                  <c:v>46.59</c:v>
                </c:pt>
                <c:pt idx="4">
                  <c:v>47.85</c:v>
                </c:pt>
                <c:pt idx="5">
                  <c:v>54.68</c:v>
                </c:pt>
                <c:pt idx="6">
                  <c:v>55.14</c:v>
                </c:pt>
                <c:pt idx="7">
                  <c:v>58.85</c:v>
                </c:pt>
                <c:pt idx="8">
                  <c:v>69.48</c:v>
                </c:pt>
                <c:pt idx="9">
                  <c:v>71.94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46-894F-8748-0DA1CD663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379887"/>
        <c:axId val="458381535"/>
      </c:scatterChart>
      <c:valAx>
        <c:axId val="458379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8381535"/>
        <c:crosses val="autoZero"/>
        <c:crossBetween val="midCat"/>
      </c:valAx>
      <c:valAx>
        <c:axId val="4583815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83798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CCL!$D$14:$D$23</c:f>
              <c:numCache>
                <c:formatCode>General</c:formatCode>
                <c:ptCount val="10"/>
                <c:pt idx="0">
                  <c:v>7.9118497109826587</c:v>
                </c:pt>
                <c:pt idx="1">
                  <c:v>7.8154929577464785</c:v>
                </c:pt>
                <c:pt idx="2">
                  <c:v>7.3406896551724135</c:v>
                </c:pt>
                <c:pt idx="3">
                  <c:v>6.8728246318607766</c:v>
                </c:pt>
                <c:pt idx="4">
                  <c:v>5.8344030808729137</c:v>
                </c:pt>
                <c:pt idx="5">
                  <c:v>4.4087403598971724</c:v>
                </c:pt>
                <c:pt idx="6">
                  <c:v>3.6473616473616475</c:v>
                </c:pt>
                <c:pt idx="7">
                  <c:v>3.8498074454428757</c:v>
                </c:pt>
                <c:pt idx="8">
                  <c:v>4.7731305449936627</c:v>
                </c:pt>
                <c:pt idx="9">
                  <c:v>4.7428571428571429</c:v>
                </c:pt>
              </c:numCache>
            </c:numRef>
          </c:xVal>
          <c:yVal>
            <c:numRef>
              <c:f>CCL!$D$87:$D$96</c:f>
              <c:numCache>
                <c:formatCode>General</c:formatCode>
                <c:ptCount val="10"/>
                <c:pt idx="0">
                  <c:v>-6.6963592011448938</c:v>
                </c:pt>
                <c:pt idx="1">
                  <c:v>-0.22210486546690333</c:v>
                </c:pt>
                <c:pt idx="2">
                  <c:v>7.6506054723878947</c:v>
                </c:pt>
                <c:pt idx="3">
                  <c:v>-0.65507292837173736</c:v>
                </c:pt>
                <c:pt idx="4">
                  <c:v>5.3237439421483259</c:v>
                </c:pt>
                <c:pt idx="5">
                  <c:v>1.387000979996607</c:v>
                </c:pt>
                <c:pt idx="6">
                  <c:v>2.2222663706256185</c:v>
                </c:pt>
                <c:pt idx="7">
                  <c:v>-0.72606305053782449</c:v>
                </c:pt>
                <c:pt idx="8">
                  <c:v>-4.5639418499331583</c:v>
                </c:pt>
                <c:pt idx="9">
                  <c:v>-3.7200748697040567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B7-1448-BDA4-DA4C1AED5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345183"/>
        <c:axId val="459346863"/>
      </c:scatterChart>
      <c:valAx>
        <c:axId val="459345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9346863"/>
        <c:crosses val="autoZero"/>
        <c:crossBetween val="midCat"/>
      </c:valAx>
      <c:valAx>
        <c:axId val="4593468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93451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CCL!$D$14:$D$23</c:f>
              <c:numCache>
                <c:formatCode>General</c:formatCode>
                <c:ptCount val="10"/>
                <c:pt idx="0">
                  <c:v>7.9118497109826587</c:v>
                </c:pt>
                <c:pt idx="1">
                  <c:v>7.8154929577464785</c:v>
                </c:pt>
                <c:pt idx="2">
                  <c:v>7.3406896551724135</c:v>
                </c:pt>
                <c:pt idx="3">
                  <c:v>6.8728246318607766</c:v>
                </c:pt>
                <c:pt idx="4">
                  <c:v>5.8344030808729137</c:v>
                </c:pt>
                <c:pt idx="5">
                  <c:v>4.4087403598971724</c:v>
                </c:pt>
                <c:pt idx="6">
                  <c:v>3.6473616473616475</c:v>
                </c:pt>
                <c:pt idx="7">
                  <c:v>3.8498074454428757</c:v>
                </c:pt>
                <c:pt idx="8">
                  <c:v>4.7731305449936627</c:v>
                </c:pt>
                <c:pt idx="9">
                  <c:v>4.7428571428571429</c:v>
                </c:pt>
              </c:numCache>
            </c:numRef>
          </c:xVal>
          <c:yVal>
            <c:numRef>
              <c:f>CCL!$F$14:$F$23</c:f>
              <c:numCache>
                <c:formatCode>General</c:formatCode>
                <c:ptCount val="10"/>
                <c:pt idx="0">
                  <c:v>40.130000000000003</c:v>
                </c:pt>
                <c:pt idx="1">
                  <c:v>46.21</c:v>
                </c:pt>
                <c:pt idx="2">
                  <c:v>52.14</c:v>
                </c:pt>
                <c:pt idx="3">
                  <c:v>41.92</c:v>
                </c:pt>
                <c:pt idx="4">
                  <c:v>43.65</c:v>
                </c:pt>
                <c:pt idx="5">
                  <c:v>33.880000000000003</c:v>
                </c:pt>
                <c:pt idx="6">
                  <c:v>31.6</c:v>
                </c:pt>
                <c:pt idx="7">
                  <c:v>29.48</c:v>
                </c:pt>
                <c:pt idx="8">
                  <c:v>29.42</c:v>
                </c:pt>
                <c:pt idx="9">
                  <c:v>30.14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3E-D642-85B9-DC2212572B33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CCL!$D$14:$D$23</c:f>
              <c:numCache>
                <c:formatCode>General</c:formatCode>
                <c:ptCount val="10"/>
                <c:pt idx="0">
                  <c:v>7.9118497109826587</c:v>
                </c:pt>
                <c:pt idx="1">
                  <c:v>7.8154929577464785</c:v>
                </c:pt>
                <c:pt idx="2">
                  <c:v>7.3406896551724135</c:v>
                </c:pt>
                <c:pt idx="3">
                  <c:v>6.8728246318607766</c:v>
                </c:pt>
                <c:pt idx="4">
                  <c:v>5.8344030808729137</c:v>
                </c:pt>
                <c:pt idx="5">
                  <c:v>4.4087403598971724</c:v>
                </c:pt>
                <c:pt idx="6">
                  <c:v>3.6473616473616475</c:v>
                </c:pt>
                <c:pt idx="7">
                  <c:v>3.8498074454428757</c:v>
                </c:pt>
                <c:pt idx="8">
                  <c:v>4.7731305449936627</c:v>
                </c:pt>
                <c:pt idx="9">
                  <c:v>4.7428571428571429</c:v>
                </c:pt>
              </c:numCache>
            </c:numRef>
          </c:xVal>
          <c:yVal>
            <c:numRef>
              <c:f>CCL!$C$87:$C$96</c:f>
              <c:numCache>
                <c:formatCode>General</c:formatCode>
                <c:ptCount val="10"/>
                <c:pt idx="0">
                  <c:v>46.826359201144896</c:v>
                </c:pt>
                <c:pt idx="1">
                  <c:v>46.432104865466904</c:v>
                </c:pt>
                <c:pt idx="2">
                  <c:v>44.489394527612106</c:v>
                </c:pt>
                <c:pt idx="3">
                  <c:v>42.575072928371739</c:v>
                </c:pt>
                <c:pt idx="4">
                  <c:v>38.326256057851673</c:v>
                </c:pt>
                <c:pt idx="5">
                  <c:v>32.492999020003396</c:v>
                </c:pt>
                <c:pt idx="6">
                  <c:v>29.377733629374383</c:v>
                </c:pt>
                <c:pt idx="7">
                  <c:v>30.206063050537825</c:v>
                </c:pt>
                <c:pt idx="8">
                  <c:v>33.98394184993316</c:v>
                </c:pt>
                <c:pt idx="9">
                  <c:v>33.860074869704057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3E-D642-85B9-DC2212572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663151"/>
        <c:axId val="458664783"/>
      </c:scatterChart>
      <c:valAx>
        <c:axId val="458663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8664783"/>
        <c:crosses val="autoZero"/>
        <c:crossBetween val="midCat"/>
      </c:valAx>
      <c:valAx>
        <c:axId val="4586647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866315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CCL!$G$87:$G$96</c:f>
              <c:numCache>
                <c:formatCode>General</c:formatCode>
                <c:ptCount val="1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</c:numCache>
            </c:numRef>
          </c:xVal>
          <c:yVal>
            <c:numRef>
              <c:f>CCL!$H$87:$H$96</c:f>
              <c:numCache>
                <c:formatCode>General</c:formatCode>
                <c:ptCount val="10"/>
                <c:pt idx="0">
                  <c:v>29.42</c:v>
                </c:pt>
                <c:pt idx="1">
                  <c:v>29.48</c:v>
                </c:pt>
                <c:pt idx="2">
                  <c:v>30.14</c:v>
                </c:pt>
                <c:pt idx="3">
                  <c:v>31.6</c:v>
                </c:pt>
                <c:pt idx="4">
                  <c:v>33.880000000000003</c:v>
                </c:pt>
                <c:pt idx="5">
                  <c:v>40.130000000000003</c:v>
                </c:pt>
                <c:pt idx="6">
                  <c:v>41.92</c:v>
                </c:pt>
                <c:pt idx="7">
                  <c:v>43.65</c:v>
                </c:pt>
                <c:pt idx="8">
                  <c:v>46.21</c:v>
                </c:pt>
                <c:pt idx="9">
                  <c:v>52.14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A-EA42-B4E6-03479E061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000575"/>
        <c:axId val="415974415"/>
      </c:scatterChart>
      <c:valAx>
        <c:axId val="416000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5974415"/>
        <c:crosses val="autoZero"/>
        <c:crossBetween val="midCat"/>
      </c:valAx>
      <c:valAx>
        <c:axId val="4159744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60005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'0016'!$C$14:$C$19</c:f>
              <c:numCache>
                <c:formatCode>General</c:formatCode>
                <c:ptCount val="6"/>
                <c:pt idx="0">
                  <c:v>198.69530710835059</c:v>
                </c:pt>
                <c:pt idx="1">
                  <c:v>191.66482568173973</c:v>
                </c:pt>
                <c:pt idx="2">
                  <c:v>185.02589779005524</c:v>
                </c:pt>
                <c:pt idx="3">
                  <c:v>166.49706390328151</c:v>
                </c:pt>
                <c:pt idx="4">
                  <c:v>160.4450625869263</c:v>
                </c:pt>
                <c:pt idx="5">
                  <c:v>160.97504587155964</c:v>
                </c:pt>
              </c:numCache>
            </c:numRef>
          </c:xVal>
          <c:yVal>
            <c:numRef>
              <c:f>'0016'!$C$45:$C$50</c:f>
              <c:numCache>
                <c:formatCode>General</c:formatCode>
                <c:ptCount val="6"/>
                <c:pt idx="0">
                  <c:v>2.4057954976777864</c:v>
                </c:pt>
                <c:pt idx="1">
                  <c:v>-1.2132839191099549</c:v>
                </c:pt>
                <c:pt idx="2">
                  <c:v>-1.3398512994998271</c:v>
                </c:pt>
                <c:pt idx="3">
                  <c:v>-2.8851480335030715</c:v>
                </c:pt>
                <c:pt idx="4">
                  <c:v>10.104872781838267</c:v>
                </c:pt>
                <c:pt idx="5">
                  <c:v>-7.0723850274032856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8A-8A47-9ECB-7E7470A9C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651535"/>
        <c:axId val="368838287"/>
      </c:scatterChart>
      <c:valAx>
        <c:axId val="371651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8838287"/>
        <c:crosses val="autoZero"/>
        <c:crossBetween val="midCat"/>
      </c:valAx>
      <c:valAx>
        <c:axId val="3688382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16515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'0016'!$C$14:$C$19</c:f>
              <c:numCache>
                <c:formatCode>General</c:formatCode>
                <c:ptCount val="6"/>
                <c:pt idx="0">
                  <c:v>198.69530710835059</c:v>
                </c:pt>
                <c:pt idx="1">
                  <c:v>191.66482568173973</c:v>
                </c:pt>
                <c:pt idx="2">
                  <c:v>185.02589779005524</c:v>
                </c:pt>
                <c:pt idx="3">
                  <c:v>166.49706390328151</c:v>
                </c:pt>
                <c:pt idx="4">
                  <c:v>160.4450625869263</c:v>
                </c:pt>
                <c:pt idx="5">
                  <c:v>160.97504587155964</c:v>
                </c:pt>
              </c:numCache>
            </c:numRef>
          </c:xVal>
          <c:yVal>
            <c:numRef>
              <c:f>'0016'!$D$14:$D$19</c:f>
              <c:numCache>
                <c:formatCode>General</c:formatCode>
                <c:ptCount val="6"/>
                <c:pt idx="0">
                  <c:v>137.64699999999999</c:v>
                </c:pt>
                <c:pt idx="1">
                  <c:v>128.453</c:v>
                </c:pt>
                <c:pt idx="2">
                  <c:v>123.062</c:v>
                </c:pt>
                <c:pt idx="3">
                  <c:v>106.824</c:v>
                </c:pt>
                <c:pt idx="4">
                  <c:v>115.015</c:v>
                </c:pt>
                <c:pt idx="5">
                  <c:v>98.257999999999996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BA-E949-B3FC-2138551203A2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'0016'!$C$14:$C$19</c:f>
              <c:numCache>
                <c:formatCode>General</c:formatCode>
                <c:ptCount val="6"/>
                <c:pt idx="0">
                  <c:v>198.69530710835059</c:v>
                </c:pt>
                <c:pt idx="1">
                  <c:v>191.66482568173973</c:v>
                </c:pt>
                <c:pt idx="2">
                  <c:v>185.02589779005524</c:v>
                </c:pt>
                <c:pt idx="3">
                  <c:v>166.49706390328151</c:v>
                </c:pt>
                <c:pt idx="4">
                  <c:v>160.4450625869263</c:v>
                </c:pt>
                <c:pt idx="5">
                  <c:v>160.97504587155964</c:v>
                </c:pt>
              </c:numCache>
            </c:numRef>
          </c:xVal>
          <c:yVal>
            <c:numRef>
              <c:f>'0016'!$B$45:$B$50</c:f>
              <c:numCache>
                <c:formatCode>General</c:formatCode>
                <c:ptCount val="6"/>
                <c:pt idx="0">
                  <c:v>135.2412045023222</c:v>
                </c:pt>
                <c:pt idx="1">
                  <c:v>129.66628391910996</c:v>
                </c:pt>
                <c:pt idx="2">
                  <c:v>124.40185129949982</c:v>
                </c:pt>
                <c:pt idx="3">
                  <c:v>109.70914803350307</c:v>
                </c:pt>
                <c:pt idx="4">
                  <c:v>104.91012721816173</c:v>
                </c:pt>
                <c:pt idx="5">
                  <c:v>105.33038502740328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BA-E949-B3FC-213855120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855823"/>
        <c:axId val="368857455"/>
      </c:scatterChart>
      <c:valAx>
        <c:axId val="3688558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8857455"/>
        <c:crosses val="autoZero"/>
        <c:crossBetween val="midCat"/>
      </c:valAx>
      <c:valAx>
        <c:axId val="3688574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885582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'0016'!$F$45:$F$50</c:f>
              <c:numCache>
                <c:formatCode>General</c:formatCode>
                <c:ptCount val="6"/>
                <c:pt idx="0">
                  <c:v>8.3333333333333339</c:v>
                </c:pt>
                <c:pt idx="1">
                  <c:v>25</c:v>
                </c:pt>
                <c:pt idx="2">
                  <c:v>41.666666666666671</c:v>
                </c:pt>
                <c:pt idx="3">
                  <c:v>58.333333333333336</c:v>
                </c:pt>
                <c:pt idx="4">
                  <c:v>75</c:v>
                </c:pt>
                <c:pt idx="5">
                  <c:v>91.666666666666671</c:v>
                </c:pt>
              </c:numCache>
            </c:numRef>
          </c:xVal>
          <c:yVal>
            <c:numRef>
              <c:f>'0016'!$G$45:$G$50</c:f>
              <c:numCache>
                <c:formatCode>General</c:formatCode>
                <c:ptCount val="6"/>
                <c:pt idx="0">
                  <c:v>98.257999999999996</c:v>
                </c:pt>
                <c:pt idx="1">
                  <c:v>106.824</c:v>
                </c:pt>
                <c:pt idx="2">
                  <c:v>115.015</c:v>
                </c:pt>
                <c:pt idx="3">
                  <c:v>123.062</c:v>
                </c:pt>
                <c:pt idx="4">
                  <c:v>128.453</c:v>
                </c:pt>
                <c:pt idx="5">
                  <c:v>137.64699999999999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5F-3D41-89C8-573C8465B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706063"/>
        <c:axId val="371707695"/>
      </c:scatterChart>
      <c:valAx>
        <c:axId val="371706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1707695"/>
        <c:crosses val="autoZero"/>
        <c:crossBetween val="midCat"/>
      </c:valAx>
      <c:valAx>
        <c:axId val="3717076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17060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AMZN!$H$14:$H$24</c:f>
              <c:numCache>
                <c:formatCode>General</c:formatCode>
                <c:ptCount val="11"/>
                <c:pt idx="0">
                  <c:v>61.445999999999998</c:v>
                </c:pt>
                <c:pt idx="1">
                  <c:v>37.251521298174445</c:v>
                </c:pt>
                <c:pt idx="2">
                  <c:v>35.543388429752063</c:v>
                </c:pt>
                <c:pt idx="3">
                  <c:v>25.238993710691823</c:v>
                </c:pt>
                <c:pt idx="4">
                  <c:v>14.80952380952381</c:v>
                </c:pt>
                <c:pt idx="5">
                  <c:v>11.774193548387096</c:v>
                </c:pt>
                <c:pt idx="6">
                  <c:v>9.2273730684326711</c:v>
                </c:pt>
                <c:pt idx="7">
                  <c:v>8.4663774403470722</c:v>
                </c:pt>
                <c:pt idx="8">
                  <c:v>7.6644736842105265</c:v>
                </c:pt>
                <c:pt idx="9">
                  <c:v>7.4502262443438916</c:v>
                </c:pt>
                <c:pt idx="10">
                  <c:v>3.9282407407407409</c:v>
                </c:pt>
              </c:numCache>
            </c:numRef>
          </c:xVal>
          <c:yVal>
            <c:numRef>
              <c:f>AMZN!$E$14:$E$24</c:f>
              <c:numCache>
                <c:formatCode>General</c:formatCode>
                <c:ptCount val="11"/>
                <c:pt idx="0">
                  <c:v>2039.51</c:v>
                </c:pt>
                <c:pt idx="1">
                  <c:v>1195.83</c:v>
                </c:pt>
                <c:pt idx="2">
                  <c:v>844.36</c:v>
                </c:pt>
                <c:pt idx="3">
                  <c:v>693.97</c:v>
                </c:pt>
                <c:pt idx="4">
                  <c:v>407.05</c:v>
                </c:pt>
                <c:pt idx="5">
                  <c:v>404.39</c:v>
                </c:pt>
                <c:pt idx="6">
                  <c:v>261.68</c:v>
                </c:pt>
                <c:pt idx="7">
                  <c:v>246.71</c:v>
                </c:pt>
                <c:pt idx="8">
                  <c:v>184.76</c:v>
                </c:pt>
                <c:pt idx="9">
                  <c:v>142.25</c:v>
                </c:pt>
                <c:pt idx="10">
                  <c:v>96.25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B-4442-9FD7-C76207CE8AFE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AMZN!$H$14:$H$24</c:f>
              <c:numCache>
                <c:formatCode>General</c:formatCode>
                <c:ptCount val="11"/>
                <c:pt idx="0">
                  <c:v>61.445999999999998</c:v>
                </c:pt>
                <c:pt idx="1">
                  <c:v>37.251521298174445</c:v>
                </c:pt>
                <c:pt idx="2">
                  <c:v>35.543388429752063</c:v>
                </c:pt>
                <c:pt idx="3">
                  <c:v>25.238993710691823</c:v>
                </c:pt>
                <c:pt idx="4">
                  <c:v>14.80952380952381</c:v>
                </c:pt>
                <c:pt idx="5">
                  <c:v>11.774193548387096</c:v>
                </c:pt>
                <c:pt idx="6">
                  <c:v>9.2273730684326711</c:v>
                </c:pt>
                <c:pt idx="7">
                  <c:v>8.4663774403470722</c:v>
                </c:pt>
                <c:pt idx="8">
                  <c:v>7.6644736842105265</c:v>
                </c:pt>
                <c:pt idx="9">
                  <c:v>7.4502262443438916</c:v>
                </c:pt>
                <c:pt idx="10">
                  <c:v>3.9282407407407409</c:v>
                </c:pt>
              </c:numCache>
            </c:numRef>
          </c:xVal>
          <c:yVal>
            <c:numRef>
              <c:f>AMZN!$B$50:$B$60</c:f>
              <c:numCache>
                <c:formatCode>General</c:formatCode>
                <c:ptCount val="11"/>
                <c:pt idx="0">
                  <c:v>1927.2388268916893</c:v>
                </c:pt>
                <c:pt idx="1">
                  <c:v>1143.2179579871149</c:v>
                </c:pt>
                <c:pt idx="2">
                  <c:v>1087.8659980540442</c:v>
                </c:pt>
                <c:pt idx="3">
                  <c:v>753.95260398022413</c:v>
                </c:pt>
                <c:pt idx="4">
                  <c:v>415.98615490310971</c:v>
                </c:pt>
                <c:pt idx="5">
                  <c:v>317.62643002219318</c:v>
                </c:pt>
                <c:pt idx="6">
                  <c:v>235.09684010020936</c:v>
                </c:pt>
                <c:pt idx="7">
                  <c:v>210.43681493838454</c:v>
                </c:pt>
                <c:pt idx="8">
                  <c:v>184.45116393873812</c:v>
                </c:pt>
                <c:pt idx="9">
                  <c:v>177.50848639503286</c:v>
                </c:pt>
                <c:pt idx="10">
                  <c:v>63.378722789259925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9B-4442-9FD7-C76207CE8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640848"/>
        <c:axId val="1000642480"/>
      </c:scatterChart>
      <c:valAx>
        <c:axId val="1000640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0642480"/>
        <c:crosses val="autoZero"/>
        <c:crossBetween val="midCat"/>
      </c:valAx>
      <c:valAx>
        <c:axId val="1000642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06408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'0016'!$C$14:$C$19</c:f>
              <c:numCache>
                <c:formatCode>General</c:formatCode>
                <c:ptCount val="6"/>
                <c:pt idx="0">
                  <c:v>198.69530710835059</c:v>
                </c:pt>
                <c:pt idx="1">
                  <c:v>191.66482568173973</c:v>
                </c:pt>
                <c:pt idx="2">
                  <c:v>185.02589779005524</c:v>
                </c:pt>
                <c:pt idx="3">
                  <c:v>166.49706390328151</c:v>
                </c:pt>
                <c:pt idx="4">
                  <c:v>160.4450625869263</c:v>
                </c:pt>
                <c:pt idx="5">
                  <c:v>160.97504587155964</c:v>
                </c:pt>
              </c:numCache>
            </c:numRef>
          </c:xVal>
          <c:yVal>
            <c:numRef>
              <c:f>'0016'!$C$78:$C$83</c:f>
              <c:numCache>
                <c:formatCode>General</c:formatCode>
                <c:ptCount val="6"/>
                <c:pt idx="0">
                  <c:v>3.8282435138297473</c:v>
                </c:pt>
                <c:pt idx="1">
                  <c:v>-1.4745164566549533</c:v>
                </c:pt>
                <c:pt idx="2">
                  <c:v>-2.1059860515139093</c:v>
                </c:pt>
                <c:pt idx="3">
                  <c:v>-8.1644333913973384</c:v>
                </c:pt>
                <c:pt idx="4">
                  <c:v>6.4433220141592358</c:v>
                </c:pt>
                <c:pt idx="5">
                  <c:v>1.4733703715772322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36-B042-9686-8C00BDB3E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262703"/>
        <c:axId val="368766063"/>
      </c:scatterChart>
      <c:valAx>
        <c:axId val="366262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8766063"/>
        <c:crosses val="autoZero"/>
        <c:crossBetween val="midCat"/>
      </c:valAx>
      <c:valAx>
        <c:axId val="3687660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62627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'0016'!$C$14:$C$19</c:f>
              <c:numCache>
                <c:formatCode>General</c:formatCode>
                <c:ptCount val="6"/>
                <c:pt idx="0">
                  <c:v>198.69530710835059</c:v>
                </c:pt>
                <c:pt idx="1">
                  <c:v>191.66482568173973</c:v>
                </c:pt>
                <c:pt idx="2">
                  <c:v>185.02589779005524</c:v>
                </c:pt>
                <c:pt idx="3">
                  <c:v>166.49706390328151</c:v>
                </c:pt>
                <c:pt idx="4">
                  <c:v>160.4450625869263</c:v>
                </c:pt>
                <c:pt idx="5">
                  <c:v>160.97504587155964</c:v>
                </c:pt>
              </c:numCache>
            </c:numRef>
          </c:xVal>
          <c:yVal>
            <c:numRef>
              <c:f>'0016'!$E$14:$E$19</c:f>
              <c:numCache>
                <c:formatCode>General</c:formatCode>
                <c:ptCount val="6"/>
                <c:pt idx="0">
                  <c:v>102.751</c:v>
                </c:pt>
                <c:pt idx="1">
                  <c:v>92.408000000000001</c:v>
                </c:pt>
                <c:pt idx="2">
                  <c:v>87.016999999999996</c:v>
                </c:pt>
                <c:pt idx="3">
                  <c:v>67.674999999999997</c:v>
                </c:pt>
                <c:pt idx="4">
                  <c:v>77.944000000000003</c:v>
                </c:pt>
                <c:pt idx="5">
                  <c:v>73.353999999999999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4C-4E40-8362-F1DB7506BB9A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'0016'!$C$14:$C$19</c:f>
              <c:numCache>
                <c:formatCode>General</c:formatCode>
                <c:ptCount val="6"/>
                <c:pt idx="0">
                  <c:v>198.69530710835059</c:v>
                </c:pt>
                <c:pt idx="1">
                  <c:v>191.66482568173973</c:v>
                </c:pt>
                <c:pt idx="2">
                  <c:v>185.02589779005524</c:v>
                </c:pt>
                <c:pt idx="3">
                  <c:v>166.49706390328151</c:v>
                </c:pt>
                <c:pt idx="4">
                  <c:v>160.4450625869263</c:v>
                </c:pt>
                <c:pt idx="5">
                  <c:v>160.97504587155964</c:v>
                </c:pt>
              </c:numCache>
            </c:numRef>
          </c:xVal>
          <c:yVal>
            <c:numRef>
              <c:f>'0016'!$B$78:$B$83</c:f>
              <c:numCache>
                <c:formatCode>General</c:formatCode>
                <c:ptCount val="6"/>
                <c:pt idx="0">
                  <c:v>98.922756486170258</c:v>
                </c:pt>
                <c:pt idx="1">
                  <c:v>93.882516456654955</c:v>
                </c:pt>
                <c:pt idx="2">
                  <c:v>89.122986051513905</c:v>
                </c:pt>
                <c:pt idx="3">
                  <c:v>75.839433391397336</c:v>
                </c:pt>
                <c:pt idx="4">
                  <c:v>71.500677985840767</c:v>
                </c:pt>
                <c:pt idx="5">
                  <c:v>71.880629628422767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4C-4E40-8362-F1DB7506B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913871"/>
        <c:axId val="371915503"/>
      </c:scatterChart>
      <c:valAx>
        <c:axId val="371913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1915503"/>
        <c:crosses val="autoZero"/>
        <c:crossBetween val="midCat"/>
      </c:valAx>
      <c:valAx>
        <c:axId val="3719155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191387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'0016'!$F$78:$F$83</c:f>
              <c:numCache>
                <c:formatCode>General</c:formatCode>
                <c:ptCount val="6"/>
                <c:pt idx="0">
                  <c:v>8.3333333333333339</c:v>
                </c:pt>
                <c:pt idx="1">
                  <c:v>25</c:v>
                </c:pt>
                <c:pt idx="2">
                  <c:v>41.666666666666671</c:v>
                </c:pt>
                <c:pt idx="3">
                  <c:v>58.333333333333336</c:v>
                </c:pt>
                <c:pt idx="4">
                  <c:v>75</c:v>
                </c:pt>
                <c:pt idx="5">
                  <c:v>91.666666666666671</c:v>
                </c:pt>
              </c:numCache>
            </c:numRef>
          </c:xVal>
          <c:yVal>
            <c:numRef>
              <c:f>'0016'!$G$78:$G$83</c:f>
              <c:numCache>
                <c:formatCode>General</c:formatCode>
                <c:ptCount val="6"/>
                <c:pt idx="0">
                  <c:v>67.674999999999997</c:v>
                </c:pt>
                <c:pt idx="1">
                  <c:v>73.353999999999999</c:v>
                </c:pt>
                <c:pt idx="2">
                  <c:v>77.944000000000003</c:v>
                </c:pt>
                <c:pt idx="3">
                  <c:v>87.016999999999996</c:v>
                </c:pt>
                <c:pt idx="4">
                  <c:v>92.408000000000001</c:v>
                </c:pt>
                <c:pt idx="5">
                  <c:v>102.751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4F-BE4E-A5BC-FAA1C49B1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939695"/>
        <c:axId val="371941327"/>
      </c:scatterChart>
      <c:valAx>
        <c:axId val="3719396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1941327"/>
        <c:crosses val="autoZero"/>
        <c:crossBetween val="midCat"/>
      </c:valAx>
      <c:valAx>
        <c:axId val="3719413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19396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'1093'!$C$14:$C$20</c:f>
              <c:numCache>
                <c:formatCode>General</c:formatCode>
                <c:ptCount val="7"/>
                <c:pt idx="0">
                  <c:v>66.718525</c:v>
                </c:pt>
                <c:pt idx="1">
                  <c:v>56.196360000000006</c:v>
                </c:pt>
                <c:pt idx="2">
                  <c:v>47.18544</c:v>
                </c:pt>
                <c:pt idx="3">
                  <c:v>33.660352000000003</c:v>
                </c:pt>
                <c:pt idx="4">
                  <c:v>27.068580000000001</c:v>
                </c:pt>
                <c:pt idx="5">
                  <c:v>21.47</c:v>
                </c:pt>
                <c:pt idx="6">
                  <c:v>17.489999999999998</c:v>
                </c:pt>
              </c:numCache>
            </c:numRef>
          </c:xVal>
          <c:yVal>
            <c:numRef>
              <c:f>'1093'!$C$46:$C$52</c:f>
              <c:numCache>
                <c:formatCode>General</c:formatCode>
                <c:ptCount val="7"/>
                <c:pt idx="0">
                  <c:v>-3.1902070852433297</c:v>
                </c:pt>
                <c:pt idx="1">
                  <c:v>5.9070589359681946</c:v>
                </c:pt>
                <c:pt idx="2">
                  <c:v>-0.59132560779248422</c:v>
                </c:pt>
                <c:pt idx="3">
                  <c:v>-3.200472703561962</c:v>
                </c:pt>
                <c:pt idx="4">
                  <c:v>-0.7923547835900191</c:v>
                </c:pt>
                <c:pt idx="5">
                  <c:v>1.3343008811381463</c:v>
                </c:pt>
                <c:pt idx="6">
                  <c:v>0.53300036308144261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D0-C84B-8AC3-F69D91159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902128"/>
        <c:axId val="256148048"/>
      </c:scatterChart>
      <c:valAx>
        <c:axId val="256902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6148048"/>
        <c:crosses val="autoZero"/>
        <c:crossBetween val="midCat"/>
      </c:valAx>
      <c:valAx>
        <c:axId val="256148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69021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'1093'!$C$14:$C$20</c:f>
              <c:numCache>
                <c:formatCode>General</c:formatCode>
                <c:ptCount val="7"/>
                <c:pt idx="0">
                  <c:v>66.718525</c:v>
                </c:pt>
                <c:pt idx="1">
                  <c:v>56.196360000000006</c:v>
                </c:pt>
                <c:pt idx="2">
                  <c:v>47.18544</c:v>
                </c:pt>
                <c:pt idx="3">
                  <c:v>33.660352000000003</c:v>
                </c:pt>
                <c:pt idx="4">
                  <c:v>27.068580000000001</c:v>
                </c:pt>
                <c:pt idx="5">
                  <c:v>21.47</c:v>
                </c:pt>
                <c:pt idx="6">
                  <c:v>17.489999999999998</c:v>
                </c:pt>
              </c:numCache>
            </c:numRef>
          </c:xVal>
          <c:yVal>
            <c:numRef>
              <c:f>'1093'!$D$14:$D$20</c:f>
              <c:numCache>
                <c:formatCode>General</c:formatCode>
                <c:ptCount val="7"/>
                <c:pt idx="0">
                  <c:v>21.799999</c:v>
                </c:pt>
                <c:pt idx="1">
                  <c:v>26.75</c:v>
                </c:pt>
                <c:pt idx="2">
                  <c:v>16.700001</c:v>
                </c:pt>
                <c:pt idx="3">
                  <c:v>8.76</c:v>
                </c:pt>
                <c:pt idx="4">
                  <c:v>8.57</c:v>
                </c:pt>
                <c:pt idx="5">
                  <c:v>8.49</c:v>
                </c:pt>
                <c:pt idx="6">
                  <c:v>6.12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41-724B-AD39-6DF72F389B21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'1093'!$C$14:$C$20</c:f>
              <c:numCache>
                <c:formatCode>General</c:formatCode>
                <c:ptCount val="7"/>
                <c:pt idx="0">
                  <c:v>66.718525</c:v>
                </c:pt>
                <c:pt idx="1">
                  <c:v>56.196360000000006</c:v>
                </c:pt>
                <c:pt idx="2">
                  <c:v>47.18544</c:v>
                </c:pt>
                <c:pt idx="3">
                  <c:v>33.660352000000003</c:v>
                </c:pt>
                <c:pt idx="4">
                  <c:v>27.068580000000001</c:v>
                </c:pt>
                <c:pt idx="5">
                  <c:v>21.47</c:v>
                </c:pt>
                <c:pt idx="6">
                  <c:v>17.489999999999998</c:v>
                </c:pt>
              </c:numCache>
            </c:numRef>
          </c:xVal>
          <c:yVal>
            <c:numRef>
              <c:f>'1093'!$B$46:$B$52</c:f>
              <c:numCache>
                <c:formatCode>General</c:formatCode>
                <c:ptCount val="7"/>
                <c:pt idx="0">
                  <c:v>24.990206085243329</c:v>
                </c:pt>
                <c:pt idx="1">
                  <c:v>20.842941064031805</c:v>
                </c:pt>
                <c:pt idx="2">
                  <c:v>17.291326607792485</c:v>
                </c:pt>
                <c:pt idx="3">
                  <c:v>11.960472703561962</c:v>
                </c:pt>
                <c:pt idx="4">
                  <c:v>9.3623547835900194</c:v>
                </c:pt>
                <c:pt idx="5">
                  <c:v>7.1556991188618539</c:v>
                </c:pt>
                <c:pt idx="6">
                  <c:v>5.5869996369185575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41-724B-AD39-6DF72F389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680560"/>
        <c:axId val="255682192"/>
      </c:scatterChart>
      <c:valAx>
        <c:axId val="255680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5682192"/>
        <c:crosses val="autoZero"/>
        <c:crossBetween val="midCat"/>
      </c:valAx>
      <c:valAx>
        <c:axId val="255682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56805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'1093'!$C$14:$C$20</c:f>
              <c:numCache>
                <c:formatCode>General</c:formatCode>
                <c:ptCount val="7"/>
                <c:pt idx="0">
                  <c:v>66.718525</c:v>
                </c:pt>
                <c:pt idx="1">
                  <c:v>56.196360000000006</c:v>
                </c:pt>
                <c:pt idx="2">
                  <c:v>47.18544</c:v>
                </c:pt>
                <c:pt idx="3">
                  <c:v>33.660352000000003</c:v>
                </c:pt>
                <c:pt idx="4">
                  <c:v>27.068580000000001</c:v>
                </c:pt>
                <c:pt idx="5">
                  <c:v>21.47</c:v>
                </c:pt>
                <c:pt idx="6">
                  <c:v>17.489999999999998</c:v>
                </c:pt>
              </c:numCache>
            </c:numRef>
          </c:xVal>
          <c:yVal>
            <c:numRef>
              <c:f>'1093'!$C$81:$C$87</c:f>
              <c:numCache>
                <c:formatCode>General</c:formatCode>
                <c:ptCount val="7"/>
                <c:pt idx="0">
                  <c:v>-1.006244203082888</c:v>
                </c:pt>
                <c:pt idx="1">
                  <c:v>1.1028758581305347</c:v>
                </c:pt>
                <c:pt idx="2">
                  <c:v>-1.7623811662772937E-2</c:v>
                </c:pt>
                <c:pt idx="3">
                  <c:v>-0.1821078374809435</c:v>
                </c:pt>
                <c:pt idx="4">
                  <c:v>0.66583292890553203</c:v>
                </c:pt>
                <c:pt idx="5">
                  <c:v>0.9894393485262345</c:v>
                </c:pt>
                <c:pt idx="6">
                  <c:v>-1.5521722833357035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D5-8841-AFDE-35A8C84D2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843856"/>
        <c:axId val="256845488"/>
      </c:scatterChart>
      <c:valAx>
        <c:axId val="256843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6845488"/>
        <c:crosses val="autoZero"/>
        <c:crossBetween val="midCat"/>
      </c:valAx>
      <c:valAx>
        <c:axId val="256845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68438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'1093'!$C$14:$C$20</c:f>
              <c:numCache>
                <c:formatCode>General</c:formatCode>
                <c:ptCount val="7"/>
                <c:pt idx="0">
                  <c:v>66.718525</c:v>
                </c:pt>
                <c:pt idx="1">
                  <c:v>56.196360000000006</c:v>
                </c:pt>
                <c:pt idx="2">
                  <c:v>47.18544</c:v>
                </c:pt>
                <c:pt idx="3">
                  <c:v>33.660352000000003</c:v>
                </c:pt>
                <c:pt idx="4">
                  <c:v>27.068580000000001</c:v>
                </c:pt>
                <c:pt idx="5">
                  <c:v>21.47</c:v>
                </c:pt>
                <c:pt idx="6">
                  <c:v>17.489999999999998</c:v>
                </c:pt>
              </c:numCache>
            </c:numRef>
          </c:xVal>
          <c:yVal>
            <c:numRef>
              <c:f>'1093'!$E$14:$E$20</c:f>
              <c:numCache>
                <c:formatCode>General</c:formatCode>
                <c:ptCount val="7"/>
                <c:pt idx="0">
                  <c:v>9.9</c:v>
                </c:pt>
                <c:pt idx="1">
                  <c:v>10.48</c:v>
                </c:pt>
                <c:pt idx="2">
                  <c:v>8.0500000000000007</c:v>
                </c:pt>
                <c:pt idx="3">
                  <c:v>5.92</c:v>
                </c:pt>
                <c:pt idx="4">
                  <c:v>5.81</c:v>
                </c:pt>
                <c:pt idx="5">
                  <c:v>5.32</c:v>
                </c:pt>
                <c:pt idx="6">
                  <c:v>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19-2047-A18C-0DBC3F393941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'1093'!$C$14:$C$20</c:f>
              <c:numCache>
                <c:formatCode>General</c:formatCode>
                <c:ptCount val="7"/>
                <c:pt idx="0">
                  <c:v>66.718525</c:v>
                </c:pt>
                <c:pt idx="1">
                  <c:v>56.196360000000006</c:v>
                </c:pt>
                <c:pt idx="2">
                  <c:v>47.18544</c:v>
                </c:pt>
                <c:pt idx="3">
                  <c:v>33.660352000000003</c:v>
                </c:pt>
                <c:pt idx="4">
                  <c:v>27.068580000000001</c:v>
                </c:pt>
                <c:pt idx="5">
                  <c:v>21.47</c:v>
                </c:pt>
                <c:pt idx="6">
                  <c:v>17.489999999999998</c:v>
                </c:pt>
              </c:numCache>
            </c:numRef>
          </c:xVal>
          <c:yVal>
            <c:numRef>
              <c:f>'1093'!$B$81:$B$87</c:f>
              <c:numCache>
                <c:formatCode>General</c:formatCode>
                <c:ptCount val="7"/>
                <c:pt idx="0">
                  <c:v>10.906244203082888</c:v>
                </c:pt>
                <c:pt idx="1">
                  <c:v>9.3771241418694657</c:v>
                </c:pt>
                <c:pt idx="2">
                  <c:v>8.0676238116627736</c:v>
                </c:pt>
                <c:pt idx="3">
                  <c:v>6.1021078374809434</c:v>
                </c:pt>
                <c:pt idx="4">
                  <c:v>5.1441670710944676</c:v>
                </c:pt>
                <c:pt idx="5">
                  <c:v>4.3305606514737658</c:v>
                </c:pt>
                <c:pt idx="6">
                  <c:v>3.7521722833357036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19-2047-A18C-0DBC3F393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892944"/>
        <c:axId val="255894576"/>
      </c:scatterChart>
      <c:valAx>
        <c:axId val="25589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5894576"/>
        <c:crosses val="autoZero"/>
        <c:crossBetween val="midCat"/>
      </c:valAx>
      <c:valAx>
        <c:axId val="255894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589294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'2007'!$G$15:$G$23</c:f>
              <c:numCache>
                <c:formatCode>General</c:formatCode>
                <c:ptCount val="9"/>
                <c:pt idx="0">
                  <c:v>19.938242052661845</c:v>
                </c:pt>
                <c:pt idx="1">
                  <c:v>12.769589295497285</c:v>
                </c:pt>
                <c:pt idx="2">
                  <c:v>7.9126936271036872</c:v>
                </c:pt>
                <c:pt idx="3">
                  <c:v>5.9824288336989913</c:v>
                </c:pt>
                <c:pt idx="4">
                  <c:v>5.1302999057335112</c:v>
                </c:pt>
                <c:pt idx="5">
                  <c:v>4.3529165166719324</c:v>
                </c:pt>
                <c:pt idx="6">
                  <c:v>2.8588889070959689</c:v>
                </c:pt>
                <c:pt idx="7">
                  <c:v>2.5644324258970377</c:v>
                </c:pt>
                <c:pt idx="8">
                  <c:v>1.8229146073357003</c:v>
                </c:pt>
              </c:numCache>
            </c:numRef>
          </c:xVal>
          <c:yVal>
            <c:numRef>
              <c:f>'2007'!$H$15:$H$23</c:f>
              <c:numCache>
                <c:formatCode>General</c:formatCode>
                <c:ptCount val="9"/>
                <c:pt idx="0">
                  <c:v>16.244</c:v>
                </c:pt>
                <c:pt idx="1">
                  <c:v>13.106999999999999</c:v>
                </c:pt>
                <c:pt idx="2">
                  <c:v>3.7480000000000002</c:v>
                </c:pt>
                <c:pt idx="3">
                  <c:v>3.1850000000000001</c:v>
                </c:pt>
                <c:pt idx="4">
                  <c:v>3.0779999999999998</c:v>
                </c:pt>
                <c:pt idx="5">
                  <c:v>3.6869999999999998</c:v>
                </c:pt>
                <c:pt idx="6">
                  <c:v>2.2869999999999999</c:v>
                </c:pt>
                <c:pt idx="7">
                  <c:v>2.58</c:v>
                </c:pt>
                <c:pt idx="8">
                  <c:v>2.0529999999999999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21-7C41-A8D6-1D1F3D1E9043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'2007'!$G$15:$G$23</c:f>
              <c:numCache>
                <c:formatCode>General</c:formatCode>
                <c:ptCount val="9"/>
                <c:pt idx="0">
                  <c:v>19.938242052661845</c:v>
                </c:pt>
                <c:pt idx="1">
                  <c:v>12.769589295497285</c:v>
                </c:pt>
                <c:pt idx="2">
                  <c:v>7.9126936271036872</c:v>
                </c:pt>
                <c:pt idx="3">
                  <c:v>5.9824288336989913</c:v>
                </c:pt>
                <c:pt idx="4">
                  <c:v>5.1302999057335112</c:v>
                </c:pt>
                <c:pt idx="5">
                  <c:v>4.3529165166719324</c:v>
                </c:pt>
                <c:pt idx="6">
                  <c:v>2.8588889070959689</c:v>
                </c:pt>
                <c:pt idx="7">
                  <c:v>2.5644324258970377</c:v>
                </c:pt>
                <c:pt idx="8">
                  <c:v>1.8229146073357003</c:v>
                </c:pt>
              </c:numCache>
            </c:numRef>
          </c:xVal>
          <c:yVal>
            <c:numRef>
              <c:f>'2007'!$B$50:$B$58</c:f>
              <c:numCache>
                <c:formatCode>General</c:formatCode>
                <c:ptCount val="9"/>
                <c:pt idx="0">
                  <c:v>16.606696028739595</c:v>
                </c:pt>
                <c:pt idx="1">
                  <c:v>10.464180832390992</c:v>
                </c:pt>
                <c:pt idx="2">
                  <c:v>6.3025124602731148</c:v>
                </c:pt>
                <c:pt idx="3">
                  <c:v>4.6485502405777712</c:v>
                </c:pt>
                <c:pt idx="4">
                  <c:v>3.9183970211956529</c:v>
                </c:pt>
                <c:pt idx="5">
                  <c:v>3.2522900911414165</c:v>
                </c:pt>
                <c:pt idx="6">
                  <c:v>1.9721210543007239</c:v>
                </c:pt>
                <c:pt idx="7">
                  <c:v>1.7198137558867921</c:v>
                </c:pt>
                <c:pt idx="8">
                  <c:v>1.0844385154939451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21-7C41-A8D6-1D1F3D1E9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34128"/>
        <c:axId val="1593135808"/>
      </c:scatterChart>
      <c:valAx>
        <c:axId val="1593134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93135808"/>
        <c:crosses val="autoZero"/>
        <c:crossBetween val="midCat"/>
      </c:valAx>
      <c:valAx>
        <c:axId val="1593135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931341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'2007'!$G$15:$G$23</c:f>
              <c:numCache>
                <c:formatCode>General</c:formatCode>
                <c:ptCount val="9"/>
                <c:pt idx="0">
                  <c:v>19.938242052661845</c:v>
                </c:pt>
                <c:pt idx="1">
                  <c:v>12.769589295497285</c:v>
                </c:pt>
                <c:pt idx="2">
                  <c:v>7.9126936271036872</c:v>
                </c:pt>
                <c:pt idx="3">
                  <c:v>5.9824288336989913</c:v>
                </c:pt>
                <c:pt idx="4">
                  <c:v>5.1302999057335112</c:v>
                </c:pt>
                <c:pt idx="5">
                  <c:v>4.3529165166719324</c:v>
                </c:pt>
                <c:pt idx="6">
                  <c:v>2.8588889070959689</c:v>
                </c:pt>
                <c:pt idx="7">
                  <c:v>2.5644324258970377</c:v>
                </c:pt>
                <c:pt idx="8">
                  <c:v>1.8229146073357003</c:v>
                </c:pt>
              </c:numCache>
            </c:numRef>
          </c:xVal>
          <c:yVal>
            <c:numRef>
              <c:f>'2007'!$I$15:$I$23</c:f>
              <c:numCache>
                <c:formatCode>General</c:formatCode>
                <c:ptCount val="9"/>
                <c:pt idx="0">
                  <c:v>7.29</c:v>
                </c:pt>
                <c:pt idx="1">
                  <c:v>3.2290000000000001</c:v>
                </c:pt>
                <c:pt idx="2">
                  <c:v>2.2050000000000001</c:v>
                </c:pt>
                <c:pt idx="3">
                  <c:v>1.754</c:v>
                </c:pt>
                <c:pt idx="4">
                  <c:v>1.8080000000000001</c:v>
                </c:pt>
                <c:pt idx="5">
                  <c:v>2.0779999999999998</c:v>
                </c:pt>
                <c:pt idx="6">
                  <c:v>1.5569999999999999</c:v>
                </c:pt>
                <c:pt idx="7">
                  <c:v>1.1850000000000001</c:v>
                </c:pt>
                <c:pt idx="8">
                  <c:v>1.167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DB-8B41-82A4-283C55AB6789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'2007'!$G$15:$G$23</c:f>
              <c:numCache>
                <c:formatCode>General</c:formatCode>
                <c:ptCount val="9"/>
                <c:pt idx="0">
                  <c:v>19.938242052661845</c:v>
                </c:pt>
                <c:pt idx="1">
                  <c:v>12.769589295497285</c:v>
                </c:pt>
                <c:pt idx="2">
                  <c:v>7.9126936271036872</c:v>
                </c:pt>
                <c:pt idx="3">
                  <c:v>5.9824288336989913</c:v>
                </c:pt>
                <c:pt idx="4">
                  <c:v>5.1302999057335112</c:v>
                </c:pt>
                <c:pt idx="5">
                  <c:v>4.3529165166719324</c:v>
                </c:pt>
                <c:pt idx="6">
                  <c:v>2.8588889070959689</c:v>
                </c:pt>
                <c:pt idx="7">
                  <c:v>2.5644324258970377</c:v>
                </c:pt>
                <c:pt idx="8">
                  <c:v>1.8229146073357003</c:v>
                </c:pt>
              </c:numCache>
            </c:numRef>
          </c:xVal>
          <c:yVal>
            <c:numRef>
              <c:f>'2007'!$B$85:$B$93</c:f>
              <c:numCache>
                <c:formatCode>General</c:formatCode>
                <c:ptCount val="9"/>
                <c:pt idx="0">
                  <c:v>6.4723358159086395</c:v>
                </c:pt>
                <c:pt idx="1">
                  <c:v>4.2510800039109462</c:v>
                </c:pt>
                <c:pt idx="2">
                  <c:v>2.7461378485103429</c:v>
                </c:pt>
                <c:pt idx="3">
                  <c:v>2.1480321742245367</c:v>
                </c:pt>
                <c:pt idx="4">
                  <c:v>1.8839942304249895</c:v>
                </c:pt>
                <c:pt idx="5">
                  <c:v>1.6431167002115592</c:v>
                </c:pt>
                <c:pt idx="6">
                  <c:v>1.1801820842561541</c:v>
                </c:pt>
                <c:pt idx="7">
                  <c:v>1.0889427409095502</c:v>
                </c:pt>
                <c:pt idx="8">
                  <c:v>0.85917840164328263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DB-8B41-82A4-283C55AB6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812752"/>
        <c:axId val="1610814432"/>
      </c:scatterChart>
      <c:valAx>
        <c:axId val="1610812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0814432"/>
        <c:crosses val="autoZero"/>
        <c:crossBetween val="midCat"/>
      </c:valAx>
      <c:valAx>
        <c:axId val="1610814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08127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AMZN!$F$50:$F$60</c:f>
              <c:numCache>
                <c:formatCode>General</c:formatCode>
                <c:ptCount val="11"/>
                <c:pt idx="0">
                  <c:v>4.5454545454545459</c:v>
                </c:pt>
                <c:pt idx="1">
                  <c:v>13.636363636363637</c:v>
                </c:pt>
                <c:pt idx="2">
                  <c:v>22.72727272727273</c:v>
                </c:pt>
                <c:pt idx="3">
                  <c:v>31.81818181818182</c:v>
                </c:pt>
                <c:pt idx="4">
                  <c:v>40.909090909090914</c:v>
                </c:pt>
                <c:pt idx="5">
                  <c:v>50.000000000000007</c:v>
                </c:pt>
                <c:pt idx="6">
                  <c:v>59.090909090909093</c:v>
                </c:pt>
                <c:pt idx="7">
                  <c:v>68.181818181818187</c:v>
                </c:pt>
                <c:pt idx="8">
                  <c:v>77.27272727272728</c:v>
                </c:pt>
                <c:pt idx="9">
                  <c:v>86.363636363636374</c:v>
                </c:pt>
                <c:pt idx="10">
                  <c:v>95.454545454545467</c:v>
                </c:pt>
              </c:numCache>
            </c:numRef>
          </c:xVal>
          <c:yVal>
            <c:numRef>
              <c:f>AMZN!$G$50:$G$60</c:f>
              <c:numCache>
                <c:formatCode>General</c:formatCode>
                <c:ptCount val="11"/>
                <c:pt idx="0">
                  <c:v>96.25</c:v>
                </c:pt>
                <c:pt idx="1">
                  <c:v>142.25</c:v>
                </c:pt>
                <c:pt idx="2">
                  <c:v>184.76</c:v>
                </c:pt>
                <c:pt idx="3">
                  <c:v>246.71</c:v>
                </c:pt>
                <c:pt idx="4">
                  <c:v>261.68</c:v>
                </c:pt>
                <c:pt idx="5">
                  <c:v>404.39</c:v>
                </c:pt>
                <c:pt idx="6">
                  <c:v>407.05</c:v>
                </c:pt>
                <c:pt idx="7">
                  <c:v>693.97</c:v>
                </c:pt>
                <c:pt idx="8">
                  <c:v>844.36</c:v>
                </c:pt>
                <c:pt idx="9">
                  <c:v>1195.83</c:v>
                </c:pt>
                <c:pt idx="10">
                  <c:v>2039.51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8C-8C43-A818-D98B6A6CD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805648"/>
        <c:axId val="998453616"/>
      </c:scatterChart>
      <c:valAx>
        <c:axId val="100080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8453616"/>
        <c:crosses val="autoZero"/>
        <c:crossBetween val="midCat"/>
      </c:valAx>
      <c:valAx>
        <c:axId val="998453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08056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AMZN!$F$14:$F$24</c:f>
              <c:numCache>
                <c:formatCode>General</c:formatCode>
                <c:ptCount val="11"/>
                <c:pt idx="0">
                  <c:v>1189.01</c:v>
                </c:pt>
                <c:pt idx="1">
                  <c:v>753.67</c:v>
                </c:pt>
                <c:pt idx="2">
                  <c:v>482.07</c:v>
                </c:pt>
                <c:pt idx="3">
                  <c:v>286.95</c:v>
                </c:pt>
                <c:pt idx="4">
                  <c:v>287.06</c:v>
                </c:pt>
                <c:pt idx="5">
                  <c:v>248.23</c:v>
                </c:pt>
                <c:pt idx="6">
                  <c:v>175.93</c:v>
                </c:pt>
                <c:pt idx="7">
                  <c:v>160.97</c:v>
                </c:pt>
                <c:pt idx="8">
                  <c:v>108.61</c:v>
                </c:pt>
                <c:pt idx="9">
                  <c:v>48.44</c:v>
                </c:pt>
                <c:pt idx="10">
                  <c:v>35.03</c:v>
                </c:pt>
              </c:numCache>
            </c:numRef>
          </c:xVal>
          <c:yVal>
            <c:numRef>
              <c:f>AMZN!$C$88:$C$98</c:f>
              <c:numCache>
                <c:formatCode>General</c:formatCode>
                <c:ptCount val="11"/>
                <c:pt idx="0">
                  <c:v>36.735287979688792</c:v>
                </c:pt>
                <c:pt idx="1">
                  <c:v>-80.978954648053787</c:v>
                </c:pt>
                <c:pt idx="2">
                  <c:v>20.466696802089245</c:v>
                </c:pt>
                <c:pt idx="3">
                  <c:v>195.45556981737599</c:v>
                </c:pt>
                <c:pt idx="4">
                  <c:v>-91.64786435662819</c:v>
                </c:pt>
                <c:pt idx="5">
                  <c:v>-29.555600933178084</c:v>
                </c:pt>
                <c:pt idx="6">
                  <c:v>-51.699321110478081</c:v>
                </c:pt>
                <c:pt idx="7">
                  <c:v>-41.722273445919399</c:v>
                </c:pt>
                <c:pt idx="8">
                  <c:v>-16.357606619964031</c:v>
                </c:pt>
                <c:pt idx="9">
                  <c:v>41.470886560282992</c:v>
                </c:pt>
                <c:pt idx="10">
                  <c:v>17.833179954783787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6B-3D4A-A68E-449DC41D1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372256"/>
        <c:axId val="1001212640"/>
      </c:scatterChart>
      <c:valAx>
        <c:axId val="998372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1212640"/>
        <c:crosses val="autoZero"/>
        <c:crossBetween val="midCat"/>
      </c:valAx>
      <c:valAx>
        <c:axId val="1001212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83722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AMZN!$F$14:$F$24</c:f>
              <c:numCache>
                <c:formatCode>General</c:formatCode>
                <c:ptCount val="11"/>
                <c:pt idx="0">
                  <c:v>1189.01</c:v>
                </c:pt>
                <c:pt idx="1">
                  <c:v>753.67</c:v>
                </c:pt>
                <c:pt idx="2">
                  <c:v>482.07</c:v>
                </c:pt>
                <c:pt idx="3">
                  <c:v>286.95</c:v>
                </c:pt>
                <c:pt idx="4">
                  <c:v>287.06</c:v>
                </c:pt>
                <c:pt idx="5">
                  <c:v>248.23</c:v>
                </c:pt>
                <c:pt idx="6">
                  <c:v>175.93</c:v>
                </c:pt>
                <c:pt idx="7">
                  <c:v>160.97</c:v>
                </c:pt>
                <c:pt idx="8">
                  <c:v>108.61</c:v>
                </c:pt>
                <c:pt idx="9">
                  <c:v>48.44</c:v>
                </c:pt>
                <c:pt idx="10">
                  <c:v>35.03</c:v>
                </c:pt>
              </c:numCache>
            </c:numRef>
          </c:xVal>
          <c:yVal>
            <c:numRef>
              <c:f>AMZN!$E$14:$E$24</c:f>
              <c:numCache>
                <c:formatCode>General</c:formatCode>
                <c:ptCount val="11"/>
                <c:pt idx="0">
                  <c:v>2039.51</c:v>
                </c:pt>
                <c:pt idx="1">
                  <c:v>1195.83</c:v>
                </c:pt>
                <c:pt idx="2">
                  <c:v>844.36</c:v>
                </c:pt>
                <c:pt idx="3">
                  <c:v>693.97</c:v>
                </c:pt>
                <c:pt idx="4">
                  <c:v>407.05</c:v>
                </c:pt>
                <c:pt idx="5">
                  <c:v>404.39</c:v>
                </c:pt>
                <c:pt idx="6">
                  <c:v>261.68</c:v>
                </c:pt>
                <c:pt idx="7">
                  <c:v>246.71</c:v>
                </c:pt>
                <c:pt idx="8">
                  <c:v>184.76</c:v>
                </c:pt>
                <c:pt idx="9">
                  <c:v>142.25</c:v>
                </c:pt>
                <c:pt idx="10">
                  <c:v>96.25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C6-2E4D-BAFA-8801DD0D0BE1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AMZN!$F$14:$F$24</c:f>
              <c:numCache>
                <c:formatCode>General</c:formatCode>
                <c:ptCount val="11"/>
                <c:pt idx="0">
                  <c:v>1189.01</c:v>
                </c:pt>
                <c:pt idx="1">
                  <c:v>753.67</c:v>
                </c:pt>
                <c:pt idx="2">
                  <c:v>482.07</c:v>
                </c:pt>
                <c:pt idx="3">
                  <c:v>286.95</c:v>
                </c:pt>
                <c:pt idx="4">
                  <c:v>287.06</c:v>
                </c:pt>
                <c:pt idx="5">
                  <c:v>248.23</c:v>
                </c:pt>
                <c:pt idx="6">
                  <c:v>175.93</c:v>
                </c:pt>
                <c:pt idx="7">
                  <c:v>160.97</c:v>
                </c:pt>
                <c:pt idx="8">
                  <c:v>108.61</c:v>
                </c:pt>
                <c:pt idx="9">
                  <c:v>48.44</c:v>
                </c:pt>
                <c:pt idx="10">
                  <c:v>35.03</c:v>
                </c:pt>
              </c:numCache>
            </c:numRef>
          </c:xVal>
          <c:yVal>
            <c:numRef>
              <c:f>AMZN!$B$88:$B$98</c:f>
              <c:numCache>
                <c:formatCode>General</c:formatCode>
                <c:ptCount val="11"/>
                <c:pt idx="0">
                  <c:v>2002.7747120203112</c:v>
                </c:pt>
                <c:pt idx="1">
                  <c:v>1276.8089546480537</c:v>
                </c:pt>
                <c:pt idx="2">
                  <c:v>823.89330319791077</c:v>
                </c:pt>
                <c:pt idx="3">
                  <c:v>498.51443018262404</c:v>
                </c:pt>
                <c:pt idx="4">
                  <c:v>498.6978643566282</c:v>
                </c:pt>
                <c:pt idx="5">
                  <c:v>433.94560093317807</c:v>
                </c:pt>
                <c:pt idx="6">
                  <c:v>313.37932111047809</c:v>
                </c:pt>
                <c:pt idx="7">
                  <c:v>288.43227344591941</c:v>
                </c:pt>
                <c:pt idx="8">
                  <c:v>201.11760661996402</c:v>
                </c:pt>
                <c:pt idx="9">
                  <c:v>100.77911343971701</c:v>
                </c:pt>
                <c:pt idx="10">
                  <c:v>78.416820045216213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C6-2E4D-BAFA-8801DD0D0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732368"/>
        <c:axId val="1000840336"/>
      </c:scatterChart>
      <c:valAx>
        <c:axId val="100073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0840336"/>
        <c:crosses val="autoZero"/>
        <c:crossBetween val="midCat"/>
      </c:valAx>
      <c:valAx>
        <c:axId val="1000840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07323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4" Type="http://schemas.openxmlformats.org/officeDocument/2006/relationships/chart" Target="../charts/chart46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4" Type="http://schemas.openxmlformats.org/officeDocument/2006/relationships/chart" Target="../charts/chart50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6" Type="http://schemas.openxmlformats.org/officeDocument/2006/relationships/chart" Target="../charts/chart56.xml"/><Relationship Id="rId5" Type="http://schemas.openxmlformats.org/officeDocument/2006/relationships/chart" Target="../charts/chart55.xml"/><Relationship Id="rId4" Type="http://schemas.openxmlformats.org/officeDocument/2006/relationships/chart" Target="../charts/chart5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5.xml"/><Relationship Id="rId2" Type="http://schemas.openxmlformats.org/officeDocument/2006/relationships/chart" Target="../charts/chart64.xml"/><Relationship Id="rId1" Type="http://schemas.openxmlformats.org/officeDocument/2006/relationships/chart" Target="../charts/chart63.xml"/><Relationship Id="rId4" Type="http://schemas.openxmlformats.org/officeDocument/2006/relationships/chart" Target="../charts/chart66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4" Type="http://schemas.openxmlformats.org/officeDocument/2006/relationships/chart" Target="../charts/chart4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279400</xdr:colOff>
      <xdr:row>20</xdr:row>
      <xdr:rowOff>50800</xdr:rowOff>
    </xdr:from>
    <xdr:to>
      <xdr:col>16</xdr:col>
      <xdr:colOff>279400</xdr:colOff>
      <xdr:row>30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100EF8-932C-C348-9E39-C25C7DD8B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279400</xdr:colOff>
      <xdr:row>22</xdr:row>
      <xdr:rowOff>63500</xdr:rowOff>
    </xdr:from>
    <xdr:to>
      <xdr:col>17</xdr:col>
      <xdr:colOff>279400</xdr:colOff>
      <xdr:row>32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3FBE96-22F1-C846-B4B2-F1884CDFA3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279400</xdr:colOff>
      <xdr:row>51</xdr:row>
      <xdr:rowOff>63500</xdr:rowOff>
    </xdr:from>
    <xdr:to>
      <xdr:col>16</xdr:col>
      <xdr:colOff>279400</xdr:colOff>
      <xdr:row>61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049A79-7D89-EE44-B603-9C00E6004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279400</xdr:colOff>
      <xdr:row>53</xdr:row>
      <xdr:rowOff>76200</xdr:rowOff>
    </xdr:from>
    <xdr:to>
      <xdr:col>17</xdr:col>
      <xdr:colOff>279400</xdr:colOff>
      <xdr:row>63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43C51E-1355-2E4A-9254-6DA51E5382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19</xdr:row>
      <xdr:rowOff>101600</xdr:rowOff>
    </xdr:from>
    <xdr:to>
      <xdr:col>15</xdr:col>
      <xdr:colOff>279400</xdr:colOff>
      <xdr:row>29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4E2F7E3-4DB2-B94B-A0DE-7885705407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279400</xdr:colOff>
      <xdr:row>21</xdr:row>
      <xdr:rowOff>101600</xdr:rowOff>
    </xdr:from>
    <xdr:to>
      <xdr:col>16</xdr:col>
      <xdr:colOff>279400</xdr:colOff>
      <xdr:row>31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92B03B2-7326-E844-BC1E-0C5C284B5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279400</xdr:colOff>
      <xdr:row>55</xdr:row>
      <xdr:rowOff>63500</xdr:rowOff>
    </xdr:from>
    <xdr:to>
      <xdr:col>15</xdr:col>
      <xdr:colOff>279400</xdr:colOff>
      <xdr:row>65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42D4426-961D-A942-8916-7134D99D2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279400</xdr:colOff>
      <xdr:row>57</xdr:row>
      <xdr:rowOff>63500</xdr:rowOff>
    </xdr:from>
    <xdr:to>
      <xdr:col>16</xdr:col>
      <xdr:colOff>279400</xdr:colOff>
      <xdr:row>67</xdr:row>
      <xdr:rowOff>63500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357CB84-9378-8347-954F-5EAA1ABFB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61</xdr:row>
      <xdr:rowOff>127000</xdr:rowOff>
    </xdr:from>
    <xdr:to>
      <xdr:col>15</xdr:col>
      <xdr:colOff>279400</xdr:colOff>
      <xdr:row>71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A00830-80CF-EE4F-87BF-F30832A3F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279400</xdr:colOff>
      <xdr:row>63</xdr:row>
      <xdr:rowOff>139700</xdr:rowOff>
    </xdr:from>
    <xdr:to>
      <xdr:col>16</xdr:col>
      <xdr:colOff>279400</xdr:colOff>
      <xdr:row>73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1AAA7A-43BB-0843-9258-A0D69C16D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279400</xdr:colOff>
      <xdr:row>25</xdr:row>
      <xdr:rowOff>63500</xdr:rowOff>
    </xdr:from>
    <xdr:to>
      <xdr:col>15</xdr:col>
      <xdr:colOff>279400</xdr:colOff>
      <xdr:row>35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686298-C39B-574B-9F88-26FF476BEF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279400</xdr:colOff>
      <xdr:row>27</xdr:row>
      <xdr:rowOff>76200</xdr:rowOff>
    </xdr:from>
    <xdr:to>
      <xdr:col>16</xdr:col>
      <xdr:colOff>279400</xdr:colOff>
      <xdr:row>37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38193FA-E549-CA47-81CA-6CAA6FCB5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25</xdr:row>
      <xdr:rowOff>63500</xdr:rowOff>
    </xdr:from>
    <xdr:to>
      <xdr:col>15</xdr:col>
      <xdr:colOff>279400</xdr:colOff>
      <xdr:row>35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35CB1C0-06D5-C94D-A1AF-414F7B87D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279400</xdr:colOff>
      <xdr:row>27</xdr:row>
      <xdr:rowOff>63500</xdr:rowOff>
    </xdr:from>
    <xdr:to>
      <xdr:col>16</xdr:col>
      <xdr:colOff>279400</xdr:colOff>
      <xdr:row>37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227DFFD-2B0E-C74A-BC8B-28F2C765B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279400</xdr:colOff>
      <xdr:row>29</xdr:row>
      <xdr:rowOff>63500</xdr:rowOff>
    </xdr:from>
    <xdr:to>
      <xdr:col>17</xdr:col>
      <xdr:colOff>279400</xdr:colOff>
      <xdr:row>39</xdr:row>
      <xdr:rowOff>50800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133D5CC-553F-4643-B390-7FCB0D4FA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279400</xdr:colOff>
      <xdr:row>27</xdr:row>
      <xdr:rowOff>127000</xdr:rowOff>
    </xdr:from>
    <xdr:to>
      <xdr:col>16</xdr:col>
      <xdr:colOff>279400</xdr:colOff>
      <xdr:row>37</xdr:row>
      <xdr:rowOff>139700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ACD70CB-259B-8F4A-B3C8-B4F243094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279400</xdr:colOff>
      <xdr:row>29</xdr:row>
      <xdr:rowOff>139700</xdr:rowOff>
    </xdr:from>
    <xdr:to>
      <xdr:col>17</xdr:col>
      <xdr:colOff>279400</xdr:colOff>
      <xdr:row>39</xdr:row>
      <xdr:rowOff>114300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967ACC5-AA7E-4F4E-B4A1-083467FE6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279400</xdr:colOff>
      <xdr:row>31</xdr:row>
      <xdr:rowOff>139700</xdr:rowOff>
    </xdr:from>
    <xdr:to>
      <xdr:col>18</xdr:col>
      <xdr:colOff>279400</xdr:colOff>
      <xdr:row>41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EB99A53-352F-DC46-9407-4AAAABE802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21</xdr:row>
      <xdr:rowOff>63500</xdr:rowOff>
    </xdr:from>
    <xdr:to>
      <xdr:col>15</xdr:col>
      <xdr:colOff>279400</xdr:colOff>
      <xdr:row>31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F7FF17-7572-184A-96C2-2AC2A17AFE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584200</xdr:colOff>
      <xdr:row>29</xdr:row>
      <xdr:rowOff>190500</xdr:rowOff>
    </xdr:from>
    <xdr:to>
      <xdr:col>15</xdr:col>
      <xdr:colOff>584200</xdr:colOff>
      <xdr:row>39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53A0F6-03E8-B74F-8231-62BE527508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254000</xdr:colOff>
      <xdr:row>38</xdr:row>
      <xdr:rowOff>165100</xdr:rowOff>
    </xdr:from>
    <xdr:to>
      <xdr:col>16</xdr:col>
      <xdr:colOff>254000</xdr:colOff>
      <xdr:row>48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5B4825-5777-E142-A4F0-2EEB5DCBF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279400</xdr:colOff>
      <xdr:row>66</xdr:row>
      <xdr:rowOff>25400</xdr:rowOff>
    </xdr:from>
    <xdr:to>
      <xdr:col>15</xdr:col>
      <xdr:colOff>279400</xdr:colOff>
      <xdr:row>76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24F275-1A6A-1345-8DDC-B39C71B72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800100</xdr:colOff>
      <xdr:row>73</xdr:row>
      <xdr:rowOff>38100</xdr:rowOff>
    </xdr:from>
    <xdr:to>
      <xdr:col>20</xdr:col>
      <xdr:colOff>800100</xdr:colOff>
      <xdr:row>83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56F84B3-8FE3-3641-90D4-16F79FA32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812800</xdr:colOff>
      <xdr:row>77</xdr:row>
      <xdr:rowOff>38100</xdr:rowOff>
    </xdr:from>
    <xdr:to>
      <xdr:col>14</xdr:col>
      <xdr:colOff>812800</xdr:colOff>
      <xdr:row>87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14D1AB0-C00A-004C-9AE1-DFA8F1B284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22</xdr:row>
      <xdr:rowOff>63500</xdr:rowOff>
    </xdr:from>
    <xdr:to>
      <xdr:col>15</xdr:col>
      <xdr:colOff>279400</xdr:colOff>
      <xdr:row>32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D019C9B-EE9B-1949-91D9-85A661E56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279400</xdr:colOff>
      <xdr:row>24</xdr:row>
      <xdr:rowOff>63500</xdr:rowOff>
    </xdr:from>
    <xdr:to>
      <xdr:col>16</xdr:col>
      <xdr:colOff>279400</xdr:colOff>
      <xdr:row>34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85B3404-C814-FC42-BC8E-4AA049388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279400</xdr:colOff>
      <xdr:row>24</xdr:row>
      <xdr:rowOff>114300</xdr:rowOff>
    </xdr:from>
    <xdr:to>
      <xdr:col>15</xdr:col>
      <xdr:colOff>279400</xdr:colOff>
      <xdr:row>34</xdr:row>
      <xdr:rowOff>127000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2686DB5-5487-B74C-A534-2D9997349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279400</xdr:colOff>
      <xdr:row>26</xdr:row>
      <xdr:rowOff>127000</xdr:rowOff>
    </xdr:from>
    <xdr:to>
      <xdr:col>16</xdr:col>
      <xdr:colOff>279400</xdr:colOff>
      <xdr:row>36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37040CA-F2A9-4C4E-8204-6CFC72D07D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26</xdr:row>
      <xdr:rowOff>63500</xdr:rowOff>
    </xdr:from>
    <xdr:to>
      <xdr:col>15</xdr:col>
      <xdr:colOff>279400</xdr:colOff>
      <xdr:row>36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9306320-FBEF-284F-BBC1-A7126C885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406400</xdr:colOff>
      <xdr:row>64</xdr:row>
      <xdr:rowOff>139700</xdr:rowOff>
    </xdr:from>
    <xdr:to>
      <xdr:col>14</xdr:col>
      <xdr:colOff>304800</xdr:colOff>
      <xdr:row>74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EFDA4F-793C-2D47-9A06-D80E0D183C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19</xdr:row>
      <xdr:rowOff>63500</xdr:rowOff>
    </xdr:from>
    <xdr:to>
      <xdr:col>15</xdr:col>
      <xdr:colOff>279400</xdr:colOff>
      <xdr:row>29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DF104-FE63-7B40-B35F-012374F488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279400</xdr:colOff>
      <xdr:row>21</xdr:row>
      <xdr:rowOff>76200</xdr:rowOff>
    </xdr:from>
    <xdr:to>
      <xdr:col>16</xdr:col>
      <xdr:colOff>279400</xdr:colOff>
      <xdr:row>31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29AFB27-D54D-7043-BBC6-23BD3FD79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571500</xdr:colOff>
      <xdr:row>35</xdr:row>
      <xdr:rowOff>50800</xdr:rowOff>
    </xdr:from>
    <xdr:to>
      <xdr:col>17</xdr:col>
      <xdr:colOff>571500</xdr:colOff>
      <xdr:row>45</xdr:row>
      <xdr:rowOff>50800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D9458C-0C64-A441-B35C-D52D6AEA9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279400</xdr:colOff>
      <xdr:row>64</xdr:row>
      <xdr:rowOff>63500</xdr:rowOff>
    </xdr:from>
    <xdr:to>
      <xdr:col>15</xdr:col>
      <xdr:colOff>279400</xdr:colOff>
      <xdr:row>74</xdr:row>
      <xdr:rowOff>63500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C9AA1CD-6824-1D47-9C57-707EFB5E81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279400</xdr:colOff>
      <xdr:row>66</xdr:row>
      <xdr:rowOff>63500</xdr:rowOff>
    </xdr:from>
    <xdr:to>
      <xdr:col>16</xdr:col>
      <xdr:colOff>279400</xdr:colOff>
      <xdr:row>76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F9F952-3BB9-BB4C-B2EE-5FAAFE31B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279400</xdr:colOff>
      <xdr:row>68</xdr:row>
      <xdr:rowOff>63500</xdr:rowOff>
    </xdr:from>
    <xdr:to>
      <xdr:col>17</xdr:col>
      <xdr:colOff>279400</xdr:colOff>
      <xdr:row>78</xdr:row>
      <xdr:rowOff>50800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43B6977-9A1D-7845-99C7-E9B6B41C8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47</xdr:row>
      <xdr:rowOff>177800</xdr:rowOff>
    </xdr:from>
    <xdr:to>
      <xdr:col>15</xdr:col>
      <xdr:colOff>279400</xdr:colOff>
      <xdr:row>57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976347F-5D63-C34C-B3F3-66269517F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279400</xdr:colOff>
      <xdr:row>49</xdr:row>
      <xdr:rowOff>190500</xdr:rowOff>
    </xdr:from>
    <xdr:to>
      <xdr:col>16</xdr:col>
      <xdr:colOff>279400</xdr:colOff>
      <xdr:row>59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693D7A8-DA64-4642-9E48-67967EBAB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279400</xdr:colOff>
      <xdr:row>28</xdr:row>
      <xdr:rowOff>12700</xdr:rowOff>
    </xdr:from>
    <xdr:to>
      <xdr:col>15</xdr:col>
      <xdr:colOff>279400</xdr:colOff>
      <xdr:row>38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BE86831-7E62-494F-9874-391B910B2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279400</xdr:colOff>
      <xdr:row>30</xdr:row>
      <xdr:rowOff>12700</xdr:rowOff>
    </xdr:from>
    <xdr:to>
      <xdr:col>16</xdr:col>
      <xdr:colOff>279400</xdr:colOff>
      <xdr:row>39</xdr:row>
      <xdr:rowOff>190500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E108B8C-B557-E041-B394-F2C3CF0B6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279400</xdr:colOff>
      <xdr:row>25</xdr:row>
      <xdr:rowOff>63500</xdr:rowOff>
    </xdr:from>
    <xdr:to>
      <xdr:col>16</xdr:col>
      <xdr:colOff>279400</xdr:colOff>
      <xdr:row>35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895237F-B505-684F-A159-8325F4CD7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279400</xdr:colOff>
      <xdr:row>27</xdr:row>
      <xdr:rowOff>63500</xdr:rowOff>
    </xdr:from>
    <xdr:to>
      <xdr:col>17</xdr:col>
      <xdr:colOff>279400</xdr:colOff>
      <xdr:row>37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B781E1A-BF68-7C4C-8961-B46F4998C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279400</xdr:colOff>
      <xdr:row>29</xdr:row>
      <xdr:rowOff>63500</xdr:rowOff>
    </xdr:from>
    <xdr:to>
      <xdr:col>18</xdr:col>
      <xdr:colOff>279400</xdr:colOff>
      <xdr:row>39</xdr:row>
      <xdr:rowOff>50800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D5A8726-A773-7547-A50C-FF903B86D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279400</xdr:colOff>
      <xdr:row>63</xdr:row>
      <xdr:rowOff>63500</xdr:rowOff>
    </xdr:from>
    <xdr:to>
      <xdr:col>16</xdr:col>
      <xdr:colOff>279400</xdr:colOff>
      <xdr:row>73</xdr:row>
      <xdr:rowOff>63500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6D8FF6-454D-DE4F-AEFE-3C896ADBA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279400</xdr:colOff>
      <xdr:row>65</xdr:row>
      <xdr:rowOff>63500</xdr:rowOff>
    </xdr:from>
    <xdr:to>
      <xdr:col>17</xdr:col>
      <xdr:colOff>279400</xdr:colOff>
      <xdr:row>75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5D66CB6-EF94-AA41-A7A6-61098502F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279400</xdr:colOff>
      <xdr:row>67</xdr:row>
      <xdr:rowOff>63500</xdr:rowOff>
    </xdr:from>
    <xdr:to>
      <xdr:col>18</xdr:col>
      <xdr:colOff>279400</xdr:colOff>
      <xdr:row>77</xdr:row>
      <xdr:rowOff>50800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A3DC6F7-09A3-F641-9743-782EA8B3C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24</xdr:row>
      <xdr:rowOff>63500</xdr:rowOff>
    </xdr:from>
    <xdr:to>
      <xdr:col>15</xdr:col>
      <xdr:colOff>279400</xdr:colOff>
      <xdr:row>34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B3E75D-29C3-BD40-940E-7378391C4C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279400</xdr:colOff>
      <xdr:row>26</xdr:row>
      <xdr:rowOff>63500</xdr:rowOff>
    </xdr:from>
    <xdr:to>
      <xdr:col>16</xdr:col>
      <xdr:colOff>279400</xdr:colOff>
      <xdr:row>36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D4868A8-752E-4D45-897B-462F1230D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279400</xdr:colOff>
      <xdr:row>58</xdr:row>
      <xdr:rowOff>63500</xdr:rowOff>
    </xdr:from>
    <xdr:to>
      <xdr:col>15</xdr:col>
      <xdr:colOff>279400</xdr:colOff>
      <xdr:row>68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D6C5AA9-205C-F143-976B-B5B347167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279400</xdr:colOff>
      <xdr:row>60</xdr:row>
      <xdr:rowOff>63500</xdr:rowOff>
    </xdr:from>
    <xdr:to>
      <xdr:col>16</xdr:col>
      <xdr:colOff>279400</xdr:colOff>
      <xdr:row>70</xdr:row>
      <xdr:rowOff>63500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2BBF3AB-D0CB-0941-A523-69C406208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520700</xdr:colOff>
      <xdr:row>20</xdr:row>
      <xdr:rowOff>190500</xdr:rowOff>
    </xdr:from>
    <xdr:to>
      <xdr:col>15</xdr:col>
      <xdr:colOff>520700</xdr:colOff>
      <xdr:row>30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DD8AFB-F73C-774E-B2D2-2F31A462F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368300</xdr:colOff>
      <xdr:row>21</xdr:row>
      <xdr:rowOff>177800</xdr:rowOff>
    </xdr:from>
    <xdr:to>
      <xdr:col>15</xdr:col>
      <xdr:colOff>368300</xdr:colOff>
      <xdr:row>31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5F60C0-037F-214F-8AC7-F055BB32E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43</xdr:row>
      <xdr:rowOff>0</xdr:rowOff>
    </xdr:from>
    <xdr:to>
      <xdr:col>16</xdr:col>
      <xdr:colOff>0</xdr:colOff>
      <xdr:row>53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9164FA-F169-2C41-A3FE-DB47C83A7A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45</xdr:row>
      <xdr:rowOff>12700</xdr:rowOff>
    </xdr:from>
    <xdr:to>
      <xdr:col>17</xdr:col>
      <xdr:colOff>0</xdr:colOff>
      <xdr:row>55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2D7A677-6E92-8044-8D1C-4DEEDEB451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31</xdr:row>
      <xdr:rowOff>177800</xdr:rowOff>
    </xdr:from>
    <xdr:to>
      <xdr:col>15</xdr:col>
      <xdr:colOff>279400</xdr:colOff>
      <xdr:row>41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EE41BE-8411-AB4D-9993-7797D0504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279400</xdr:colOff>
      <xdr:row>34</xdr:row>
      <xdr:rowOff>0</xdr:rowOff>
    </xdr:from>
    <xdr:to>
      <xdr:col>16</xdr:col>
      <xdr:colOff>279400</xdr:colOff>
      <xdr:row>43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BF42144-0ED2-A040-A583-54C22F2B7E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279400</xdr:colOff>
      <xdr:row>18</xdr:row>
      <xdr:rowOff>114300</xdr:rowOff>
    </xdr:from>
    <xdr:to>
      <xdr:col>15</xdr:col>
      <xdr:colOff>279400</xdr:colOff>
      <xdr:row>28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3FE10C9-7035-7940-ABA6-39AAAF1B3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279400</xdr:colOff>
      <xdr:row>20</xdr:row>
      <xdr:rowOff>101600</xdr:rowOff>
    </xdr:from>
    <xdr:to>
      <xdr:col>16</xdr:col>
      <xdr:colOff>279400</xdr:colOff>
      <xdr:row>30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8B67E9D-546D-F14B-9638-FE52A4912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635000</xdr:colOff>
      <xdr:row>26</xdr:row>
      <xdr:rowOff>0</xdr:rowOff>
    </xdr:from>
    <xdr:to>
      <xdr:col>14</xdr:col>
      <xdr:colOff>635000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4F4780-E448-2A4A-A6DC-7ACAE3E8F5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787400</xdr:colOff>
      <xdr:row>35</xdr:row>
      <xdr:rowOff>38100</xdr:rowOff>
    </xdr:from>
    <xdr:to>
      <xdr:col>14</xdr:col>
      <xdr:colOff>762000</xdr:colOff>
      <xdr:row>45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2BE227-3FC7-7947-8C68-3AD87996B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25400</xdr:colOff>
      <xdr:row>45</xdr:row>
      <xdr:rowOff>114300</xdr:rowOff>
    </xdr:from>
    <xdr:to>
      <xdr:col>15</xdr:col>
      <xdr:colOff>0</xdr:colOff>
      <xdr:row>55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C57486-1554-ED43-BCED-B3B2A9BBE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622300</xdr:colOff>
      <xdr:row>67</xdr:row>
      <xdr:rowOff>63500</xdr:rowOff>
    </xdr:from>
    <xdr:to>
      <xdr:col>14</xdr:col>
      <xdr:colOff>622300</xdr:colOff>
      <xdr:row>77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26DDE4B-0C01-E742-9559-AC616C8451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800100</xdr:colOff>
      <xdr:row>78</xdr:row>
      <xdr:rowOff>165100</xdr:rowOff>
    </xdr:from>
    <xdr:to>
      <xdr:col>14</xdr:col>
      <xdr:colOff>774700</xdr:colOff>
      <xdr:row>88</xdr:row>
      <xdr:rowOff>165100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F7F8BBD-F1CA-F34B-9869-B6050CDEE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241300</xdr:colOff>
      <xdr:row>89</xdr:row>
      <xdr:rowOff>190500</xdr:rowOff>
    </xdr:from>
    <xdr:to>
      <xdr:col>15</xdr:col>
      <xdr:colOff>215900</xdr:colOff>
      <xdr:row>100</xdr:row>
      <xdr:rowOff>12700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10ECCDB-EBBE-9C44-86A0-DD7004DFD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20</xdr:row>
      <xdr:rowOff>50800</xdr:rowOff>
    </xdr:from>
    <xdr:to>
      <xdr:col>15</xdr:col>
      <xdr:colOff>279400</xdr:colOff>
      <xdr:row>30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5FB12C-3110-A848-A882-247E36D26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279400</xdr:colOff>
      <xdr:row>22</xdr:row>
      <xdr:rowOff>63500</xdr:rowOff>
    </xdr:from>
    <xdr:to>
      <xdr:col>16</xdr:col>
      <xdr:colOff>279400</xdr:colOff>
      <xdr:row>32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4CDA07-B19F-2740-9916-338F59B4D4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279400</xdr:colOff>
      <xdr:row>51</xdr:row>
      <xdr:rowOff>63500</xdr:rowOff>
    </xdr:from>
    <xdr:to>
      <xdr:col>15</xdr:col>
      <xdr:colOff>279400</xdr:colOff>
      <xdr:row>61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4A91406-885B-124A-8398-10F6E79AB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279400</xdr:colOff>
      <xdr:row>53</xdr:row>
      <xdr:rowOff>76200</xdr:rowOff>
    </xdr:from>
    <xdr:to>
      <xdr:col>16</xdr:col>
      <xdr:colOff>279400</xdr:colOff>
      <xdr:row>63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B8C565-F5B7-094E-8D01-0DB33DD5C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7ABE0-C2EC-F248-812B-25136B1BBC30}">
  <dimension ref="A1:V84"/>
  <sheetViews>
    <sheetView tabSelected="1" workbookViewId="0">
      <selection activeCell="I14" sqref="I14"/>
    </sheetView>
  </sheetViews>
  <sheetFormatPr baseColWidth="10" defaultRowHeight="16" x14ac:dyDescent="0.2"/>
  <cols>
    <col min="2" max="2" width="11.83203125" bestFit="1" customWidth="1"/>
    <col min="3" max="3" width="11.83203125" customWidth="1"/>
    <col min="4" max="4" width="13.6640625" bestFit="1" customWidth="1"/>
    <col min="5" max="5" width="14.6640625" bestFit="1" customWidth="1"/>
    <col min="11" max="11" width="11.1640625" bestFit="1" customWidth="1"/>
  </cols>
  <sheetData>
    <row r="1" spans="2:22" x14ac:dyDescent="0.2">
      <c r="C1">
        <v>2021</v>
      </c>
      <c r="D1">
        <v>2020</v>
      </c>
      <c r="E1">
        <v>2019</v>
      </c>
      <c r="F1">
        <v>2018</v>
      </c>
      <c r="G1">
        <v>2017</v>
      </c>
      <c r="H1">
        <v>2016</v>
      </c>
      <c r="I1">
        <v>2015</v>
      </c>
      <c r="J1">
        <v>2014</v>
      </c>
      <c r="K1">
        <v>2013</v>
      </c>
    </row>
    <row r="2" spans="2:22" x14ac:dyDescent="0.2">
      <c r="B2" t="s">
        <v>16</v>
      </c>
      <c r="C2">
        <f>E2*1.2</f>
        <v>177.80399999999997</v>
      </c>
      <c r="D2">
        <v>98.66</v>
      </c>
      <c r="E2">
        <v>148.16999999999999</v>
      </c>
      <c r="F2">
        <v>143.86000000000001</v>
      </c>
      <c r="G2">
        <v>121.68</v>
      </c>
      <c r="H2">
        <v>106.91</v>
      </c>
      <c r="I2">
        <v>99.88</v>
      </c>
      <c r="J2">
        <v>118.95</v>
      </c>
      <c r="K2">
        <v>117.38</v>
      </c>
    </row>
    <row r="3" spans="2:22" x14ac:dyDescent="0.2">
      <c r="B3" t="s">
        <v>52</v>
      </c>
      <c r="D3">
        <f>ROUND((D2-E2)/E2*100,2)</f>
        <v>-33.409999999999997</v>
      </c>
      <c r="E3">
        <f t="shared" ref="E3:K3" si="0">ROUND((E2-F2)/F2*100,2)</f>
        <v>3</v>
      </c>
      <c r="F3">
        <f t="shared" si="0"/>
        <v>18.23</v>
      </c>
      <c r="G3">
        <f t="shared" si="0"/>
        <v>13.82</v>
      </c>
      <c r="H3">
        <f t="shared" si="0"/>
        <v>7.04</v>
      </c>
      <c r="I3">
        <f t="shared" si="0"/>
        <v>-16.03</v>
      </c>
      <c r="J3">
        <f t="shared" si="0"/>
        <v>1.34</v>
      </c>
    </row>
    <row r="6" spans="2:22" x14ac:dyDescent="0.2">
      <c r="B6" t="s">
        <v>18</v>
      </c>
      <c r="C6">
        <f>C2*22</f>
        <v>3911.6879999999992</v>
      </c>
      <c r="D6">
        <v>3756.07</v>
      </c>
      <c r="E6">
        <v>3240.02</v>
      </c>
      <c r="F6">
        <v>2930.75</v>
      </c>
      <c r="G6">
        <v>2690.16</v>
      </c>
      <c r="H6">
        <v>2271.7199999999998</v>
      </c>
      <c r="I6">
        <v>2130.8200000000002</v>
      </c>
      <c r="J6">
        <v>2090.5700000000002</v>
      </c>
      <c r="K6">
        <v>1848.36</v>
      </c>
    </row>
    <row r="7" spans="2:22" ht="17" x14ac:dyDescent="0.25">
      <c r="B7" t="s">
        <v>19</v>
      </c>
      <c r="C7">
        <v>3700</v>
      </c>
      <c r="D7">
        <v>2237.4</v>
      </c>
      <c r="E7">
        <v>2447.89</v>
      </c>
      <c r="F7">
        <v>2351.1</v>
      </c>
      <c r="G7">
        <v>2257.83</v>
      </c>
      <c r="H7">
        <v>1829.08</v>
      </c>
      <c r="I7">
        <v>1867.61</v>
      </c>
      <c r="J7">
        <v>1741.89</v>
      </c>
      <c r="K7">
        <v>1457.15</v>
      </c>
      <c r="P7" s="13"/>
    </row>
    <row r="8" spans="2:22" ht="17" x14ac:dyDescent="0.25">
      <c r="B8" t="s">
        <v>72</v>
      </c>
      <c r="D8">
        <f>D6/D2</f>
        <v>38.070849381714986</v>
      </c>
      <c r="E8">
        <f>E6/E2</f>
        <v>21.866909630829454</v>
      </c>
      <c r="F8">
        <f t="shared" ref="F8:K8" si="1">F6/F2</f>
        <v>20.372236896983175</v>
      </c>
      <c r="G8">
        <f t="shared" si="1"/>
        <v>22.108481262327413</v>
      </c>
      <c r="H8">
        <f t="shared" si="1"/>
        <v>21.248900944719857</v>
      </c>
      <c r="I8">
        <f t="shared" si="1"/>
        <v>21.33380056067281</v>
      </c>
      <c r="J8">
        <f t="shared" si="1"/>
        <v>17.575199663724256</v>
      </c>
      <c r="K8">
        <f t="shared" si="1"/>
        <v>15.746805247912762</v>
      </c>
      <c r="M8">
        <f>MEDIAN(E8:K8)</f>
        <v>21.248900944719857</v>
      </c>
      <c r="N8">
        <f>AVERAGE(E8:K8)</f>
        <v>20.03604774388139</v>
      </c>
      <c r="P8" s="13"/>
      <c r="Q8" s="16"/>
    </row>
    <row r="9" spans="2:22" ht="17" x14ac:dyDescent="0.25">
      <c r="B9" t="s">
        <v>73</v>
      </c>
      <c r="C9">
        <f>C7/C2</f>
        <v>20.809430608985178</v>
      </c>
      <c r="D9">
        <f>D7/D2</f>
        <v>22.67788364078654</v>
      </c>
      <c r="E9">
        <f>E7/E2</f>
        <v>16.520820678949857</v>
      </c>
      <c r="F9">
        <f t="shared" ref="F9:K9" si="2">F7/F2</f>
        <v>16.342972334213815</v>
      </c>
      <c r="G9">
        <f t="shared" si="2"/>
        <v>18.555473372781062</v>
      </c>
      <c r="H9">
        <f t="shared" si="2"/>
        <v>17.108596015340005</v>
      </c>
      <c r="I9">
        <f t="shared" si="2"/>
        <v>18.698538245895072</v>
      </c>
      <c r="J9">
        <f t="shared" si="2"/>
        <v>14.643883984867593</v>
      </c>
      <c r="K9">
        <f t="shared" si="2"/>
        <v>12.413954677117056</v>
      </c>
      <c r="M9">
        <f>MEDIAN(E9:K9)</f>
        <v>16.520820678949857</v>
      </c>
      <c r="N9">
        <f>AVERAGE(E9:K9)</f>
        <v>16.326319901309208</v>
      </c>
      <c r="P9" s="13"/>
      <c r="Q9" s="16"/>
    </row>
    <row r="10" spans="2:22" ht="17" x14ac:dyDescent="0.25">
      <c r="P10" s="13"/>
      <c r="Q10" s="4"/>
    </row>
    <row r="11" spans="2:22" ht="17" x14ac:dyDescent="0.25">
      <c r="P11" s="13"/>
      <c r="Q11" s="4"/>
      <c r="V11" s="17"/>
    </row>
    <row r="12" spans="2:22" ht="17" x14ac:dyDescent="0.25">
      <c r="E12">
        <v>98.66</v>
      </c>
      <c r="F12">
        <v>3756.07</v>
      </c>
      <c r="G12">
        <v>2237.4</v>
      </c>
      <c r="P12" s="13"/>
      <c r="Q12" s="4"/>
      <c r="V12" s="18"/>
    </row>
    <row r="13" spans="2:22" ht="17" x14ac:dyDescent="0.25">
      <c r="E13">
        <v>148.16999999999999</v>
      </c>
      <c r="F13">
        <v>3240.02</v>
      </c>
      <c r="G13">
        <v>2447.89</v>
      </c>
      <c r="P13" s="13"/>
      <c r="Q13" s="4"/>
      <c r="V13" s="17"/>
    </row>
    <row r="14" spans="2:22" ht="17" x14ac:dyDescent="0.25">
      <c r="E14">
        <v>143.86000000000001</v>
      </c>
      <c r="F14">
        <v>2930.75</v>
      </c>
      <c r="G14">
        <v>2351.1</v>
      </c>
      <c r="P14" s="13"/>
      <c r="Q14" s="4"/>
      <c r="V14" s="17"/>
    </row>
    <row r="15" spans="2:22" ht="17" x14ac:dyDescent="0.25">
      <c r="E15">
        <v>121.68</v>
      </c>
      <c r="F15">
        <v>2690.16</v>
      </c>
      <c r="G15">
        <v>2257.83</v>
      </c>
      <c r="K15" s="15"/>
      <c r="P15" s="13"/>
      <c r="V15" s="17"/>
    </row>
    <row r="16" spans="2:22" ht="17" x14ac:dyDescent="0.25">
      <c r="E16">
        <v>106.91</v>
      </c>
      <c r="F16">
        <v>2271.7199999999998</v>
      </c>
      <c r="G16">
        <v>1829.08</v>
      </c>
      <c r="P16" s="13"/>
    </row>
    <row r="17" spans="1:16" ht="17" x14ac:dyDescent="0.25">
      <c r="E17">
        <v>99.88</v>
      </c>
      <c r="F17">
        <v>2130.8200000000002</v>
      </c>
      <c r="G17">
        <v>1867.61</v>
      </c>
      <c r="P17" s="13"/>
    </row>
    <row r="18" spans="1:16" ht="17" x14ac:dyDescent="0.25">
      <c r="E18">
        <v>118.95</v>
      </c>
      <c r="F18">
        <v>2090.5700000000002</v>
      </c>
      <c r="G18">
        <v>1741.89</v>
      </c>
      <c r="P18" s="13"/>
    </row>
    <row r="19" spans="1:16" ht="17" x14ac:dyDescent="0.25">
      <c r="E19">
        <v>117.38</v>
      </c>
      <c r="F19">
        <v>1848.36</v>
      </c>
      <c r="G19">
        <v>1457.15</v>
      </c>
      <c r="P19" s="13"/>
    </row>
    <row r="20" spans="1:16" ht="17" x14ac:dyDescent="0.25">
      <c r="A20" t="s">
        <v>20</v>
      </c>
      <c r="P20" s="13"/>
    </row>
    <row r="21" spans="1:16" ht="17" thickBot="1" x14ac:dyDescent="0.25"/>
    <row r="22" spans="1:16" x14ac:dyDescent="0.2">
      <c r="A22" s="12" t="s">
        <v>21</v>
      </c>
      <c r="B22" s="12"/>
      <c r="C22" s="22"/>
    </row>
    <row r="23" spans="1:16" x14ac:dyDescent="0.2">
      <c r="A23" s="9" t="s">
        <v>22</v>
      </c>
      <c r="B23" s="9">
        <v>0.8635490384293848</v>
      </c>
      <c r="C23" s="9"/>
    </row>
    <row r="24" spans="1:16" x14ac:dyDescent="0.2">
      <c r="A24" s="9" t="s">
        <v>23</v>
      </c>
      <c r="B24" s="9">
        <v>0.74571694177231518</v>
      </c>
      <c r="C24" s="9"/>
    </row>
    <row r="25" spans="1:16" x14ac:dyDescent="0.2">
      <c r="A25" s="9" t="s">
        <v>24</v>
      </c>
      <c r="B25" s="9">
        <v>0.69486033012677828</v>
      </c>
      <c r="C25" s="9"/>
    </row>
    <row r="26" spans="1:16" x14ac:dyDescent="0.2">
      <c r="A26" s="9" t="s">
        <v>25</v>
      </c>
      <c r="B26" s="9">
        <v>7.9200886734005742</v>
      </c>
      <c r="C26" s="9"/>
    </row>
    <row r="27" spans="1:16" ht="17" thickBot="1" x14ac:dyDescent="0.25">
      <c r="A27" s="10" t="s">
        <v>26</v>
      </c>
      <c r="B27" s="10">
        <v>7</v>
      </c>
      <c r="C27" s="9"/>
    </row>
    <row r="29" spans="1:16" ht="17" thickBot="1" x14ac:dyDescent="0.25">
      <c r="A29" t="s">
        <v>27</v>
      </c>
    </row>
    <row r="30" spans="1:16" x14ac:dyDescent="0.2">
      <c r="A30" s="11"/>
      <c r="B30" s="11" t="s">
        <v>32</v>
      </c>
      <c r="C30" s="11"/>
      <c r="D30" s="11" t="s">
        <v>33</v>
      </c>
      <c r="E30" s="11" t="s">
        <v>34</v>
      </c>
      <c r="F30" s="11" t="s">
        <v>35</v>
      </c>
      <c r="G30" s="11" t="s">
        <v>36</v>
      </c>
    </row>
    <row r="31" spans="1:16" x14ac:dyDescent="0.2">
      <c r="A31" s="9" t="s">
        <v>28</v>
      </c>
      <c r="B31" s="9">
        <v>1</v>
      </c>
      <c r="C31" s="9"/>
      <c r="D31" s="9">
        <v>919.78574845593107</v>
      </c>
      <c r="E31" s="9">
        <v>919.78574845593107</v>
      </c>
      <c r="F31" s="9">
        <v>14.663126733055897</v>
      </c>
      <c r="G31" s="9">
        <v>1.2257086783748766E-2</v>
      </c>
    </row>
    <row r="32" spans="1:16" x14ac:dyDescent="0.2">
      <c r="A32" s="9" t="s">
        <v>29</v>
      </c>
      <c r="B32" s="9">
        <v>5</v>
      </c>
      <c r="C32" s="9"/>
      <c r="D32" s="9">
        <v>313.63902297264036</v>
      </c>
      <c r="E32" s="9">
        <v>62.727804594528074</v>
      </c>
      <c r="F32" s="9"/>
      <c r="G32" s="9"/>
    </row>
    <row r="33" spans="1:10" ht="17" thickBot="1" x14ac:dyDescent="0.25">
      <c r="A33" s="10" t="s">
        <v>30</v>
      </c>
      <c r="B33" s="10">
        <v>6</v>
      </c>
      <c r="C33" s="10"/>
      <c r="D33" s="10">
        <v>1233.4247714285714</v>
      </c>
      <c r="E33" s="10"/>
      <c r="F33" s="10"/>
      <c r="G33" s="10"/>
    </row>
    <row r="34" spans="1:10" ht="17" thickBot="1" x14ac:dyDescent="0.25"/>
    <row r="35" spans="1:10" x14ac:dyDescent="0.2">
      <c r="A35" s="11"/>
      <c r="B35" s="11" t="s">
        <v>37</v>
      </c>
      <c r="C35" s="11"/>
      <c r="D35" s="11" t="s">
        <v>25</v>
      </c>
      <c r="E35" s="11" t="s">
        <v>38</v>
      </c>
      <c r="F35" s="11" t="s">
        <v>39</v>
      </c>
      <c r="G35" s="11" t="s">
        <v>40</v>
      </c>
      <c r="H35" s="11" t="s">
        <v>41</v>
      </c>
      <c r="I35" s="11" t="s">
        <v>42</v>
      </c>
      <c r="J35" s="11" t="s">
        <v>43</v>
      </c>
    </row>
    <row r="36" spans="1:10" x14ac:dyDescent="0.2">
      <c r="A36" s="9" t="s">
        <v>31</v>
      </c>
      <c r="B36" s="9">
        <v>-21.121537346101221</v>
      </c>
      <c r="C36" s="9"/>
      <c r="D36" s="9">
        <v>15.113632407541733</v>
      </c>
      <c r="E36" s="9">
        <v>-1.3975156187841071</v>
      </c>
      <c r="F36" s="9">
        <v>0.22110423047395883</v>
      </c>
      <c r="G36" s="9">
        <v>-59.972366283412349</v>
      </c>
      <c r="H36" s="9">
        <v>17.729291591209908</v>
      </c>
      <c r="I36" s="9">
        <v>-59.972366283412349</v>
      </c>
      <c r="J36" s="9">
        <v>17.729291591209908</v>
      </c>
    </row>
    <row r="37" spans="1:10" ht="17" thickBot="1" x14ac:dyDescent="0.25">
      <c r="A37" s="10" t="s">
        <v>44</v>
      </c>
      <c r="B37" s="10">
        <v>29.677934336525301</v>
      </c>
      <c r="C37" s="10"/>
      <c r="D37" s="10">
        <v>7.7503332275715069</v>
      </c>
      <c r="E37" s="10">
        <v>3.829246235626</v>
      </c>
      <c r="F37" s="10">
        <v>1.2257086783748778E-2</v>
      </c>
      <c r="G37" s="10">
        <v>9.7550685216014088</v>
      </c>
      <c r="H37" s="10">
        <v>49.600800151449192</v>
      </c>
      <c r="I37" s="10">
        <v>9.7550685216014088</v>
      </c>
      <c r="J37" s="10">
        <v>49.600800151449192</v>
      </c>
    </row>
    <row r="41" spans="1:10" x14ac:dyDescent="0.2">
      <c r="A41" t="s">
        <v>45</v>
      </c>
    </row>
    <row r="42" spans="1:10" ht="17" thickBot="1" x14ac:dyDescent="0.25"/>
    <row r="43" spans="1:10" x14ac:dyDescent="0.2">
      <c r="A43" s="11" t="s">
        <v>46</v>
      </c>
      <c r="B43" s="11" t="s">
        <v>47</v>
      </c>
      <c r="C43" s="11"/>
      <c r="D43" s="11" t="s">
        <v>48</v>
      </c>
      <c r="E43" s="11" t="s">
        <v>59</v>
      </c>
    </row>
    <row r="44" spans="1:10" x14ac:dyDescent="0.2">
      <c r="A44" s="9">
        <v>1</v>
      </c>
      <c r="B44" s="9">
        <v>46.544152941176463</v>
      </c>
      <c r="C44" s="9"/>
      <c r="D44" s="9">
        <v>12.685847058823533</v>
      </c>
      <c r="E44" s="9">
        <v>1.7546077781967253</v>
      </c>
    </row>
    <row r="45" spans="1:10" x14ac:dyDescent="0.2">
      <c r="A45" s="9">
        <v>2</v>
      </c>
      <c r="B45" s="9">
        <v>46.840932284541722</v>
      </c>
      <c r="C45" s="9"/>
      <c r="D45" s="9">
        <v>-0.46093228454171964</v>
      </c>
      <c r="E45" s="9">
        <v>-6.375257150182688E-2</v>
      </c>
    </row>
    <row r="46" spans="1:10" x14ac:dyDescent="0.2">
      <c r="A46" s="9">
        <v>3</v>
      </c>
      <c r="B46" s="9">
        <v>45.357035567715457</v>
      </c>
      <c r="C46" s="9"/>
      <c r="D46" s="9">
        <v>-2.3670355677154546</v>
      </c>
      <c r="E46" s="9">
        <v>-0.32738996451112834</v>
      </c>
    </row>
    <row r="47" spans="1:10" x14ac:dyDescent="0.2">
      <c r="A47" s="9">
        <v>4</v>
      </c>
      <c r="B47" s="9">
        <v>37.343993296853618</v>
      </c>
      <c r="C47" s="9"/>
      <c r="D47" s="9">
        <v>-5.7939932968536176</v>
      </c>
      <c r="E47" s="9">
        <v>-0.80138012529545999</v>
      </c>
    </row>
    <row r="48" spans="1:10" x14ac:dyDescent="0.2">
      <c r="A48" s="9">
        <v>5</v>
      </c>
      <c r="B48" s="9">
        <v>34.079420519835843</v>
      </c>
      <c r="C48" s="9"/>
      <c r="D48" s="9">
        <v>-8.6694205198358425</v>
      </c>
      <c r="E48" s="9">
        <v>-1.1990868726406476</v>
      </c>
    </row>
    <row r="49" spans="1:7" x14ac:dyDescent="0.2">
      <c r="A49" s="9">
        <v>6</v>
      </c>
      <c r="B49" s="9">
        <v>24.879260875512998</v>
      </c>
      <c r="C49" s="9"/>
      <c r="D49" s="9">
        <v>-1.4092608755129987</v>
      </c>
      <c r="E49" s="9">
        <v>-0.19491801235011494</v>
      </c>
    </row>
    <row r="50" spans="1:7" ht="17" thickBot="1" x14ac:dyDescent="0.25">
      <c r="A50" s="10">
        <v>7</v>
      </c>
      <c r="B50" s="10">
        <v>14.195204514363887</v>
      </c>
      <c r="C50" s="10"/>
      <c r="D50" s="10">
        <v>6.0147954856361139</v>
      </c>
      <c r="E50" s="10">
        <v>0.83191976810245427</v>
      </c>
    </row>
    <row r="54" spans="1:7" x14ac:dyDescent="0.2">
      <c r="A54" t="s">
        <v>20</v>
      </c>
    </row>
    <row r="55" spans="1:7" ht="17" thickBot="1" x14ac:dyDescent="0.25"/>
    <row r="56" spans="1:7" x14ac:dyDescent="0.2">
      <c r="A56" s="12" t="s">
        <v>21</v>
      </c>
      <c r="B56" s="12"/>
      <c r="C56" s="22"/>
    </row>
    <row r="57" spans="1:7" x14ac:dyDescent="0.2">
      <c r="A57" s="9" t="s">
        <v>22</v>
      </c>
      <c r="B57" s="9">
        <v>0.87973014200798971</v>
      </c>
      <c r="C57" s="9"/>
    </row>
    <row r="58" spans="1:7" x14ac:dyDescent="0.2">
      <c r="A58" s="9" t="s">
        <v>23</v>
      </c>
      <c r="B58" s="9">
        <v>0.77392512275739767</v>
      </c>
      <c r="C58" s="9"/>
    </row>
    <row r="59" spans="1:7" x14ac:dyDescent="0.2">
      <c r="A59" s="9" t="s">
        <v>24</v>
      </c>
      <c r="B59" s="9">
        <v>0.72871014730887718</v>
      </c>
      <c r="C59" s="9"/>
    </row>
    <row r="60" spans="1:7" x14ac:dyDescent="0.2">
      <c r="A60" s="9" t="s">
        <v>25</v>
      </c>
      <c r="B60" s="9">
        <v>4.3925288861735083</v>
      </c>
      <c r="C60" s="9"/>
    </row>
    <row r="61" spans="1:7" ht="17" thickBot="1" x14ac:dyDescent="0.25">
      <c r="A61" s="10" t="s">
        <v>26</v>
      </c>
      <c r="B61" s="10">
        <v>7</v>
      </c>
      <c r="C61" s="9"/>
    </row>
    <row r="63" spans="1:7" ht="17" thickBot="1" x14ac:dyDescent="0.25">
      <c r="A63" t="s">
        <v>27</v>
      </c>
    </row>
    <row r="64" spans="1:7" x14ac:dyDescent="0.2">
      <c r="A64" s="11"/>
      <c r="B64" s="11" t="s">
        <v>32</v>
      </c>
      <c r="C64" s="11"/>
      <c r="D64" s="11" t="s">
        <v>33</v>
      </c>
      <c r="E64" s="11" t="s">
        <v>34</v>
      </c>
      <c r="F64" s="11" t="s">
        <v>35</v>
      </c>
      <c r="G64" s="11" t="s">
        <v>36</v>
      </c>
    </row>
    <row r="65" spans="1:10" x14ac:dyDescent="0.2">
      <c r="A65" s="9" t="s">
        <v>28</v>
      </c>
      <c r="B65" s="9">
        <v>1</v>
      </c>
      <c r="C65" s="9"/>
      <c r="D65" s="9">
        <v>330.2523356349422</v>
      </c>
      <c r="E65" s="9">
        <v>330.2523356349422</v>
      </c>
      <c r="F65" s="9">
        <v>17.116566250014895</v>
      </c>
      <c r="G65" s="9">
        <v>9.0214115037154635E-3</v>
      </c>
    </row>
    <row r="66" spans="1:10" x14ac:dyDescent="0.2">
      <c r="A66" s="9" t="s">
        <v>29</v>
      </c>
      <c r="B66" s="9">
        <v>5</v>
      </c>
      <c r="C66" s="9"/>
      <c r="D66" s="9">
        <v>96.471550079343388</v>
      </c>
      <c r="E66" s="9">
        <v>19.294310015868678</v>
      </c>
      <c r="F66" s="9"/>
      <c r="G66" s="9"/>
    </row>
    <row r="67" spans="1:10" ht="17" thickBot="1" x14ac:dyDescent="0.25">
      <c r="A67" s="10" t="s">
        <v>30</v>
      </c>
      <c r="B67" s="10">
        <v>6</v>
      </c>
      <c r="C67" s="10"/>
      <c r="D67" s="10">
        <v>426.72388571428559</v>
      </c>
      <c r="E67" s="10"/>
      <c r="F67" s="10"/>
      <c r="G67" s="10"/>
    </row>
    <row r="68" spans="1:10" ht="17" thickBot="1" x14ac:dyDescent="0.25"/>
    <row r="69" spans="1:10" x14ac:dyDescent="0.2">
      <c r="A69" s="11"/>
      <c r="B69" s="11" t="s">
        <v>37</v>
      </c>
      <c r="C69" s="11"/>
      <c r="D69" s="11" t="s">
        <v>25</v>
      </c>
      <c r="E69" s="11" t="s">
        <v>38</v>
      </c>
      <c r="F69" s="11" t="s">
        <v>39</v>
      </c>
      <c r="G69" s="11" t="s">
        <v>40</v>
      </c>
      <c r="H69" s="11" t="s">
        <v>41</v>
      </c>
      <c r="I69" s="11" t="s">
        <v>42</v>
      </c>
      <c r="J69" s="11" t="s">
        <v>43</v>
      </c>
    </row>
    <row r="70" spans="1:10" x14ac:dyDescent="0.2">
      <c r="A70" s="9" t="s">
        <v>31</v>
      </c>
      <c r="B70" s="9">
        <v>-9.6501515731874079</v>
      </c>
      <c r="C70" s="9"/>
      <c r="D70" s="9">
        <v>8.3821115725755035</v>
      </c>
      <c r="E70" s="9">
        <v>-1.1512793035063698</v>
      </c>
      <c r="F70" s="9">
        <v>0.30167877632639273</v>
      </c>
      <c r="G70" s="9">
        <v>-31.197055325926947</v>
      </c>
      <c r="H70" s="9">
        <v>11.896752179552131</v>
      </c>
      <c r="I70" s="9">
        <v>-31.197055325926947</v>
      </c>
      <c r="J70" s="9">
        <v>11.896752179552131</v>
      </c>
    </row>
    <row r="71" spans="1:10" ht="17" thickBot="1" x14ac:dyDescent="0.25">
      <c r="A71" s="10" t="s">
        <v>44</v>
      </c>
      <c r="B71" s="10">
        <v>17.783337893296849</v>
      </c>
      <c r="C71" s="10"/>
      <c r="D71" s="10">
        <v>4.2983814933679563</v>
      </c>
      <c r="E71" s="10">
        <v>4.1372172108815972</v>
      </c>
      <c r="F71" s="10">
        <v>9.0214115037154513E-3</v>
      </c>
      <c r="G71" s="10">
        <v>6.7339965038098839</v>
      </c>
      <c r="H71" s="10">
        <v>28.832679282783815</v>
      </c>
      <c r="I71" s="10">
        <v>6.7339965038098839</v>
      </c>
      <c r="J71" s="10">
        <v>28.832679282783815</v>
      </c>
    </row>
    <row r="75" spans="1:10" x14ac:dyDescent="0.2">
      <c r="A75" t="s">
        <v>45</v>
      </c>
    </row>
    <row r="76" spans="1:10" ht="17" thickBot="1" x14ac:dyDescent="0.25"/>
    <row r="77" spans="1:10" x14ac:dyDescent="0.2">
      <c r="A77" s="11" t="s">
        <v>46</v>
      </c>
      <c r="B77" s="11" t="s">
        <v>47</v>
      </c>
      <c r="C77" s="11"/>
      <c r="D77" s="11" t="s">
        <v>48</v>
      </c>
      <c r="E77" s="11" t="s">
        <v>59</v>
      </c>
    </row>
    <row r="78" spans="1:10" x14ac:dyDescent="0.2">
      <c r="A78" s="9">
        <v>1</v>
      </c>
      <c r="B78" s="9">
        <v>30.895858823529402</v>
      </c>
      <c r="C78" s="9"/>
      <c r="D78" s="9">
        <v>3.4641411764705978</v>
      </c>
      <c r="E78" s="9">
        <v>0.86391612390206263</v>
      </c>
    </row>
    <row r="79" spans="1:10" x14ac:dyDescent="0.2">
      <c r="A79" s="9">
        <v>2</v>
      </c>
      <c r="B79" s="9">
        <v>31.073692202462375</v>
      </c>
      <c r="C79" s="9"/>
      <c r="D79" s="9">
        <v>4.216307797537624</v>
      </c>
      <c r="E79" s="9">
        <v>1.0514976451790874</v>
      </c>
    </row>
    <row r="80" spans="1:10" x14ac:dyDescent="0.2">
      <c r="A80" s="9">
        <v>3</v>
      </c>
      <c r="B80" s="9">
        <v>30.184525307797536</v>
      </c>
      <c r="C80" s="9"/>
      <c r="D80" s="9">
        <v>-0.89452530779753658</v>
      </c>
      <c r="E80" s="9">
        <v>-0.22308410577888194</v>
      </c>
    </row>
    <row r="81" spans="1:5" x14ac:dyDescent="0.2">
      <c r="A81" s="9">
        <v>4</v>
      </c>
      <c r="B81" s="9">
        <v>25.383024076607384</v>
      </c>
      <c r="C81" s="9"/>
      <c r="D81" s="9">
        <v>-4.9030240766073838</v>
      </c>
      <c r="E81" s="9">
        <v>-1.2227566198606088</v>
      </c>
    </row>
    <row r="82" spans="1:5" x14ac:dyDescent="0.2">
      <c r="A82" s="9">
        <v>5</v>
      </c>
      <c r="B82" s="9">
        <v>23.426856908344732</v>
      </c>
      <c r="C82" s="9"/>
      <c r="D82" s="9">
        <v>-4.6668569083447302</v>
      </c>
      <c r="E82" s="9">
        <v>-1.1638593018228174</v>
      </c>
    </row>
    <row r="83" spans="1:5" x14ac:dyDescent="0.2">
      <c r="A83" s="9">
        <v>6</v>
      </c>
      <c r="B83" s="9">
        <v>17.914022161422711</v>
      </c>
      <c r="C83" s="9"/>
      <c r="D83" s="9">
        <v>-1.45402216142271</v>
      </c>
      <c r="E83" s="9">
        <v>-0.36261604991625218</v>
      </c>
    </row>
    <row r="84" spans="1:5" ht="17" thickBot="1" x14ac:dyDescent="0.25">
      <c r="A84" s="10">
        <v>7</v>
      </c>
      <c r="B84" s="10">
        <v>11.512020519835843</v>
      </c>
      <c r="C84" s="10"/>
      <c r="D84" s="10">
        <v>4.2379794801641566</v>
      </c>
      <c r="E84" s="10">
        <v>1.0569023082974147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01212-491F-454D-A7F6-C52160CB3A82}">
  <dimension ref="A1:U86"/>
  <sheetViews>
    <sheetView workbookViewId="0">
      <selection activeCell="P8" sqref="P8"/>
    </sheetView>
  </sheetViews>
  <sheetFormatPr baseColWidth="10" defaultRowHeight="16" x14ac:dyDescent="0.2"/>
  <cols>
    <col min="2" max="2" width="11.83203125" bestFit="1" customWidth="1"/>
    <col min="3" max="3" width="13.6640625" bestFit="1" customWidth="1"/>
    <col min="4" max="4" width="14.6640625" bestFit="1" customWidth="1"/>
    <col min="10" max="10" width="11.1640625" bestFit="1" customWidth="1"/>
  </cols>
  <sheetData>
    <row r="1" spans="2:21" x14ac:dyDescent="0.2">
      <c r="C1" t="s">
        <v>56</v>
      </c>
      <c r="D1">
        <v>2019</v>
      </c>
      <c r="E1">
        <v>2018</v>
      </c>
      <c r="F1">
        <v>2017</v>
      </c>
      <c r="G1">
        <v>2016</v>
      </c>
      <c r="H1">
        <v>2015</v>
      </c>
      <c r="I1">
        <v>2014</v>
      </c>
      <c r="J1">
        <v>2013</v>
      </c>
    </row>
    <row r="2" spans="2:21" x14ac:dyDescent="0.2">
      <c r="B2" t="s">
        <v>15</v>
      </c>
      <c r="C2">
        <v>160</v>
      </c>
      <c r="D2">
        <v>158</v>
      </c>
      <c r="E2">
        <v>156</v>
      </c>
      <c r="F2">
        <v>154</v>
      </c>
      <c r="G2">
        <v>148</v>
      </c>
      <c r="H2">
        <v>145</v>
      </c>
      <c r="I2">
        <v>144</v>
      </c>
      <c r="J2">
        <v>68</v>
      </c>
    </row>
    <row r="3" spans="2:21" x14ac:dyDescent="0.2">
      <c r="B3" t="s">
        <v>14</v>
      </c>
      <c r="C3">
        <f>D3*1.35</f>
        <v>590.45625000000007</v>
      </c>
      <c r="D3">
        <v>437.375</v>
      </c>
      <c r="E3" s="16">
        <v>310.827</v>
      </c>
      <c r="F3" s="16">
        <v>233.43799999999999</v>
      </c>
      <c r="G3" s="16">
        <v>144.011</v>
      </c>
      <c r="H3" s="16">
        <v>80.153999999999996</v>
      </c>
      <c r="I3" s="16">
        <v>67.573999999999998</v>
      </c>
      <c r="J3" s="16">
        <v>41.753</v>
      </c>
      <c r="K3" s="16"/>
      <c r="L3" s="16"/>
      <c r="M3" s="16"/>
    </row>
    <row r="4" spans="2:21" x14ac:dyDescent="0.2">
      <c r="B4" t="s">
        <v>17</v>
      </c>
      <c r="C4">
        <f t="shared" ref="C4:J4" si="0">C3/C2</f>
        <v>3.6903515625000005</v>
      </c>
      <c r="D4">
        <f t="shared" si="0"/>
        <v>2.7681962025316458</v>
      </c>
      <c r="E4">
        <f t="shared" si="0"/>
        <v>1.9924807692307691</v>
      </c>
      <c r="F4">
        <f t="shared" si="0"/>
        <v>1.5158311688311688</v>
      </c>
      <c r="G4">
        <f t="shared" si="0"/>
        <v>0.97304729729729722</v>
      </c>
      <c r="H4">
        <f t="shared" si="0"/>
        <v>0.55278620689655167</v>
      </c>
      <c r="I4">
        <f t="shared" si="0"/>
        <v>0.46926388888888887</v>
      </c>
      <c r="J4">
        <f t="shared" si="0"/>
        <v>0.61401470588235296</v>
      </c>
    </row>
    <row r="5" spans="2:21" x14ac:dyDescent="0.2">
      <c r="B5" t="s">
        <v>52</v>
      </c>
      <c r="C5">
        <f t="shared" ref="C5:I5" si="1">(C3-D3)/D3*100</f>
        <v>35.000000000000014</v>
      </c>
      <c r="D5">
        <f t="shared" si="1"/>
        <v>40.713322845183981</v>
      </c>
      <c r="E5">
        <f t="shared" si="1"/>
        <v>33.151843315998256</v>
      </c>
      <c r="F5">
        <f t="shared" si="1"/>
        <v>62.097339786544083</v>
      </c>
      <c r="G5">
        <f t="shared" si="1"/>
        <v>79.667889313072337</v>
      </c>
      <c r="H5">
        <f t="shared" si="1"/>
        <v>18.616627697043238</v>
      </c>
      <c r="I5">
        <f t="shared" si="1"/>
        <v>61.842262831413308</v>
      </c>
    </row>
    <row r="6" spans="2:21" x14ac:dyDescent="0.2">
      <c r="B6" t="s">
        <v>16</v>
      </c>
    </row>
    <row r="8" spans="2:21" x14ac:dyDescent="0.2">
      <c r="B8" t="s">
        <v>18</v>
      </c>
      <c r="C8">
        <f>C4*60</f>
        <v>221.42109375000004</v>
      </c>
      <c r="D8">
        <v>175.65</v>
      </c>
      <c r="E8">
        <v>108.87</v>
      </c>
      <c r="F8">
        <v>66.819999999999993</v>
      </c>
      <c r="G8">
        <v>47.36</v>
      </c>
      <c r="H8">
        <v>32.69</v>
      </c>
      <c r="I8">
        <v>37.799999999999997</v>
      </c>
      <c r="J8">
        <v>46.24</v>
      </c>
    </row>
    <row r="9" spans="2:21" ht="17" x14ac:dyDescent="0.25">
      <c r="B9" t="s">
        <v>19</v>
      </c>
      <c r="C9">
        <f>C4*33</f>
        <v>121.78160156250001</v>
      </c>
      <c r="D9">
        <v>84.89</v>
      </c>
      <c r="E9">
        <v>54.32</v>
      </c>
      <c r="F9">
        <v>41.35</v>
      </c>
      <c r="G9">
        <v>20.61</v>
      </c>
      <c r="H9">
        <v>22.83</v>
      </c>
      <c r="I9">
        <v>17.87</v>
      </c>
      <c r="J9">
        <v>31.86</v>
      </c>
      <c r="O9" s="13"/>
    </row>
    <row r="10" spans="2:21" ht="17" x14ac:dyDescent="0.25">
      <c r="B10" t="s">
        <v>57</v>
      </c>
      <c r="D10">
        <f t="shared" ref="D10:J10" si="2">D8/D4</f>
        <v>63.45287224921406</v>
      </c>
      <c r="E10">
        <f t="shared" si="2"/>
        <v>54.64042698993331</v>
      </c>
      <c r="F10">
        <f t="shared" si="2"/>
        <v>44.08142633161696</v>
      </c>
      <c r="G10">
        <f t="shared" si="2"/>
        <v>48.671837567963564</v>
      </c>
      <c r="H10">
        <f t="shared" si="2"/>
        <v>59.136786685630163</v>
      </c>
      <c r="I10">
        <f t="shared" si="2"/>
        <v>80.551691478971193</v>
      </c>
      <c r="J10">
        <f t="shared" si="2"/>
        <v>75.307642564606141</v>
      </c>
      <c r="M10">
        <f>MEDIAN(D10:J10)</f>
        <v>59.136786685630163</v>
      </c>
      <c r="N10">
        <f>AVERAGE(D10:J10)</f>
        <v>60.834669123990771</v>
      </c>
      <c r="O10" s="13"/>
      <c r="P10" s="16"/>
    </row>
    <row r="11" spans="2:21" ht="17" x14ac:dyDescent="0.25">
      <c r="B11" t="s">
        <v>58</v>
      </c>
      <c r="D11">
        <f t="shared" ref="D11:J11" si="3">D9/D4</f>
        <v>30.6661789082595</v>
      </c>
      <c r="E11">
        <f t="shared" si="3"/>
        <v>27.262496501269197</v>
      </c>
      <c r="F11">
        <f t="shared" si="3"/>
        <v>27.278763526075448</v>
      </c>
      <c r="G11">
        <f t="shared" si="3"/>
        <v>21.180882015957117</v>
      </c>
      <c r="H11">
        <f t="shared" si="3"/>
        <v>41.299872744965938</v>
      </c>
      <c r="I11">
        <f t="shared" si="3"/>
        <v>38.080918696540095</v>
      </c>
      <c r="J11">
        <f t="shared" si="3"/>
        <v>51.88800804732594</v>
      </c>
      <c r="M11">
        <f>MEDIAN(D11:J11)</f>
        <v>30.6661789082595</v>
      </c>
      <c r="N11">
        <f>AVERAGE(D11:J11)</f>
        <v>33.951017205770462</v>
      </c>
      <c r="O11" s="13"/>
      <c r="P11" s="16"/>
    </row>
    <row r="12" spans="2:21" ht="17" x14ac:dyDescent="0.25">
      <c r="O12" s="13"/>
      <c r="P12" s="4"/>
    </row>
    <row r="13" spans="2:21" ht="17" x14ac:dyDescent="0.25">
      <c r="O13" s="13"/>
      <c r="P13" s="4"/>
      <c r="U13" s="17"/>
    </row>
    <row r="14" spans="2:21" ht="17" x14ac:dyDescent="0.25">
      <c r="E14">
        <v>175.65</v>
      </c>
      <c r="F14">
        <v>84.89</v>
      </c>
      <c r="H14">
        <v>2.7681962025316458</v>
      </c>
      <c r="O14" s="13"/>
      <c r="P14" s="4"/>
      <c r="U14" s="18"/>
    </row>
    <row r="15" spans="2:21" ht="17" x14ac:dyDescent="0.25">
      <c r="E15">
        <v>108.87</v>
      </c>
      <c r="F15">
        <v>54.32</v>
      </c>
      <c r="H15">
        <v>1.9924807692307691</v>
      </c>
      <c r="O15" s="13"/>
      <c r="P15" s="4"/>
      <c r="U15" s="17"/>
    </row>
    <row r="16" spans="2:21" ht="17" x14ac:dyDescent="0.25">
      <c r="E16">
        <v>66.819999999999993</v>
      </c>
      <c r="F16">
        <v>41.35</v>
      </c>
      <c r="H16">
        <v>1.5158311688311688</v>
      </c>
      <c r="O16" s="13"/>
      <c r="P16" s="4"/>
      <c r="U16" s="17"/>
    </row>
    <row r="17" spans="1:21" ht="17" x14ac:dyDescent="0.25">
      <c r="E17">
        <v>47.36</v>
      </c>
      <c r="F17">
        <v>20.61</v>
      </c>
      <c r="H17">
        <v>0.97304729729729722</v>
      </c>
      <c r="J17" s="15"/>
      <c r="O17" s="13"/>
      <c r="U17" s="17"/>
    </row>
    <row r="18" spans="1:21" ht="17" x14ac:dyDescent="0.25">
      <c r="E18">
        <v>32.69</v>
      </c>
      <c r="F18">
        <v>22.83</v>
      </c>
      <c r="H18">
        <v>0.55278620689655167</v>
      </c>
      <c r="O18" s="13"/>
    </row>
    <row r="19" spans="1:21" ht="17" x14ac:dyDescent="0.25">
      <c r="E19">
        <v>37.799999999999997</v>
      </c>
      <c r="F19">
        <v>17.87</v>
      </c>
      <c r="H19">
        <v>0.46926388888888887</v>
      </c>
      <c r="O19" s="13"/>
    </row>
    <row r="20" spans="1:21" ht="17" x14ac:dyDescent="0.25">
      <c r="E20">
        <v>46.24</v>
      </c>
      <c r="F20">
        <v>31.86</v>
      </c>
      <c r="H20">
        <v>0.61401470588235296</v>
      </c>
      <c r="O20" s="13"/>
    </row>
    <row r="21" spans="1:21" ht="17" x14ac:dyDescent="0.25">
      <c r="O21" s="13"/>
    </row>
    <row r="22" spans="1:21" ht="17" x14ac:dyDescent="0.25">
      <c r="A22" t="s">
        <v>20</v>
      </c>
      <c r="O22" s="13"/>
    </row>
    <row r="23" spans="1:21" ht="17" thickBot="1" x14ac:dyDescent="0.25"/>
    <row r="24" spans="1:21" x14ac:dyDescent="0.2">
      <c r="A24" s="12" t="s">
        <v>21</v>
      </c>
      <c r="B24" s="12"/>
    </row>
    <row r="25" spans="1:21" x14ac:dyDescent="0.2">
      <c r="A25" s="9" t="s">
        <v>22</v>
      </c>
      <c r="B25" s="9">
        <v>0.96762367524231785</v>
      </c>
    </row>
    <row r="26" spans="1:21" x14ac:dyDescent="0.2">
      <c r="A26" s="9" t="s">
        <v>23</v>
      </c>
      <c r="B26" s="9">
        <v>0.93629557688945064</v>
      </c>
    </row>
    <row r="27" spans="1:21" x14ac:dyDescent="0.2">
      <c r="A27" s="9" t="s">
        <v>24</v>
      </c>
      <c r="B27" s="9">
        <v>0.92355469226734077</v>
      </c>
    </row>
    <row r="28" spans="1:21" x14ac:dyDescent="0.2">
      <c r="A28" s="9" t="s">
        <v>25</v>
      </c>
      <c r="B28" s="9">
        <v>14.320747061030112</v>
      </c>
    </row>
    <row r="29" spans="1:21" ht="17" thickBot="1" x14ac:dyDescent="0.25">
      <c r="A29" s="10" t="s">
        <v>26</v>
      </c>
      <c r="B29" s="10">
        <v>7</v>
      </c>
    </row>
    <row r="31" spans="1:21" ht="17" thickBot="1" x14ac:dyDescent="0.25">
      <c r="A31" t="s">
        <v>27</v>
      </c>
    </row>
    <row r="32" spans="1:21" x14ac:dyDescent="0.2">
      <c r="A32" s="11"/>
      <c r="B32" s="11" t="s">
        <v>32</v>
      </c>
      <c r="C32" s="11" t="s">
        <v>33</v>
      </c>
      <c r="D32" s="11" t="s">
        <v>34</v>
      </c>
      <c r="E32" s="11" t="s">
        <v>35</v>
      </c>
      <c r="F32" s="11" t="s">
        <v>36</v>
      </c>
    </row>
    <row r="33" spans="1:9" x14ac:dyDescent="0.2">
      <c r="A33" s="9" t="s">
        <v>28</v>
      </c>
      <c r="B33" s="9">
        <v>1</v>
      </c>
      <c r="C33" s="9">
        <v>15071.092560927131</v>
      </c>
      <c r="D33" s="9">
        <v>15071.092560927131</v>
      </c>
      <c r="E33" s="9">
        <v>73.487485732713722</v>
      </c>
      <c r="F33" s="9">
        <v>3.5599852461821953E-4</v>
      </c>
    </row>
    <row r="34" spans="1:9" x14ac:dyDescent="0.2">
      <c r="A34" s="9" t="s">
        <v>29</v>
      </c>
      <c r="B34" s="9">
        <v>5</v>
      </c>
      <c r="C34" s="9">
        <v>1025.4189819300129</v>
      </c>
      <c r="D34" s="9">
        <v>205.08379638600258</v>
      </c>
      <c r="E34" s="9"/>
      <c r="F34" s="9"/>
    </row>
    <row r="35" spans="1:9" ht="17" thickBot="1" x14ac:dyDescent="0.25">
      <c r="A35" s="10" t="s">
        <v>30</v>
      </c>
      <c r="B35" s="10">
        <v>6</v>
      </c>
      <c r="C35" s="10">
        <v>16096.511542857144</v>
      </c>
      <c r="D35" s="10"/>
      <c r="E35" s="10"/>
      <c r="F35" s="10"/>
    </row>
    <row r="36" spans="1:9" ht="17" thickBot="1" x14ac:dyDescent="0.25"/>
    <row r="37" spans="1:9" x14ac:dyDescent="0.2">
      <c r="A37" s="11"/>
      <c r="B37" s="11" t="s">
        <v>37</v>
      </c>
      <c r="C37" s="11" t="s">
        <v>25</v>
      </c>
      <c r="D37" s="11" t="s">
        <v>38</v>
      </c>
      <c r="E37" s="11" t="s">
        <v>39</v>
      </c>
      <c r="F37" s="11" t="s">
        <v>40</v>
      </c>
      <c r="G37" s="11" t="s">
        <v>41</v>
      </c>
      <c r="H37" s="11" t="s">
        <v>42</v>
      </c>
      <c r="I37" s="11" t="s">
        <v>43</v>
      </c>
    </row>
    <row r="38" spans="1:9" x14ac:dyDescent="0.2">
      <c r="A38" s="9" t="s">
        <v>31</v>
      </c>
      <c r="B38" s="9">
        <v>0.1807783273514616</v>
      </c>
      <c r="C38" s="9">
        <v>10.134810020699067</v>
      </c>
      <c r="D38" s="9">
        <v>1.7837367151653041E-2</v>
      </c>
      <c r="E38" s="9">
        <v>0.9864584938945723</v>
      </c>
      <c r="F38" s="9">
        <v>-25.871580219482468</v>
      </c>
      <c r="G38" s="9">
        <v>26.233136874185391</v>
      </c>
      <c r="H38" s="9">
        <v>-25.871580219482468</v>
      </c>
      <c r="I38" s="9">
        <v>26.233136874185391</v>
      </c>
    </row>
    <row r="39" spans="1:9" ht="17" thickBot="1" x14ac:dyDescent="0.25">
      <c r="A39" s="10" t="s">
        <v>44</v>
      </c>
      <c r="B39" s="10">
        <v>57.864790284361383</v>
      </c>
      <c r="C39" s="10">
        <v>6.7500608676918503</v>
      </c>
      <c r="D39" s="10">
        <v>8.5724842217827231</v>
      </c>
      <c r="E39" s="10">
        <v>3.5599852461821953E-4</v>
      </c>
      <c r="F39" s="10">
        <v>40.513206428433207</v>
      </c>
      <c r="G39" s="10">
        <v>75.21637414028956</v>
      </c>
      <c r="H39" s="10">
        <v>40.513206428433207</v>
      </c>
      <c r="I39" s="10">
        <v>75.21637414028956</v>
      </c>
    </row>
    <row r="43" spans="1:9" x14ac:dyDescent="0.2">
      <c r="A43" t="s">
        <v>45</v>
      </c>
    </row>
    <row r="44" spans="1:9" ht="17" thickBot="1" x14ac:dyDescent="0.25"/>
    <row r="45" spans="1:9" x14ac:dyDescent="0.2">
      <c r="A45" s="11" t="s">
        <v>46</v>
      </c>
      <c r="B45" s="11" t="s">
        <v>47</v>
      </c>
      <c r="C45" s="11" t="s">
        <v>48</v>
      </c>
      <c r="D45" s="11" t="s">
        <v>59</v>
      </c>
    </row>
    <row r="46" spans="1:9" x14ac:dyDescent="0.2">
      <c r="A46" s="9">
        <v>1</v>
      </c>
      <c r="B46" s="9">
        <v>160.36187105281073</v>
      </c>
      <c r="C46" s="9">
        <v>15.288128947189279</v>
      </c>
      <c r="D46" s="9">
        <v>1.1694436122274401</v>
      </c>
    </row>
    <row r="47" spans="1:9" x14ac:dyDescent="0.2">
      <c r="A47" s="9">
        <v>2</v>
      </c>
      <c r="B47" s="9">
        <v>115.47526018451296</v>
      </c>
      <c r="C47" s="9">
        <v>-6.6052601845129573</v>
      </c>
      <c r="D47" s="9">
        <v>-0.50525995408346325</v>
      </c>
    </row>
    <row r="48" spans="1:9" x14ac:dyDescent="0.2">
      <c r="A48" s="9">
        <v>3</v>
      </c>
      <c r="B48" s="9">
        <v>87.894031018265437</v>
      </c>
      <c r="C48" s="9">
        <v>-21.074031018265444</v>
      </c>
      <c r="D48" s="9">
        <v>-1.6120279364025392</v>
      </c>
    </row>
    <row r="49" spans="1:4" x14ac:dyDescent="0.2">
      <c r="A49" s="9">
        <v>4</v>
      </c>
      <c r="B49" s="9">
        <v>56.485956122224209</v>
      </c>
      <c r="C49" s="9">
        <v>-9.1259561222242098</v>
      </c>
      <c r="D49" s="9">
        <v>-0.69807699355944408</v>
      </c>
    </row>
    <row r="50" spans="1:4" x14ac:dyDescent="0.2">
      <c r="A50" s="9">
        <v>5</v>
      </c>
      <c r="B50" s="9">
        <v>32.167636261508022</v>
      </c>
      <c r="C50" s="9">
        <v>0.52236373849197548</v>
      </c>
      <c r="D50" s="9">
        <v>3.9957468919111581E-2</v>
      </c>
    </row>
    <row r="51" spans="1:4" x14ac:dyDescent="0.2">
      <c r="A51" s="9">
        <v>6</v>
      </c>
      <c r="B51" s="9">
        <v>27.334634845930879</v>
      </c>
      <c r="C51" s="9">
        <v>10.465365154069119</v>
      </c>
      <c r="D51" s="9">
        <v>0.80053317651430755</v>
      </c>
    </row>
    <row r="52" spans="1:4" ht="17" thickBot="1" x14ac:dyDescent="0.25">
      <c r="A52" s="10">
        <v>7</v>
      </c>
      <c r="B52" s="10">
        <v>35.71061051474765</v>
      </c>
      <c r="C52" s="10">
        <v>10.529389485252352</v>
      </c>
      <c r="D52" s="10">
        <v>0.80543062638459606</v>
      </c>
    </row>
    <row r="56" spans="1:4" x14ac:dyDescent="0.2">
      <c r="A56" t="s">
        <v>20</v>
      </c>
    </row>
    <row r="57" spans="1:4" ht="17" thickBot="1" x14ac:dyDescent="0.25"/>
    <row r="58" spans="1:4" x14ac:dyDescent="0.2">
      <c r="A58" s="12" t="s">
        <v>21</v>
      </c>
      <c r="B58" s="12"/>
    </row>
    <row r="59" spans="1:4" x14ac:dyDescent="0.2">
      <c r="A59" s="9" t="s">
        <v>22</v>
      </c>
      <c r="B59" s="9">
        <v>0.95638069124717418</v>
      </c>
    </row>
    <row r="60" spans="1:4" x14ac:dyDescent="0.2">
      <c r="A60" s="9" t="s">
        <v>23</v>
      </c>
      <c r="B60" s="9">
        <v>0.91466402659042279</v>
      </c>
    </row>
    <row r="61" spans="1:4" x14ac:dyDescent="0.2">
      <c r="A61" s="9" t="s">
        <v>24</v>
      </c>
      <c r="B61" s="9">
        <v>0.89759683190850725</v>
      </c>
    </row>
    <row r="62" spans="1:4" x14ac:dyDescent="0.2">
      <c r="A62" s="9" t="s">
        <v>25</v>
      </c>
      <c r="B62" s="9">
        <v>7.6658368261944103</v>
      </c>
    </row>
    <row r="63" spans="1:4" ht="17" thickBot="1" x14ac:dyDescent="0.25">
      <c r="A63" s="10" t="s">
        <v>26</v>
      </c>
      <c r="B63" s="10">
        <v>7</v>
      </c>
    </row>
    <row r="65" spans="1:9" ht="17" thickBot="1" x14ac:dyDescent="0.25">
      <c r="A65" t="s">
        <v>27</v>
      </c>
    </row>
    <row r="66" spans="1:9" x14ac:dyDescent="0.2">
      <c r="A66" s="11"/>
      <c r="B66" s="11" t="s">
        <v>32</v>
      </c>
      <c r="C66" s="11" t="s">
        <v>33</v>
      </c>
      <c r="D66" s="11" t="s">
        <v>34</v>
      </c>
      <c r="E66" s="11" t="s">
        <v>35</v>
      </c>
      <c r="F66" s="11" t="s">
        <v>36</v>
      </c>
    </row>
    <row r="67" spans="1:9" x14ac:dyDescent="0.2">
      <c r="A67" s="9" t="s">
        <v>28</v>
      </c>
      <c r="B67" s="9">
        <v>1</v>
      </c>
      <c r="C67" s="9">
        <v>3149.3331001993802</v>
      </c>
      <c r="D67" s="9">
        <v>3149.3331001993802</v>
      </c>
      <c r="E67" s="9">
        <v>53.591937259590104</v>
      </c>
      <c r="F67" s="9">
        <v>7.4546311888360806E-4</v>
      </c>
    </row>
    <row r="68" spans="1:9" x14ac:dyDescent="0.2">
      <c r="A68" s="9" t="s">
        <v>29</v>
      </c>
      <c r="B68" s="9">
        <v>5</v>
      </c>
      <c r="C68" s="9">
        <v>293.82527122919197</v>
      </c>
      <c r="D68" s="9">
        <v>58.765054245838392</v>
      </c>
      <c r="E68" s="9"/>
      <c r="F68" s="9"/>
    </row>
    <row r="69" spans="1:9" ht="17" thickBot="1" x14ac:dyDescent="0.25">
      <c r="A69" s="10" t="s">
        <v>30</v>
      </c>
      <c r="B69" s="10">
        <v>6</v>
      </c>
      <c r="C69" s="10">
        <v>3443.1583714285721</v>
      </c>
      <c r="D69" s="10"/>
      <c r="E69" s="10"/>
      <c r="F69" s="10"/>
    </row>
    <row r="70" spans="1:9" ht="17" thickBot="1" x14ac:dyDescent="0.25"/>
    <row r="71" spans="1:9" x14ac:dyDescent="0.2">
      <c r="A71" s="11"/>
      <c r="B71" s="11" t="s">
        <v>37</v>
      </c>
      <c r="C71" s="11" t="s">
        <v>25</v>
      </c>
      <c r="D71" s="11" t="s">
        <v>38</v>
      </c>
      <c r="E71" s="11" t="s">
        <v>39</v>
      </c>
      <c r="F71" s="11" t="s">
        <v>40</v>
      </c>
      <c r="G71" s="11" t="s">
        <v>41</v>
      </c>
      <c r="H71" s="11" t="s">
        <v>42</v>
      </c>
      <c r="I71" s="11" t="s">
        <v>43</v>
      </c>
    </row>
    <row r="72" spans="1:9" x14ac:dyDescent="0.2">
      <c r="A72" s="9" t="s">
        <v>31</v>
      </c>
      <c r="B72" s="9">
        <v>5.5273528859270016</v>
      </c>
      <c r="C72" s="9">
        <v>5.4251219962243065</v>
      </c>
      <c r="D72" s="9">
        <v>1.0188439798724978</v>
      </c>
      <c r="E72" s="9">
        <v>0.35501602422322953</v>
      </c>
      <c r="F72" s="9">
        <v>-8.4183671736782255</v>
      </c>
      <c r="G72" s="9">
        <v>19.47307294553223</v>
      </c>
      <c r="H72" s="9">
        <v>-8.4183671736782255</v>
      </c>
      <c r="I72" s="9">
        <v>19.47307294553223</v>
      </c>
    </row>
    <row r="73" spans="1:9" ht="17" thickBot="1" x14ac:dyDescent="0.25">
      <c r="A73" s="10" t="s">
        <v>44</v>
      </c>
      <c r="B73" s="10">
        <v>26.451561451177295</v>
      </c>
      <c r="C73" s="10">
        <v>3.6132797372991168</v>
      </c>
      <c r="D73" s="10">
        <v>7.3206514231719906</v>
      </c>
      <c r="E73" s="10">
        <v>7.4546311888360806E-4</v>
      </c>
      <c r="F73" s="10">
        <v>17.163330191403428</v>
      </c>
      <c r="G73" s="10">
        <v>35.739792710951164</v>
      </c>
      <c r="H73" s="10">
        <v>17.163330191403428</v>
      </c>
      <c r="I73" s="10">
        <v>35.739792710951164</v>
      </c>
    </row>
    <row r="77" spans="1:9" x14ac:dyDescent="0.2">
      <c r="A77" t="s">
        <v>45</v>
      </c>
    </row>
    <row r="78" spans="1:9" ht="17" thickBot="1" x14ac:dyDescent="0.25"/>
    <row r="79" spans="1:9" x14ac:dyDescent="0.2">
      <c r="A79" s="11" t="s">
        <v>46</v>
      </c>
      <c r="B79" s="11" t="s">
        <v>47</v>
      </c>
      <c r="C79" s="11" t="s">
        <v>48</v>
      </c>
      <c r="D79" s="11" t="s">
        <v>59</v>
      </c>
    </row>
    <row r="80" spans="1:9" x14ac:dyDescent="0.2">
      <c r="A80" s="9">
        <v>1</v>
      </c>
      <c r="B80" s="9">
        <v>78.750464846108457</v>
      </c>
      <c r="C80" s="9">
        <v>6.1395351538915435</v>
      </c>
      <c r="D80" s="9">
        <v>0.87733719687110545</v>
      </c>
    </row>
    <row r="81" spans="1:4" x14ac:dyDescent="0.2">
      <c r="A81" s="9">
        <v>2</v>
      </c>
      <c r="B81" s="9">
        <v>58.2315803935237</v>
      </c>
      <c r="C81" s="9">
        <v>-3.9115803935236997</v>
      </c>
      <c r="D81" s="9">
        <v>-0.55896332405798321</v>
      </c>
    </row>
    <row r="82" spans="1:4" x14ac:dyDescent="0.2">
      <c r="A82" s="9">
        <v>3</v>
      </c>
      <c r="B82" s="9">
        <v>45.623454197874565</v>
      </c>
      <c r="C82" s="9">
        <v>-4.2734541978745639</v>
      </c>
      <c r="D82" s="9">
        <v>-0.61067495061802202</v>
      </c>
    </row>
    <row r="83" spans="1:4" x14ac:dyDescent="0.2">
      <c r="A83" s="9">
        <v>4</v>
      </c>
      <c r="B83" s="9">
        <v>31.265973265288441</v>
      </c>
      <c r="C83" s="9">
        <v>-10.655973265288441</v>
      </c>
      <c r="D83" s="9">
        <v>-1.5227344546721611</v>
      </c>
    </row>
    <row r="84" spans="1:4" x14ac:dyDescent="0.2">
      <c r="A84" s="9">
        <v>5</v>
      </c>
      <c r="B84" s="9">
        <v>20.149411207014346</v>
      </c>
      <c r="C84" s="9">
        <v>2.6805887929856524</v>
      </c>
      <c r="D84" s="9">
        <v>0.38305510085913536</v>
      </c>
    </row>
    <row r="85" spans="1:4" x14ac:dyDescent="0.2">
      <c r="A85" s="9">
        <v>6</v>
      </c>
      <c r="B85" s="9">
        <v>17.940115479689879</v>
      </c>
      <c r="C85" s="9">
        <v>-7.0115479689878413E-2</v>
      </c>
      <c r="D85" s="9">
        <v>-1.0019474905913624E-2</v>
      </c>
    </row>
    <row r="86" spans="1:4" ht="17" thickBot="1" x14ac:dyDescent="0.25">
      <c r="A86" s="10">
        <v>7</v>
      </c>
      <c r="B86" s="10">
        <v>21.769000610500612</v>
      </c>
      <c r="C86" s="10">
        <v>10.090999389499387</v>
      </c>
      <c r="D86" s="10">
        <v>1.4419999065238391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15A7F-F1E1-B445-BFCA-BA93FDFCC3DE}">
  <dimension ref="A1:U97"/>
  <sheetViews>
    <sheetView workbookViewId="0">
      <selection activeCell="K18" sqref="K18"/>
    </sheetView>
  </sheetViews>
  <sheetFormatPr baseColWidth="10" defaultRowHeight="16" x14ac:dyDescent="0.2"/>
  <cols>
    <col min="2" max="2" width="11.83203125" bestFit="1" customWidth="1"/>
    <col min="3" max="3" width="13.6640625" bestFit="1" customWidth="1"/>
    <col min="4" max="4" width="14.6640625" bestFit="1" customWidth="1"/>
    <col min="10" max="10" width="11.1640625" bestFit="1" customWidth="1"/>
  </cols>
  <sheetData>
    <row r="1" spans="2:21" x14ac:dyDescent="0.2">
      <c r="C1" t="s">
        <v>56</v>
      </c>
      <c r="D1">
        <v>2019</v>
      </c>
      <c r="E1">
        <v>2018</v>
      </c>
      <c r="F1">
        <v>2017</v>
      </c>
      <c r="G1">
        <v>2016</v>
      </c>
      <c r="H1">
        <v>2015</v>
      </c>
      <c r="I1">
        <v>2014</v>
      </c>
      <c r="J1">
        <v>2013</v>
      </c>
      <c r="K1">
        <v>2012</v>
      </c>
      <c r="L1">
        <v>2011</v>
      </c>
      <c r="M1">
        <v>2010</v>
      </c>
    </row>
    <row r="2" spans="2:21" x14ac:dyDescent="0.2">
      <c r="B2" t="s">
        <v>15</v>
      </c>
      <c r="C2">
        <v>750</v>
      </c>
      <c r="D2">
        <v>745</v>
      </c>
      <c r="E2">
        <v>750</v>
      </c>
      <c r="F2">
        <v>751</v>
      </c>
      <c r="G2">
        <v>748</v>
      </c>
      <c r="H2">
        <v>745</v>
      </c>
      <c r="I2">
        <v>742</v>
      </c>
      <c r="J2">
        <v>737</v>
      </c>
      <c r="K2">
        <v>665</v>
      </c>
      <c r="L2">
        <v>654</v>
      </c>
      <c r="M2">
        <v>647</v>
      </c>
    </row>
    <row r="3" spans="2:21" x14ac:dyDescent="0.2">
      <c r="B3" t="s">
        <v>14</v>
      </c>
      <c r="C3">
        <f>D3*1.2</f>
        <v>65424</v>
      </c>
      <c r="D3">
        <v>54520</v>
      </c>
      <c r="E3" s="16">
        <v>47971</v>
      </c>
      <c r="F3" s="16">
        <v>37091</v>
      </c>
      <c r="G3" s="16">
        <v>36036</v>
      </c>
      <c r="H3" s="16">
        <v>26572</v>
      </c>
      <c r="I3" s="16">
        <v>23024</v>
      </c>
      <c r="J3" s="16">
        <v>18659</v>
      </c>
      <c r="K3" s="16">
        <v>16619</v>
      </c>
      <c r="L3" s="16">
        <v>14565</v>
      </c>
      <c r="M3" s="16">
        <v>11081</v>
      </c>
    </row>
    <row r="4" spans="2:21" x14ac:dyDescent="0.2">
      <c r="B4" t="s">
        <v>17</v>
      </c>
      <c r="C4">
        <f>D4*0.8</f>
        <v>58.544966442953026</v>
      </c>
      <c r="D4">
        <f>D3/D2</f>
        <v>73.181208053691279</v>
      </c>
      <c r="E4">
        <f>E3/E2</f>
        <v>63.961333333333336</v>
      </c>
      <c r="F4">
        <f t="shared" ref="F4:M4" si="0">F3/F2</f>
        <v>49.388814913448734</v>
      </c>
      <c r="G4">
        <f t="shared" si="0"/>
        <v>48.176470588235297</v>
      </c>
      <c r="H4">
        <f t="shared" si="0"/>
        <v>35.667114093959732</v>
      </c>
      <c r="I4">
        <f t="shared" si="0"/>
        <v>31.029649595687331</v>
      </c>
      <c r="J4">
        <f t="shared" si="0"/>
        <v>25.317503392130259</v>
      </c>
      <c r="K4">
        <f t="shared" si="0"/>
        <v>24.990977443609022</v>
      </c>
      <c r="L4">
        <f t="shared" si="0"/>
        <v>22.270642201834864</v>
      </c>
      <c r="M4">
        <f t="shared" si="0"/>
        <v>17.126738794435859</v>
      </c>
    </row>
    <row r="5" spans="2:21" x14ac:dyDescent="0.2">
      <c r="B5" t="s">
        <v>52</v>
      </c>
      <c r="D5">
        <f t="shared" ref="D5:L5" si="1">(D3-E3)/E3*100</f>
        <v>13.651998082174646</v>
      </c>
      <c r="E5">
        <f t="shared" si="1"/>
        <v>29.333261438084712</v>
      </c>
      <c r="F5">
        <f t="shared" si="1"/>
        <v>2.9276279276279276</v>
      </c>
      <c r="G5">
        <f t="shared" si="1"/>
        <v>35.61643835616438</v>
      </c>
      <c r="H5">
        <f t="shared" si="1"/>
        <v>15.410006949270327</v>
      </c>
      <c r="I5">
        <f t="shared" si="1"/>
        <v>23.393536631116351</v>
      </c>
      <c r="J5">
        <f t="shared" si="1"/>
        <v>12.275106805463626</v>
      </c>
      <c r="K5">
        <f t="shared" si="1"/>
        <v>14.102300034328872</v>
      </c>
      <c r="L5">
        <f t="shared" si="1"/>
        <v>31.441205667358542</v>
      </c>
    </row>
    <row r="6" spans="2:21" x14ac:dyDescent="0.2">
      <c r="B6" t="s">
        <v>16</v>
      </c>
    </row>
    <row r="8" spans="2:21" x14ac:dyDescent="0.2">
      <c r="B8" t="s">
        <v>18</v>
      </c>
      <c r="C8">
        <f>C4*K14</f>
        <v>1119.0273231270278</v>
      </c>
      <c r="D8">
        <v>1367.05</v>
      </c>
      <c r="E8">
        <v>1291.44</v>
      </c>
      <c r="F8">
        <v>1086.49</v>
      </c>
      <c r="G8">
        <v>839</v>
      </c>
      <c r="H8">
        <v>798.69</v>
      </c>
      <c r="I8">
        <v>615.05999999999995</v>
      </c>
      <c r="J8">
        <v>561.05999999999995</v>
      </c>
      <c r="K8">
        <v>387.58</v>
      </c>
      <c r="L8">
        <v>323.7</v>
      </c>
      <c r="M8">
        <v>315.74</v>
      </c>
    </row>
    <row r="9" spans="2:21" ht="17" x14ac:dyDescent="0.25">
      <c r="B9" t="s">
        <v>19</v>
      </c>
      <c r="C9">
        <f>C4*13</f>
        <v>761.08456375838932</v>
      </c>
      <c r="D9">
        <v>1022.37</v>
      </c>
      <c r="E9">
        <v>977.66</v>
      </c>
      <c r="F9">
        <v>796.89</v>
      </c>
      <c r="G9">
        <v>672.66</v>
      </c>
      <c r="H9">
        <v>490.91</v>
      </c>
      <c r="I9">
        <v>497.19</v>
      </c>
      <c r="J9">
        <v>348.11</v>
      </c>
      <c r="K9">
        <v>278.54000000000002</v>
      </c>
      <c r="L9">
        <v>236.75</v>
      </c>
      <c r="M9">
        <v>217.03</v>
      </c>
      <c r="O9" s="13"/>
    </row>
    <row r="10" spans="2:21" ht="17" x14ac:dyDescent="0.25">
      <c r="B10" t="s">
        <v>57</v>
      </c>
      <c r="D10">
        <f>D8/D4</f>
        <v>18.680342076302274</v>
      </c>
      <c r="E10">
        <f>E8/E4</f>
        <v>20.190948698171812</v>
      </c>
      <c r="F10">
        <f t="shared" ref="F10:M10" si="2">F8/F4</f>
        <v>21.998705615917608</v>
      </c>
      <c r="G10">
        <f t="shared" si="2"/>
        <v>17.415140415140414</v>
      </c>
      <c r="H10">
        <f t="shared" si="2"/>
        <v>22.392896658136387</v>
      </c>
      <c r="I10">
        <f t="shared" si="2"/>
        <v>19.821686935371783</v>
      </c>
      <c r="J10">
        <f t="shared" si="2"/>
        <v>22.160952891366094</v>
      </c>
      <c r="K10">
        <f t="shared" si="2"/>
        <v>15.508797159877249</v>
      </c>
      <c r="L10">
        <f t="shared" si="2"/>
        <v>14.534830072090626</v>
      </c>
      <c r="M10">
        <f t="shared" si="2"/>
        <v>18.43550040610053</v>
      </c>
      <c r="O10" s="13"/>
      <c r="P10" s="16"/>
    </row>
    <row r="11" spans="2:21" ht="17" x14ac:dyDescent="0.25">
      <c r="B11" t="s">
        <v>58</v>
      </c>
      <c r="D11">
        <f>D9/D4</f>
        <v>13.97038976522377</v>
      </c>
      <c r="E11">
        <f>E9/E4</f>
        <v>15.285172291592836</v>
      </c>
      <c r="F11">
        <f t="shared" ref="F11:M11" si="3">F9/F4</f>
        <v>16.135029791593649</v>
      </c>
      <c r="G11">
        <f t="shared" si="3"/>
        <v>13.962417582417581</v>
      </c>
      <c r="H11">
        <f t="shared" si="3"/>
        <v>13.763659114857745</v>
      </c>
      <c r="I11">
        <f t="shared" si="3"/>
        <v>16.023062022237664</v>
      </c>
      <c r="J11">
        <f t="shared" si="3"/>
        <v>13.749775979420118</v>
      </c>
      <c r="K11">
        <f t="shared" si="3"/>
        <v>11.145622480293641</v>
      </c>
      <c r="L11">
        <f t="shared" si="3"/>
        <v>10.630587023686919</v>
      </c>
      <c r="M11">
        <f t="shared" si="3"/>
        <v>12.671998014619618</v>
      </c>
      <c r="O11" s="13"/>
      <c r="P11" s="16"/>
    </row>
    <row r="12" spans="2:21" ht="17" x14ac:dyDescent="0.25">
      <c r="O12" s="13"/>
      <c r="P12" s="4"/>
    </row>
    <row r="13" spans="2:21" ht="17" x14ac:dyDescent="0.25">
      <c r="O13" s="13"/>
      <c r="P13" s="4"/>
      <c r="U13" s="17"/>
    </row>
    <row r="14" spans="2:21" ht="17" x14ac:dyDescent="0.25">
      <c r="E14">
        <v>1365</v>
      </c>
      <c r="F14">
        <v>1014.07</v>
      </c>
      <c r="H14">
        <v>77.268724832214758</v>
      </c>
      <c r="K14">
        <f>AVERAGE(D10:M10)</f>
        <v>19.113980092847477</v>
      </c>
      <c r="M14">
        <f>AVERAGE(D5:M5)</f>
        <v>19.794609099065482</v>
      </c>
      <c r="O14" s="13"/>
      <c r="P14" s="4"/>
      <c r="U14" s="18"/>
    </row>
    <row r="15" spans="2:21" ht="17" x14ac:dyDescent="0.25">
      <c r="E15">
        <v>1273.8900000000001</v>
      </c>
      <c r="F15">
        <v>970.11</v>
      </c>
      <c r="H15">
        <v>63.961333333333336</v>
      </c>
      <c r="K15">
        <f>AVERAGE(D11:M11)</f>
        <v>13.733771406594354</v>
      </c>
      <c r="M15">
        <f>MEDIAN(D5:M5)</f>
        <v>15.410006949270327</v>
      </c>
      <c r="O15" s="13"/>
      <c r="P15" s="4"/>
      <c r="U15" s="17"/>
    </row>
    <row r="16" spans="2:21" ht="17" x14ac:dyDescent="0.25">
      <c r="E16">
        <v>1078.49</v>
      </c>
      <c r="F16">
        <v>775.8</v>
      </c>
      <c r="H16">
        <v>49.388814913448734</v>
      </c>
      <c r="O16" s="13"/>
      <c r="P16" s="4"/>
      <c r="U16" s="17"/>
    </row>
    <row r="17" spans="1:21" ht="17" x14ac:dyDescent="0.25">
      <c r="E17">
        <v>816.68</v>
      </c>
      <c r="F17">
        <v>663.06</v>
      </c>
      <c r="H17">
        <v>48.176470588235297</v>
      </c>
      <c r="J17" s="15"/>
      <c r="O17" s="13"/>
      <c r="U17" s="17"/>
    </row>
    <row r="18" spans="1:21" ht="17" x14ac:dyDescent="0.25">
      <c r="E18">
        <v>779.98</v>
      </c>
      <c r="F18">
        <v>486.23</v>
      </c>
      <c r="H18">
        <v>35.667114093959732</v>
      </c>
      <c r="O18" s="13"/>
    </row>
    <row r="19" spans="1:21" ht="17" x14ac:dyDescent="0.25">
      <c r="E19">
        <v>612.15</v>
      </c>
      <c r="F19">
        <v>487.66</v>
      </c>
      <c r="H19">
        <v>31.029649595687331</v>
      </c>
      <c r="O19" s="13"/>
    </row>
    <row r="20" spans="1:21" ht="17" x14ac:dyDescent="0.25">
      <c r="E20">
        <v>558.41</v>
      </c>
      <c r="F20">
        <v>346.46</v>
      </c>
      <c r="H20">
        <v>25.317503392130259</v>
      </c>
      <c r="O20" s="13"/>
    </row>
    <row r="21" spans="1:21" ht="17" x14ac:dyDescent="0.25">
      <c r="E21">
        <v>385.74</v>
      </c>
      <c r="F21">
        <v>277.22000000000003</v>
      </c>
      <c r="H21">
        <v>24.990977443609022</v>
      </c>
      <c r="O21" s="13"/>
    </row>
    <row r="22" spans="1:21" ht="17" x14ac:dyDescent="0.25">
      <c r="E22">
        <v>322.17</v>
      </c>
      <c r="F22">
        <v>235.63</v>
      </c>
      <c r="H22">
        <v>22.270642201834864</v>
      </c>
      <c r="O22" s="13"/>
    </row>
    <row r="23" spans="1:21" ht="17" x14ac:dyDescent="0.25">
      <c r="E23">
        <v>314.25</v>
      </c>
      <c r="F23">
        <v>216.01</v>
      </c>
      <c r="H23">
        <v>17.126738794435859</v>
      </c>
      <c r="O23" s="13"/>
    </row>
    <row r="26" spans="1:21" x14ac:dyDescent="0.2">
      <c r="A26" t="s">
        <v>20</v>
      </c>
    </row>
    <row r="27" spans="1:21" ht="17" thickBot="1" x14ac:dyDescent="0.25"/>
    <row r="28" spans="1:21" x14ac:dyDescent="0.2">
      <c r="A28" s="12" t="s">
        <v>21</v>
      </c>
      <c r="B28" s="12"/>
    </row>
    <row r="29" spans="1:21" x14ac:dyDescent="0.2">
      <c r="A29" s="9" t="s">
        <v>22</v>
      </c>
      <c r="B29" s="9">
        <v>0.9699295109354823</v>
      </c>
    </row>
    <row r="30" spans="1:21" x14ac:dyDescent="0.2">
      <c r="A30" s="9" t="s">
        <v>23</v>
      </c>
      <c r="B30" s="9">
        <v>0.94076325618354395</v>
      </c>
    </row>
    <row r="31" spans="1:21" x14ac:dyDescent="0.2">
      <c r="A31" s="9" t="s">
        <v>24</v>
      </c>
      <c r="B31" s="9">
        <v>0.93335866320648697</v>
      </c>
    </row>
    <row r="32" spans="1:21" x14ac:dyDescent="0.2">
      <c r="A32" s="9" t="s">
        <v>25</v>
      </c>
      <c r="B32" s="9">
        <v>99.134732536500053</v>
      </c>
    </row>
    <row r="33" spans="1:9" ht="17" thickBot="1" x14ac:dyDescent="0.25">
      <c r="A33" s="10" t="s">
        <v>26</v>
      </c>
      <c r="B33" s="10">
        <v>10</v>
      </c>
    </row>
    <row r="35" spans="1:9" ht="17" thickBot="1" x14ac:dyDescent="0.25">
      <c r="A35" t="s">
        <v>27</v>
      </c>
    </row>
    <row r="36" spans="1:9" x14ac:dyDescent="0.2">
      <c r="A36" s="11"/>
      <c r="B36" s="11" t="s">
        <v>32</v>
      </c>
      <c r="C36" s="11" t="s">
        <v>33</v>
      </c>
      <c r="D36" s="11" t="s">
        <v>34</v>
      </c>
      <c r="E36" s="11" t="s">
        <v>35</v>
      </c>
      <c r="F36" s="11" t="s">
        <v>36</v>
      </c>
    </row>
    <row r="37" spans="1:9" x14ac:dyDescent="0.2">
      <c r="A37" s="9" t="s">
        <v>28</v>
      </c>
      <c r="B37" s="9">
        <v>1</v>
      </c>
      <c r="C37" s="9">
        <v>1248621.5732793331</v>
      </c>
      <c r="D37" s="9">
        <v>1248621.5732793331</v>
      </c>
      <c r="E37" s="9">
        <v>127.05131248921857</v>
      </c>
      <c r="F37" s="9">
        <v>3.4497031732544705E-6</v>
      </c>
    </row>
    <row r="38" spans="1:9" x14ac:dyDescent="0.2">
      <c r="A38" s="9" t="s">
        <v>29</v>
      </c>
      <c r="B38" s="9">
        <v>8</v>
      </c>
      <c r="C38" s="9">
        <v>78621.561560667207</v>
      </c>
      <c r="D38" s="9">
        <v>9827.6951950834009</v>
      </c>
      <c r="E38" s="9"/>
      <c r="F38" s="9"/>
    </row>
    <row r="39" spans="1:9" ht="17" thickBot="1" x14ac:dyDescent="0.25">
      <c r="A39" s="10" t="s">
        <v>30</v>
      </c>
      <c r="B39" s="10">
        <v>9</v>
      </c>
      <c r="C39" s="10">
        <v>1327243.1348400002</v>
      </c>
      <c r="D39" s="10"/>
      <c r="E39" s="10"/>
      <c r="F39" s="10"/>
    </row>
    <row r="40" spans="1:9" ht="17" thickBot="1" x14ac:dyDescent="0.25"/>
    <row r="41" spans="1:9" x14ac:dyDescent="0.2">
      <c r="A41" s="11"/>
      <c r="B41" s="11" t="s">
        <v>37</v>
      </c>
      <c r="C41" s="11" t="s">
        <v>25</v>
      </c>
      <c r="D41" s="11" t="s">
        <v>38</v>
      </c>
      <c r="E41" s="11" t="s">
        <v>39</v>
      </c>
      <c r="F41" s="11" t="s">
        <v>40</v>
      </c>
      <c r="G41" s="11" t="s">
        <v>41</v>
      </c>
      <c r="H41" s="11" t="s">
        <v>42</v>
      </c>
      <c r="I41" s="11" t="s">
        <v>43</v>
      </c>
    </row>
    <row r="42" spans="1:9" x14ac:dyDescent="0.2">
      <c r="A42" s="9" t="s">
        <v>31</v>
      </c>
      <c r="B42" s="9">
        <v>3.5297673616388465</v>
      </c>
      <c r="C42" s="9">
        <v>73.324527772282195</v>
      </c>
      <c r="D42" s="9">
        <v>4.8138971622169152E-2</v>
      </c>
      <c r="E42" s="9">
        <v>0.9627855827589229</v>
      </c>
      <c r="F42" s="9">
        <v>-165.5568968931367</v>
      </c>
      <c r="G42" s="9">
        <v>172.61643161641439</v>
      </c>
      <c r="H42" s="9">
        <v>-165.5568968931367</v>
      </c>
      <c r="I42" s="9">
        <v>172.61643161641439</v>
      </c>
    </row>
    <row r="43" spans="1:9" ht="17" thickBot="1" x14ac:dyDescent="0.25">
      <c r="A43" s="10" t="s">
        <v>44</v>
      </c>
      <c r="B43" s="10">
        <v>18.905619231086039</v>
      </c>
      <c r="C43" s="10">
        <v>1.6772636262466658</v>
      </c>
      <c r="D43" s="10">
        <v>11.271704063238115</v>
      </c>
      <c r="E43" s="10">
        <v>3.4497031732544641E-6</v>
      </c>
      <c r="F43" s="10">
        <v>15.037842373133691</v>
      </c>
      <c r="G43" s="10">
        <v>22.773396089038386</v>
      </c>
      <c r="H43" s="10">
        <v>15.037842373133691</v>
      </c>
      <c r="I43" s="10">
        <v>22.773396089038386</v>
      </c>
    </row>
    <row r="47" spans="1:9" x14ac:dyDescent="0.2">
      <c r="A47" t="s">
        <v>45</v>
      </c>
      <c r="F47" t="s">
        <v>49</v>
      </c>
    </row>
    <row r="48" spans="1:9" ht="17" thickBot="1" x14ac:dyDescent="0.25"/>
    <row r="49" spans="1:7" x14ac:dyDescent="0.2">
      <c r="A49" s="11" t="s">
        <v>46</v>
      </c>
      <c r="B49" s="11" t="s">
        <v>47</v>
      </c>
      <c r="C49" s="11" t="s">
        <v>48</v>
      </c>
      <c r="D49" s="11" t="s">
        <v>59</v>
      </c>
      <c r="F49" s="11" t="s">
        <v>50</v>
      </c>
      <c r="G49" s="11" t="s">
        <v>51</v>
      </c>
    </row>
    <row r="50" spans="1:7" x14ac:dyDescent="0.2">
      <c r="A50" s="9">
        <v>1</v>
      </c>
      <c r="B50" s="9">
        <v>1464.3428575110534</v>
      </c>
      <c r="C50" s="9">
        <v>-99.342857511053353</v>
      </c>
      <c r="D50" s="9">
        <v>-1.0628869379758177</v>
      </c>
      <c r="F50" s="9">
        <v>5</v>
      </c>
      <c r="G50" s="9">
        <v>314.25</v>
      </c>
    </row>
    <row r="51" spans="1:7" x14ac:dyDescent="0.2">
      <c r="A51" s="9">
        <v>2</v>
      </c>
      <c r="B51" s="9">
        <v>1212.7583808742102</v>
      </c>
      <c r="C51" s="9">
        <v>61.131619125789939</v>
      </c>
      <c r="D51" s="9">
        <v>0.65405808826150658</v>
      </c>
      <c r="F51" s="9">
        <v>15</v>
      </c>
      <c r="G51" s="9">
        <v>322.17</v>
      </c>
    </row>
    <row r="52" spans="1:7" x14ac:dyDescent="0.2">
      <c r="A52" s="9">
        <v>3</v>
      </c>
      <c r="B52" s="9">
        <v>937.25589638988413</v>
      </c>
      <c r="C52" s="9">
        <v>141.23410361011588</v>
      </c>
      <c r="D52" s="9">
        <v>1.5110888460925622</v>
      </c>
      <c r="F52" s="9">
        <v>25</v>
      </c>
      <c r="G52" s="9">
        <v>385.74</v>
      </c>
    </row>
    <row r="53" spans="1:7" x14ac:dyDescent="0.2">
      <c r="A53" s="9">
        <v>4</v>
      </c>
      <c r="B53" s="9">
        <v>914.33577620043104</v>
      </c>
      <c r="C53" s="9">
        <v>-97.655776200431092</v>
      </c>
      <c r="D53" s="9">
        <v>-1.0448365543519722</v>
      </c>
      <c r="F53" s="9">
        <v>35</v>
      </c>
      <c r="G53" s="9">
        <v>558.41</v>
      </c>
    </row>
    <row r="54" spans="1:7" x14ac:dyDescent="0.2">
      <c r="A54" s="9">
        <v>5</v>
      </c>
      <c r="B54" s="9">
        <v>677.83864549374391</v>
      </c>
      <c r="C54" s="9">
        <v>102.14135450625611</v>
      </c>
      <c r="D54" s="9">
        <v>1.092828556091993</v>
      </c>
      <c r="F54" s="9">
        <v>45</v>
      </c>
      <c r="G54" s="9">
        <v>612.15</v>
      </c>
    </row>
    <row r="55" spans="1:7" x14ac:dyDescent="0.2">
      <c r="A55" s="9">
        <v>6</v>
      </c>
      <c r="B55" s="9">
        <v>590.16450749172634</v>
      </c>
      <c r="C55" s="9">
        <v>21.985492508273637</v>
      </c>
      <c r="D55" s="9">
        <v>0.23522670272907342</v>
      </c>
      <c r="F55" s="9">
        <v>55</v>
      </c>
      <c r="G55" s="9">
        <v>779.98</v>
      </c>
    </row>
    <row r="56" spans="1:7" x14ac:dyDescent="0.2">
      <c r="A56" s="9">
        <v>7</v>
      </c>
      <c r="B56" s="9">
        <v>482.17284637498273</v>
      </c>
      <c r="C56" s="9">
        <v>76.237153625017243</v>
      </c>
      <c r="D56" s="9">
        <v>0.81567489406544047</v>
      </c>
      <c r="F56" s="9">
        <v>65</v>
      </c>
      <c r="G56" s="9">
        <v>816.68</v>
      </c>
    </row>
    <row r="57" spans="1:7" x14ac:dyDescent="0.2">
      <c r="A57" s="9">
        <v>8</v>
      </c>
      <c r="B57" s="9">
        <v>475.99967112317097</v>
      </c>
      <c r="C57" s="9">
        <v>-90.259671123170961</v>
      </c>
      <c r="D57" s="9">
        <v>-0.96570430795326423</v>
      </c>
      <c r="F57" s="9">
        <v>75</v>
      </c>
      <c r="G57" s="9">
        <v>1078.49</v>
      </c>
    </row>
    <row r="58" spans="1:7" x14ac:dyDescent="0.2">
      <c r="A58" s="9">
        <v>9</v>
      </c>
      <c r="B58" s="9">
        <v>424.57004886128436</v>
      </c>
      <c r="C58" s="9">
        <v>-102.40004886128435</v>
      </c>
      <c r="D58" s="9">
        <v>-1.0955963731024612</v>
      </c>
      <c r="F58" s="9">
        <v>85</v>
      </c>
      <c r="G58" s="9">
        <v>1273.8900000000001</v>
      </c>
    </row>
    <row r="59" spans="1:7" ht="17" thickBot="1" x14ac:dyDescent="0.25">
      <c r="A59" s="10">
        <v>10</v>
      </c>
      <c r="B59" s="10">
        <v>327.32136967951277</v>
      </c>
      <c r="C59" s="10">
        <v>-13.07136967951277</v>
      </c>
      <c r="D59" s="10">
        <v>-0.13985291385705742</v>
      </c>
      <c r="F59" s="10">
        <v>95</v>
      </c>
      <c r="G59" s="10">
        <v>1365</v>
      </c>
    </row>
    <row r="64" spans="1:7" x14ac:dyDescent="0.2">
      <c r="A64" t="s">
        <v>20</v>
      </c>
    </row>
    <row r="65" spans="1:9" ht="17" thickBot="1" x14ac:dyDescent="0.25"/>
    <row r="66" spans="1:9" x14ac:dyDescent="0.2">
      <c r="A66" s="12" t="s">
        <v>21</v>
      </c>
      <c r="B66" s="12"/>
    </row>
    <row r="67" spans="1:9" x14ac:dyDescent="0.2">
      <c r="A67" s="9" t="s">
        <v>22</v>
      </c>
      <c r="B67" s="9">
        <v>0.98095757031080699</v>
      </c>
    </row>
    <row r="68" spans="1:9" x14ac:dyDescent="0.2">
      <c r="A68" s="9" t="s">
        <v>23</v>
      </c>
      <c r="B68" s="9">
        <v>0.96227775475008182</v>
      </c>
    </row>
    <row r="69" spans="1:9" x14ac:dyDescent="0.2">
      <c r="A69" s="9" t="s">
        <v>24</v>
      </c>
      <c r="B69" s="9">
        <v>0.95756247409384199</v>
      </c>
    </row>
    <row r="70" spans="1:9" x14ac:dyDescent="0.2">
      <c r="A70" s="9" t="s">
        <v>25</v>
      </c>
      <c r="B70" s="9">
        <v>61.02226811747348</v>
      </c>
    </row>
    <row r="71" spans="1:9" ht="17" thickBot="1" x14ac:dyDescent="0.25">
      <c r="A71" s="10" t="s">
        <v>26</v>
      </c>
      <c r="B71" s="10">
        <v>10</v>
      </c>
    </row>
    <row r="73" spans="1:9" ht="17" thickBot="1" x14ac:dyDescent="0.25">
      <c r="A73" t="s">
        <v>27</v>
      </c>
    </row>
    <row r="74" spans="1:9" x14ac:dyDescent="0.2">
      <c r="A74" s="11"/>
      <c r="B74" s="11" t="s">
        <v>32</v>
      </c>
      <c r="C74" s="11" t="s">
        <v>33</v>
      </c>
      <c r="D74" s="11" t="s">
        <v>34</v>
      </c>
      <c r="E74" s="11" t="s">
        <v>35</v>
      </c>
      <c r="F74" s="11" t="s">
        <v>36</v>
      </c>
    </row>
    <row r="75" spans="1:9" x14ac:dyDescent="0.2">
      <c r="A75" s="9" t="s">
        <v>28</v>
      </c>
      <c r="B75" s="9">
        <v>1</v>
      </c>
      <c r="C75" s="9">
        <v>759923.00220039347</v>
      </c>
      <c r="D75" s="9">
        <v>759923.00220039347</v>
      </c>
      <c r="E75" s="9">
        <v>204.07645374760256</v>
      </c>
      <c r="F75" s="9">
        <v>5.6222309942610642E-7</v>
      </c>
    </row>
    <row r="76" spans="1:9" x14ac:dyDescent="0.2">
      <c r="A76" s="9" t="s">
        <v>29</v>
      </c>
      <c r="B76" s="9">
        <v>8</v>
      </c>
      <c r="C76" s="9">
        <v>29789.737649606563</v>
      </c>
      <c r="D76" s="9">
        <v>3723.7172062008203</v>
      </c>
      <c r="E76" s="9"/>
      <c r="F76" s="9"/>
    </row>
    <row r="77" spans="1:9" ht="17" thickBot="1" x14ac:dyDescent="0.25">
      <c r="A77" s="10" t="s">
        <v>30</v>
      </c>
      <c r="B77" s="10">
        <v>9</v>
      </c>
      <c r="C77" s="10">
        <v>789712.73985000001</v>
      </c>
      <c r="D77" s="10"/>
      <c r="E77" s="10"/>
      <c r="F77" s="10"/>
    </row>
    <row r="78" spans="1:9" ht="17" thickBot="1" x14ac:dyDescent="0.25"/>
    <row r="79" spans="1:9" x14ac:dyDescent="0.2">
      <c r="A79" s="11"/>
      <c r="B79" s="11" t="s">
        <v>37</v>
      </c>
      <c r="C79" s="11" t="s">
        <v>25</v>
      </c>
      <c r="D79" s="11" t="s">
        <v>38</v>
      </c>
      <c r="E79" s="11" t="s">
        <v>39</v>
      </c>
      <c r="F79" s="11" t="s">
        <v>40</v>
      </c>
      <c r="G79" s="11" t="s">
        <v>41</v>
      </c>
      <c r="H79" s="11" t="s">
        <v>42</v>
      </c>
      <c r="I79" s="11" t="s">
        <v>43</v>
      </c>
    </row>
    <row r="80" spans="1:9" x14ac:dyDescent="0.2">
      <c r="A80" s="9" t="s">
        <v>31</v>
      </c>
      <c r="B80" s="9">
        <v>-35.649410210544829</v>
      </c>
      <c r="C80" s="9">
        <v>45.134826904989239</v>
      </c>
      <c r="D80" s="9">
        <v>-0.78984262608535927</v>
      </c>
      <c r="E80" s="9">
        <v>0.45239302696593742</v>
      </c>
      <c r="F80" s="9">
        <v>-139.73050769517431</v>
      </c>
      <c r="G80" s="9">
        <v>68.431687274084652</v>
      </c>
      <c r="H80" s="9">
        <v>-139.73050769517431</v>
      </c>
      <c r="I80" s="9">
        <v>68.431687274084652</v>
      </c>
    </row>
    <row r="81" spans="1:9" ht="17" thickBot="1" x14ac:dyDescent="0.25">
      <c r="A81" s="10" t="s">
        <v>44</v>
      </c>
      <c r="B81" s="10">
        <v>14.748922202379886</v>
      </c>
      <c r="C81" s="10">
        <v>1.0324376541473579</v>
      </c>
      <c r="D81" s="10">
        <v>14.285533022873263</v>
      </c>
      <c r="E81" s="10">
        <v>5.6222309942610642E-7</v>
      </c>
      <c r="F81" s="10">
        <v>12.368116702575588</v>
      </c>
      <c r="G81" s="10">
        <v>17.129727702184184</v>
      </c>
      <c r="H81" s="10">
        <v>12.368116702575588</v>
      </c>
      <c r="I81" s="10">
        <v>17.129727702184184</v>
      </c>
    </row>
    <row r="85" spans="1:9" x14ac:dyDescent="0.2">
      <c r="A85" t="s">
        <v>45</v>
      </c>
      <c r="F85" t="s">
        <v>49</v>
      </c>
    </row>
    <row r="86" spans="1:9" ht="17" thickBot="1" x14ac:dyDescent="0.25"/>
    <row r="87" spans="1:9" x14ac:dyDescent="0.2">
      <c r="A87" s="11" t="s">
        <v>46</v>
      </c>
      <c r="B87" s="11" t="s">
        <v>47</v>
      </c>
      <c r="C87" s="11" t="s">
        <v>48</v>
      </c>
      <c r="D87" s="11" t="s">
        <v>59</v>
      </c>
      <c r="F87" s="11" t="s">
        <v>50</v>
      </c>
      <c r="G87" s="11" t="s">
        <v>51</v>
      </c>
    </row>
    <row r="88" spans="1:9" x14ac:dyDescent="0.2">
      <c r="A88" s="9">
        <v>1</v>
      </c>
      <c r="B88" s="9">
        <v>1103.9810010168894</v>
      </c>
      <c r="C88" s="9">
        <v>-89.911001016889372</v>
      </c>
      <c r="D88" s="9">
        <v>-1.5627904488879876</v>
      </c>
      <c r="F88" s="9">
        <v>5</v>
      </c>
      <c r="G88" s="9">
        <v>216.01</v>
      </c>
    </row>
    <row r="89" spans="1:9" x14ac:dyDescent="0.2">
      <c r="A89" s="9">
        <v>2</v>
      </c>
      <c r="B89" s="9">
        <v>907.71131908327584</v>
      </c>
      <c r="C89" s="9">
        <v>62.398680916724174</v>
      </c>
      <c r="D89" s="9">
        <v>1.084584327356646</v>
      </c>
      <c r="F89" s="9">
        <v>15</v>
      </c>
      <c r="G89" s="9">
        <v>235.63</v>
      </c>
    </row>
    <row r="90" spans="1:9" x14ac:dyDescent="0.2">
      <c r="A90" s="9">
        <v>3</v>
      </c>
      <c r="B90" s="9">
        <v>692.78237861565003</v>
      </c>
      <c r="C90" s="9">
        <v>83.017621384349923</v>
      </c>
      <c r="D90" s="9">
        <v>1.4429729879716309</v>
      </c>
      <c r="F90" s="9">
        <v>25</v>
      </c>
      <c r="G90" s="9">
        <v>277.22000000000003</v>
      </c>
    </row>
    <row r="91" spans="1:9" x14ac:dyDescent="0.2">
      <c r="A91" s="9">
        <v>4</v>
      </c>
      <c r="B91" s="9">
        <v>674.90160648058031</v>
      </c>
      <c r="C91" s="9">
        <v>-11.841606480580367</v>
      </c>
      <c r="D91" s="9">
        <v>-0.20582519711759004</v>
      </c>
      <c r="F91" s="9">
        <v>35</v>
      </c>
      <c r="G91" s="9">
        <v>346.46</v>
      </c>
    </row>
    <row r="92" spans="1:9" x14ac:dyDescent="0.2">
      <c r="A92" s="9">
        <v>5</v>
      </c>
      <c r="B92" s="9">
        <v>490.40208074467444</v>
      </c>
      <c r="C92" s="9">
        <v>-4.1720807446744175</v>
      </c>
      <c r="D92" s="9">
        <v>-7.2517132119815836E-2</v>
      </c>
      <c r="F92" s="9">
        <v>45</v>
      </c>
      <c r="G92" s="9">
        <v>486.23</v>
      </c>
    </row>
    <row r="93" spans="1:9" x14ac:dyDescent="0.2">
      <c r="A93" s="9">
        <v>6</v>
      </c>
      <c r="B93" s="9">
        <v>422.0044776433561</v>
      </c>
      <c r="C93" s="9">
        <v>65.655522356643928</v>
      </c>
      <c r="D93" s="9">
        <v>1.1411932032259415</v>
      </c>
      <c r="F93" s="9">
        <v>55</v>
      </c>
      <c r="G93" s="9">
        <v>487.66</v>
      </c>
    </row>
    <row r="94" spans="1:9" x14ac:dyDescent="0.2">
      <c r="A94" s="9">
        <v>7</v>
      </c>
      <c r="B94" s="9">
        <v>337.75647767847323</v>
      </c>
      <c r="C94" s="9">
        <v>8.7035223215267479</v>
      </c>
      <c r="D94" s="9">
        <v>0.15128050407547317</v>
      </c>
      <c r="F94" s="9">
        <v>65</v>
      </c>
      <c r="G94" s="9">
        <v>663.06</v>
      </c>
    </row>
    <row r="95" spans="1:9" x14ac:dyDescent="0.2">
      <c r="A95" s="9">
        <v>8</v>
      </c>
      <c r="B95" s="9">
        <v>332.94057186667521</v>
      </c>
      <c r="C95" s="9">
        <v>-55.720571866675186</v>
      </c>
      <c r="D95" s="9">
        <v>-0.96850859777947729</v>
      </c>
      <c r="F95" s="9">
        <v>75</v>
      </c>
      <c r="G95" s="9">
        <v>775.8</v>
      </c>
    </row>
    <row r="96" spans="1:9" x14ac:dyDescent="0.2">
      <c r="A96" s="9">
        <v>9</v>
      </c>
      <c r="B96" s="9">
        <v>292.81855902135584</v>
      </c>
      <c r="C96" s="9">
        <v>-57.188559021355843</v>
      </c>
      <c r="D96" s="9">
        <v>-0.99402445544403872</v>
      </c>
      <c r="F96" s="9">
        <v>85</v>
      </c>
      <c r="G96" s="9">
        <v>970.11</v>
      </c>
    </row>
    <row r="97" spans="1:7" ht="17" thickBot="1" x14ac:dyDescent="0.25">
      <c r="A97" s="10">
        <v>10</v>
      </c>
      <c r="B97" s="10">
        <v>216.95152784907111</v>
      </c>
      <c r="C97" s="10">
        <v>-0.94152784907112164</v>
      </c>
      <c r="D97" s="10">
        <v>-1.6365191280808915E-2</v>
      </c>
      <c r="F97" s="10">
        <v>95</v>
      </c>
      <c r="G97" s="10">
        <v>1014.07</v>
      </c>
    </row>
  </sheetData>
  <sortState xmlns:xlrd2="http://schemas.microsoft.com/office/spreadsheetml/2017/richdata2" ref="G88:G97">
    <sortCondition ref="G88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FDAB2-0F92-D147-9DAF-3D930E6C85AB}">
  <dimension ref="A1:U84"/>
  <sheetViews>
    <sheetView workbookViewId="0">
      <selection activeCell="K16" sqref="K16"/>
    </sheetView>
  </sheetViews>
  <sheetFormatPr baseColWidth="10" defaultRowHeight="16" x14ac:dyDescent="0.2"/>
  <cols>
    <col min="2" max="2" width="11.83203125" bestFit="1" customWidth="1"/>
    <col min="3" max="3" width="13.6640625" bestFit="1" customWidth="1"/>
    <col min="4" max="4" width="14.6640625" bestFit="1" customWidth="1"/>
    <col min="10" max="10" width="11.1640625" bestFit="1" customWidth="1"/>
  </cols>
  <sheetData>
    <row r="1" spans="2:21" x14ac:dyDescent="0.2">
      <c r="C1" t="s">
        <v>56</v>
      </c>
      <c r="D1">
        <v>2019</v>
      </c>
      <c r="E1">
        <v>2018</v>
      </c>
      <c r="F1">
        <v>2017</v>
      </c>
      <c r="G1">
        <v>2016</v>
      </c>
      <c r="H1">
        <v>2015</v>
      </c>
      <c r="I1">
        <v>2014</v>
      </c>
      <c r="J1">
        <v>2013</v>
      </c>
    </row>
    <row r="2" spans="2:21" x14ac:dyDescent="0.2">
      <c r="B2" t="s">
        <v>16</v>
      </c>
      <c r="C2">
        <f>3</f>
        <v>3</v>
      </c>
      <c r="D2">
        <v>2.2799999999999998</v>
      </c>
      <c r="E2">
        <v>2.29</v>
      </c>
      <c r="F2">
        <v>2.2400000000000002</v>
      </c>
      <c r="G2">
        <v>1.97</v>
      </c>
      <c r="H2">
        <v>1.86</v>
      </c>
      <c r="I2">
        <v>1.55</v>
      </c>
      <c r="J2">
        <v>1.19</v>
      </c>
    </row>
    <row r="3" spans="2:21" x14ac:dyDescent="0.2">
      <c r="B3" t="s">
        <v>52</v>
      </c>
      <c r="C3">
        <f t="shared" ref="C3:I3" si="0">(C2-D2)/D2</f>
        <v>0.31578947368421062</v>
      </c>
      <c r="D3">
        <f t="shared" si="0"/>
        <v>-4.3668122270743362E-3</v>
      </c>
      <c r="E3">
        <f t="shared" si="0"/>
        <v>2.2321428571428489E-2</v>
      </c>
      <c r="F3">
        <f t="shared" si="0"/>
        <v>0.13705583756345191</v>
      </c>
      <c r="G3">
        <f t="shared" si="0"/>
        <v>5.9139784946236486E-2</v>
      </c>
      <c r="H3">
        <f t="shared" si="0"/>
        <v>0.20000000000000004</v>
      </c>
      <c r="I3">
        <f t="shared" si="0"/>
        <v>0.30252100840336144</v>
      </c>
    </row>
    <row r="6" spans="2:21" x14ac:dyDescent="0.2">
      <c r="B6" t="s">
        <v>18</v>
      </c>
      <c r="C6">
        <f>C2*M8</f>
        <v>54.524981605920708</v>
      </c>
      <c r="D6">
        <v>59.23</v>
      </c>
      <c r="E6">
        <v>46.38</v>
      </c>
      <c r="F6">
        <v>42.99</v>
      </c>
      <c r="G6">
        <v>31.55</v>
      </c>
      <c r="H6">
        <v>25.41</v>
      </c>
      <c r="I6">
        <v>23.47</v>
      </c>
      <c r="J6">
        <v>20.21</v>
      </c>
    </row>
    <row r="7" spans="2:21" ht="17" x14ac:dyDescent="0.25">
      <c r="B7" t="s">
        <v>19</v>
      </c>
      <c r="C7">
        <f>C2*L9</f>
        <v>39.227678571428569</v>
      </c>
      <c r="D7">
        <v>34.36</v>
      </c>
      <c r="E7">
        <v>35.29</v>
      </c>
      <c r="F7">
        <v>29.29</v>
      </c>
      <c r="G7">
        <v>20.48</v>
      </c>
      <c r="H7">
        <v>18.760000000000002</v>
      </c>
      <c r="I7">
        <v>16.46</v>
      </c>
      <c r="J7">
        <v>15.75</v>
      </c>
      <c r="O7" s="13"/>
    </row>
    <row r="8" spans="2:21" ht="17" x14ac:dyDescent="0.25">
      <c r="B8" t="s">
        <v>72</v>
      </c>
      <c r="D8">
        <f>D6/D2</f>
        <v>25.978070175438596</v>
      </c>
      <c r="E8">
        <f t="shared" ref="E8:J8" si="1">E6/E2</f>
        <v>20.253275109170307</v>
      </c>
      <c r="F8">
        <f t="shared" si="1"/>
        <v>19.191964285714285</v>
      </c>
      <c r="G8">
        <f t="shared" si="1"/>
        <v>16.015228426395939</v>
      </c>
      <c r="H8">
        <f t="shared" si="1"/>
        <v>13.661290322580644</v>
      </c>
      <c r="I8">
        <f t="shared" si="1"/>
        <v>15.141935483870967</v>
      </c>
      <c r="J8">
        <f t="shared" si="1"/>
        <v>16.983193277310924</v>
      </c>
      <c r="L8">
        <f>MEDIAN(D8:J8)</f>
        <v>16.983193277310924</v>
      </c>
      <c r="M8">
        <f>AVERAGE(D8:J8)</f>
        <v>18.174993868640236</v>
      </c>
      <c r="O8" s="13"/>
      <c r="P8" s="16"/>
    </row>
    <row r="9" spans="2:21" ht="17" x14ac:dyDescent="0.25">
      <c r="B9" t="s">
        <v>73</v>
      </c>
      <c r="D9">
        <f>D7/D2</f>
        <v>15.070175438596491</v>
      </c>
      <c r="E9">
        <f t="shared" ref="E9:J9" si="2">E7/E2</f>
        <v>15.410480349344978</v>
      </c>
      <c r="F9">
        <f t="shared" si="2"/>
        <v>13.075892857142856</v>
      </c>
      <c r="G9">
        <f t="shared" si="2"/>
        <v>10.395939086294417</v>
      </c>
      <c r="H9">
        <f t="shared" si="2"/>
        <v>10.086021505376344</v>
      </c>
      <c r="I9">
        <f t="shared" si="2"/>
        <v>10.619354838709677</v>
      </c>
      <c r="J9">
        <f t="shared" si="2"/>
        <v>13.23529411764706</v>
      </c>
      <c r="L9">
        <f>MEDIAN(D9:J9)</f>
        <v>13.075892857142856</v>
      </c>
      <c r="M9">
        <f>AVERAGE(D9:J9)</f>
        <v>12.556165456158833</v>
      </c>
      <c r="O9" s="13"/>
      <c r="P9" s="16"/>
    </row>
    <row r="10" spans="2:21" ht="17" x14ac:dyDescent="0.25">
      <c r="O10" s="13"/>
      <c r="P10" s="4"/>
    </row>
    <row r="11" spans="2:21" ht="17" x14ac:dyDescent="0.25">
      <c r="O11" s="13"/>
      <c r="P11" s="4"/>
      <c r="U11" s="17"/>
    </row>
    <row r="12" spans="2:21" ht="17" x14ac:dyDescent="0.25">
      <c r="D12">
        <v>2.2799999999999998</v>
      </c>
      <c r="E12">
        <v>59.23</v>
      </c>
      <c r="F12">
        <v>34.36</v>
      </c>
      <c r="O12" s="13"/>
      <c r="P12" s="4"/>
      <c r="U12" s="18"/>
    </row>
    <row r="13" spans="2:21" ht="17" x14ac:dyDescent="0.25">
      <c r="D13">
        <v>2.29</v>
      </c>
      <c r="E13">
        <v>46.38</v>
      </c>
      <c r="F13">
        <v>35.29</v>
      </c>
      <c r="O13" s="13"/>
      <c r="P13" s="4"/>
      <c r="U13" s="17"/>
    </row>
    <row r="14" spans="2:21" ht="17" x14ac:dyDescent="0.25">
      <c r="D14">
        <v>2.2400000000000002</v>
      </c>
      <c r="E14">
        <v>42.99</v>
      </c>
      <c r="F14">
        <v>29.29</v>
      </c>
      <c r="O14" s="13"/>
      <c r="P14" s="4"/>
      <c r="U14" s="17"/>
    </row>
    <row r="15" spans="2:21" ht="17" x14ac:dyDescent="0.25">
      <c r="D15">
        <v>1.97</v>
      </c>
      <c r="E15">
        <v>31.55</v>
      </c>
      <c r="F15">
        <v>20.48</v>
      </c>
      <c r="J15" s="15"/>
      <c r="O15" s="13"/>
      <c r="U15" s="17"/>
    </row>
    <row r="16" spans="2:21" ht="17" x14ac:dyDescent="0.25">
      <c r="D16">
        <v>1.86</v>
      </c>
      <c r="E16">
        <v>25.41</v>
      </c>
      <c r="F16">
        <v>18.760000000000002</v>
      </c>
      <c r="O16" s="13"/>
    </row>
    <row r="17" spans="1:15" ht="17" x14ac:dyDescent="0.25">
      <c r="D17">
        <v>1.55</v>
      </c>
      <c r="E17">
        <v>23.47</v>
      </c>
      <c r="F17">
        <v>16.46</v>
      </c>
      <c r="O17" s="13"/>
    </row>
    <row r="18" spans="1:15" ht="17" x14ac:dyDescent="0.25">
      <c r="D18">
        <v>1.19</v>
      </c>
      <c r="E18">
        <v>20.21</v>
      </c>
      <c r="F18">
        <v>15.75</v>
      </c>
      <c r="O18" s="13"/>
    </row>
    <row r="19" spans="1:15" ht="17" x14ac:dyDescent="0.25">
      <c r="O19" s="13"/>
    </row>
    <row r="20" spans="1:15" ht="17" x14ac:dyDescent="0.25">
      <c r="A20" t="s">
        <v>20</v>
      </c>
      <c r="O20" s="13"/>
    </row>
    <row r="21" spans="1:15" ht="17" thickBot="1" x14ac:dyDescent="0.25"/>
    <row r="22" spans="1:15" x14ac:dyDescent="0.2">
      <c r="A22" s="12" t="s">
        <v>21</v>
      </c>
      <c r="B22" s="12"/>
    </row>
    <row r="23" spans="1:15" x14ac:dyDescent="0.2">
      <c r="A23" s="9" t="s">
        <v>22</v>
      </c>
      <c r="B23" s="9">
        <v>0.8635490384293848</v>
      </c>
    </row>
    <row r="24" spans="1:15" x14ac:dyDescent="0.2">
      <c r="A24" s="9" t="s">
        <v>23</v>
      </c>
      <c r="B24" s="9">
        <v>0.74571694177231518</v>
      </c>
    </row>
    <row r="25" spans="1:15" x14ac:dyDescent="0.2">
      <c r="A25" s="9" t="s">
        <v>24</v>
      </c>
      <c r="B25" s="9">
        <v>0.69486033012677828</v>
      </c>
    </row>
    <row r="26" spans="1:15" x14ac:dyDescent="0.2">
      <c r="A26" s="9" t="s">
        <v>25</v>
      </c>
      <c r="B26" s="9">
        <v>7.9200886734005742</v>
      </c>
    </row>
    <row r="27" spans="1:15" ht="17" thickBot="1" x14ac:dyDescent="0.25">
      <c r="A27" s="10" t="s">
        <v>26</v>
      </c>
      <c r="B27" s="10">
        <v>7</v>
      </c>
    </row>
    <row r="29" spans="1:15" ht="17" thickBot="1" x14ac:dyDescent="0.25">
      <c r="A29" t="s">
        <v>27</v>
      </c>
    </row>
    <row r="30" spans="1:15" x14ac:dyDescent="0.2">
      <c r="A30" s="11"/>
      <c r="B30" s="11" t="s">
        <v>32</v>
      </c>
      <c r="C30" s="11" t="s">
        <v>33</v>
      </c>
      <c r="D30" s="11" t="s">
        <v>34</v>
      </c>
      <c r="E30" s="11" t="s">
        <v>35</v>
      </c>
      <c r="F30" s="11" t="s">
        <v>36</v>
      </c>
    </row>
    <row r="31" spans="1:15" x14ac:dyDescent="0.2">
      <c r="A31" s="9" t="s">
        <v>28</v>
      </c>
      <c r="B31" s="9">
        <v>1</v>
      </c>
      <c r="C31" s="9">
        <v>919.78574845593107</v>
      </c>
      <c r="D31" s="9">
        <v>919.78574845593107</v>
      </c>
      <c r="E31" s="9">
        <v>14.663126733055897</v>
      </c>
      <c r="F31" s="9">
        <v>1.2257086783748766E-2</v>
      </c>
    </row>
    <row r="32" spans="1:15" x14ac:dyDescent="0.2">
      <c r="A32" s="9" t="s">
        <v>29</v>
      </c>
      <c r="B32" s="9">
        <v>5</v>
      </c>
      <c r="C32" s="9">
        <v>313.63902297264036</v>
      </c>
      <c r="D32" s="9">
        <v>62.727804594528074</v>
      </c>
      <c r="E32" s="9"/>
      <c r="F32" s="9"/>
    </row>
    <row r="33" spans="1:9" ht="17" thickBot="1" x14ac:dyDescent="0.25">
      <c r="A33" s="10" t="s">
        <v>30</v>
      </c>
      <c r="B33" s="10">
        <v>6</v>
      </c>
      <c r="C33" s="10">
        <v>1233.4247714285714</v>
      </c>
      <c r="D33" s="10"/>
      <c r="E33" s="10"/>
      <c r="F33" s="10"/>
    </row>
    <row r="34" spans="1:9" ht="17" thickBot="1" x14ac:dyDescent="0.25"/>
    <row r="35" spans="1:9" x14ac:dyDescent="0.2">
      <c r="A35" s="11"/>
      <c r="B35" s="11" t="s">
        <v>37</v>
      </c>
      <c r="C35" s="11" t="s">
        <v>25</v>
      </c>
      <c r="D35" s="11" t="s">
        <v>38</v>
      </c>
      <c r="E35" s="11" t="s">
        <v>39</v>
      </c>
      <c r="F35" s="11" t="s">
        <v>40</v>
      </c>
      <c r="G35" s="11" t="s">
        <v>41</v>
      </c>
      <c r="H35" s="11" t="s">
        <v>42</v>
      </c>
      <c r="I35" s="11" t="s">
        <v>43</v>
      </c>
    </row>
    <row r="36" spans="1:9" x14ac:dyDescent="0.2">
      <c r="A36" s="9" t="s">
        <v>31</v>
      </c>
      <c r="B36" s="9">
        <v>-21.121537346101221</v>
      </c>
      <c r="C36" s="9">
        <v>15.113632407541733</v>
      </c>
      <c r="D36" s="9">
        <v>-1.3975156187841071</v>
      </c>
      <c r="E36" s="9">
        <v>0.22110423047395883</v>
      </c>
      <c r="F36" s="9">
        <v>-59.972366283412349</v>
      </c>
      <c r="G36" s="9">
        <v>17.729291591209908</v>
      </c>
      <c r="H36" s="9">
        <v>-59.972366283412349</v>
      </c>
      <c r="I36" s="9">
        <v>17.729291591209908</v>
      </c>
    </row>
    <row r="37" spans="1:9" ht="17" thickBot="1" x14ac:dyDescent="0.25">
      <c r="A37" s="10" t="s">
        <v>44</v>
      </c>
      <c r="B37" s="10">
        <v>29.677934336525301</v>
      </c>
      <c r="C37" s="10">
        <v>7.7503332275715069</v>
      </c>
      <c r="D37" s="10">
        <v>3.829246235626</v>
      </c>
      <c r="E37" s="10">
        <v>1.2257086783748778E-2</v>
      </c>
      <c r="F37" s="10">
        <v>9.7550685216014088</v>
      </c>
      <c r="G37" s="10">
        <v>49.600800151449192</v>
      </c>
      <c r="H37" s="10">
        <v>9.7550685216014088</v>
      </c>
      <c r="I37" s="10">
        <v>49.600800151449192</v>
      </c>
    </row>
    <row r="41" spans="1:9" x14ac:dyDescent="0.2">
      <c r="A41" t="s">
        <v>45</v>
      </c>
    </row>
    <row r="42" spans="1:9" ht="17" thickBot="1" x14ac:dyDescent="0.25"/>
    <row r="43" spans="1:9" x14ac:dyDescent="0.2">
      <c r="A43" s="11" t="s">
        <v>46</v>
      </c>
      <c r="B43" s="11" t="s">
        <v>47</v>
      </c>
      <c r="C43" s="11" t="s">
        <v>48</v>
      </c>
      <c r="D43" s="11" t="s">
        <v>59</v>
      </c>
    </row>
    <row r="44" spans="1:9" x14ac:dyDescent="0.2">
      <c r="A44" s="9">
        <v>1</v>
      </c>
      <c r="B44" s="9">
        <v>46.544152941176463</v>
      </c>
      <c r="C44" s="9">
        <v>12.685847058823533</v>
      </c>
      <c r="D44" s="9">
        <v>1.7546077781967253</v>
      </c>
    </row>
    <row r="45" spans="1:9" x14ac:dyDescent="0.2">
      <c r="A45" s="9">
        <v>2</v>
      </c>
      <c r="B45" s="9">
        <v>46.840932284541722</v>
      </c>
      <c r="C45" s="9">
        <v>-0.46093228454171964</v>
      </c>
      <c r="D45" s="9">
        <v>-6.375257150182688E-2</v>
      </c>
    </row>
    <row r="46" spans="1:9" x14ac:dyDescent="0.2">
      <c r="A46" s="9">
        <v>3</v>
      </c>
      <c r="B46" s="9">
        <v>45.357035567715457</v>
      </c>
      <c r="C46" s="9">
        <v>-2.3670355677154546</v>
      </c>
      <c r="D46" s="9">
        <v>-0.32738996451112834</v>
      </c>
    </row>
    <row r="47" spans="1:9" x14ac:dyDescent="0.2">
      <c r="A47" s="9">
        <v>4</v>
      </c>
      <c r="B47" s="9">
        <v>37.343993296853618</v>
      </c>
      <c r="C47" s="9">
        <v>-5.7939932968536176</v>
      </c>
      <c r="D47" s="9">
        <v>-0.80138012529545999</v>
      </c>
    </row>
    <row r="48" spans="1:9" x14ac:dyDescent="0.2">
      <c r="A48" s="9">
        <v>5</v>
      </c>
      <c r="B48" s="9">
        <v>34.079420519835843</v>
      </c>
      <c r="C48" s="9">
        <v>-8.6694205198358425</v>
      </c>
      <c r="D48" s="9">
        <v>-1.1990868726406476</v>
      </c>
    </row>
    <row r="49" spans="1:6" x14ac:dyDescent="0.2">
      <c r="A49" s="9">
        <v>6</v>
      </c>
      <c r="B49" s="9">
        <v>24.879260875512998</v>
      </c>
      <c r="C49" s="9">
        <v>-1.4092608755129987</v>
      </c>
      <c r="D49" s="9">
        <v>-0.19491801235011494</v>
      </c>
    </row>
    <row r="50" spans="1:6" ht="17" thickBot="1" x14ac:dyDescent="0.25">
      <c r="A50" s="10">
        <v>7</v>
      </c>
      <c r="B50" s="10">
        <v>14.195204514363887</v>
      </c>
      <c r="C50" s="10">
        <v>6.0147954856361139</v>
      </c>
      <c r="D50" s="10">
        <v>0.83191976810245427</v>
      </c>
    </row>
    <row r="54" spans="1:6" x14ac:dyDescent="0.2">
      <c r="A54" t="s">
        <v>20</v>
      </c>
    </row>
    <row r="55" spans="1:6" ht="17" thickBot="1" x14ac:dyDescent="0.25"/>
    <row r="56" spans="1:6" x14ac:dyDescent="0.2">
      <c r="A56" s="12" t="s">
        <v>21</v>
      </c>
      <c r="B56" s="12"/>
    </row>
    <row r="57" spans="1:6" x14ac:dyDescent="0.2">
      <c r="A57" s="9" t="s">
        <v>22</v>
      </c>
      <c r="B57" s="9">
        <v>0.87973014200798971</v>
      </c>
    </row>
    <row r="58" spans="1:6" x14ac:dyDescent="0.2">
      <c r="A58" s="9" t="s">
        <v>23</v>
      </c>
      <c r="B58" s="9">
        <v>0.77392512275739767</v>
      </c>
    </row>
    <row r="59" spans="1:6" x14ac:dyDescent="0.2">
      <c r="A59" s="9" t="s">
        <v>24</v>
      </c>
      <c r="B59" s="9">
        <v>0.72871014730887718</v>
      </c>
    </row>
    <row r="60" spans="1:6" x14ac:dyDescent="0.2">
      <c r="A60" s="9" t="s">
        <v>25</v>
      </c>
      <c r="B60" s="9">
        <v>4.3925288861735083</v>
      </c>
    </row>
    <row r="61" spans="1:6" ht="17" thickBot="1" x14ac:dyDescent="0.25">
      <c r="A61" s="10" t="s">
        <v>26</v>
      </c>
      <c r="B61" s="10">
        <v>7</v>
      </c>
    </row>
    <row r="63" spans="1:6" ht="17" thickBot="1" x14ac:dyDescent="0.25">
      <c r="A63" t="s">
        <v>27</v>
      </c>
    </row>
    <row r="64" spans="1:6" x14ac:dyDescent="0.2">
      <c r="A64" s="11"/>
      <c r="B64" s="11" t="s">
        <v>32</v>
      </c>
      <c r="C64" s="11" t="s">
        <v>33</v>
      </c>
      <c r="D64" s="11" t="s">
        <v>34</v>
      </c>
      <c r="E64" s="11" t="s">
        <v>35</v>
      </c>
      <c r="F64" s="11" t="s">
        <v>36</v>
      </c>
    </row>
    <row r="65" spans="1:9" x14ac:dyDescent="0.2">
      <c r="A65" s="9" t="s">
        <v>28</v>
      </c>
      <c r="B65" s="9">
        <v>1</v>
      </c>
      <c r="C65" s="9">
        <v>330.2523356349422</v>
      </c>
      <c r="D65" s="9">
        <v>330.2523356349422</v>
      </c>
      <c r="E65" s="9">
        <v>17.116566250014895</v>
      </c>
      <c r="F65" s="9">
        <v>9.0214115037154635E-3</v>
      </c>
    </row>
    <row r="66" spans="1:9" x14ac:dyDescent="0.2">
      <c r="A66" s="9" t="s">
        <v>29</v>
      </c>
      <c r="B66" s="9">
        <v>5</v>
      </c>
      <c r="C66" s="9">
        <v>96.471550079343388</v>
      </c>
      <c r="D66" s="9">
        <v>19.294310015868678</v>
      </c>
      <c r="E66" s="9"/>
      <c r="F66" s="9"/>
    </row>
    <row r="67" spans="1:9" ht="17" thickBot="1" x14ac:dyDescent="0.25">
      <c r="A67" s="10" t="s">
        <v>30</v>
      </c>
      <c r="B67" s="10">
        <v>6</v>
      </c>
      <c r="C67" s="10">
        <v>426.72388571428559</v>
      </c>
      <c r="D67" s="10"/>
      <c r="E67" s="10"/>
      <c r="F67" s="10"/>
    </row>
    <row r="68" spans="1:9" ht="17" thickBot="1" x14ac:dyDescent="0.25"/>
    <row r="69" spans="1:9" x14ac:dyDescent="0.2">
      <c r="A69" s="11"/>
      <c r="B69" s="11" t="s">
        <v>37</v>
      </c>
      <c r="C69" s="11" t="s">
        <v>25</v>
      </c>
      <c r="D69" s="11" t="s">
        <v>38</v>
      </c>
      <c r="E69" s="11" t="s">
        <v>39</v>
      </c>
      <c r="F69" s="11" t="s">
        <v>40</v>
      </c>
      <c r="G69" s="11" t="s">
        <v>41</v>
      </c>
      <c r="H69" s="11" t="s">
        <v>42</v>
      </c>
      <c r="I69" s="11" t="s">
        <v>43</v>
      </c>
    </row>
    <row r="70" spans="1:9" x14ac:dyDescent="0.2">
      <c r="A70" s="9" t="s">
        <v>31</v>
      </c>
      <c r="B70" s="9">
        <v>-9.6501515731874079</v>
      </c>
      <c r="C70" s="9">
        <v>8.3821115725755035</v>
      </c>
      <c r="D70" s="9">
        <v>-1.1512793035063698</v>
      </c>
      <c r="E70" s="9">
        <v>0.30167877632639273</v>
      </c>
      <c r="F70" s="9">
        <v>-31.197055325926947</v>
      </c>
      <c r="G70" s="9">
        <v>11.896752179552131</v>
      </c>
      <c r="H70" s="9">
        <v>-31.197055325926947</v>
      </c>
      <c r="I70" s="9">
        <v>11.896752179552131</v>
      </c>
    </row>
    <row r="71" spans="1:9" ht="17" thickBot="1" x14ac:dyDescent="0.25">
      <c r="A71" s="10" t="s">
        <v>44</v>
      </c>
      <c r="B71" s="10">
        <v>17.783337893296849</v>
      </c>
      <c r="C71" s="10">
        <v>4.2983814933679563</v>
      </c>
      <c r="D71" s="10">
        <v>4.1372172108815972</v>
      </c>
      <c r="E71" s="10">
        <v>9.0214115037154513E-3</v>
      </c>
      <c r="F71" s="10">
        <v>6.7339965038098839</v>
      </c>
      <c r="G71" s="10">
        <v>28.832679282783815</v>
      </c>
      <c r="H71" s="10">
        <v>6.7339965038098839</v>
      </c>
      <c r="I71" s="10">
        <v>28.832679282783815</v>
      </c>
    </row>
    <row r="75" spans="1:9" x14ac:dyDescent="0.2">
      <c r="A75" t="s">
        <v>45</v>
      </c>
    </row>
    <row r="76" spans="1:9" ht="17" thickBot="1" x14ac:dyDescent="0.25"/>
    <row r="77" spans="1:9" x14ac:dyDescent="0.2">
      <c r="A77" s="11" t="s">
        <v>46</v>
      </c>
      <c r="B77" s="11" t="s">
        <v>47</v>
      </c>
      <c r="C77" s="11" t="s">
        <v>48</v>
      </c>
      <c r="D77" s="11" t="s">
        <v>59</v>
      </c>
    </row>
    <row r="78" spans="1:9" x14ac:dyDescent="0.2">
      <c r="A78" s="9">
        <v>1</v>
      </c>
      <c r="B78" s="9">
        <v>30.895858823529402</v>
      </c>
      <c r="C78" s="9">
        <v>3.4641411764705978</v>
      </c>
      <c r="D78" s="9">
        <v>0.86391612390206263</v>
      </c>
    </row>
    <row r="79" spans="1:9" x14ac:dyDescent="0.2">
      <c r="A79" s="9">
        <v>2</v>
      </c>
      <c r="B79" s="9">
        <v>31.073692202462375</v>
      </c>
      <c r="C79" s="9">
        <v>4.216307797537624</v>
      </c>
      <c r="D79" s="9">
        <v>1.0514976451790874</v>
      </c>
    </row>
    <row r="80" spans="1:9" x14ac:dyDescent="0.2">
      <c r="A80" s="9">
        <v>3</v>
      </c>
      <c r="B80" s="9">
        <v>30.184525307797536</v>
      </c>
      <c r="C80" s="9">
        <v>-0.89452530779753658</v>
      </c>
      <c r="D80" s="9">
        <v>-0.22308410577888194</v>
      </c>
    </row>
    <row r="81" spans="1:4" x14ac:dyDescent="0.2">
      <c r="A81" s="9">
        <v>4</v>
      </c>
      <c r="B81" s="9">
        <v>25.383024076607384</v>
      </c>
      <c r="C81" s="9">
        <v>-4.9030240766073838</v>
      </c>
      <c r="D81" s="9">
        <v>-1.2227566198606088</v>
      </c>
    </row>
    <row r="82" spans="1:4" x14ac:dyDescent="0.2">
      <c r="A82" s="9">
        <v>5</v>
      </c>
      <c r="B82" s="9">
        <v>23.426856908344732</v>
      </c>
      <c r="C82" s="9">
        <v>-4.6668569083447302</v>
      </c>
      <c r="D82" s="9">
        <v>-1.1638593018228174</v>
      </c>
    </row>
    <row r="83" spans="1:4" x14ac:dyDescent="0.2">
      <c r="A83" s="9">
        <v>6</v>
      </c>
      <c r="B83" s="9">
        <v>17.914022161422711</v>
      </c>
      <c r="C83" s="9">
        <v>-1.45402216142271</v>
      </c>
      <c r="D83" s="9">
        <v>-0.36261604991625218</v>
      </c>
    </row>
    <row r="84" spans="1:4" ht="17" thickBot="1" x14ac:dyDescent="0.25">
      <c r="A84" s="10">
        <v>7</v>
      </c>
      <c r="B84" s="10">
        <v>11.512020519835843</v>
      </c>
      <c r="C84" s="10">
        <v>4.2379794801641566</v>
      </c>
      <c r="D84" s="10">
        <v>1.0569023082974147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95599-5699-E64D-ADA9-E66B1E8F7B5D}">
  <dimension ref="A1:U85"/>
  <sheetViews>
    <sheetView workbookViewId="0">
      <selection activeCell="H19" sqref="H19"/>
    </sheetView>
  </sheetViews>
  <sheetFormatPr baseColWidth="10" defaultRowHeight="16" x14ac:dyDescent="0.2"/>
  <cols>
    <col min="2" max="2" width="11.83203125" bestFit="1" customWidth="1"/>
    <col min="3" max="3" width="13.6640625" bestFit="1" customWidth="1"/>
    <col min="4" max="4" width="14.6640625" bestFit="1" customWidth="1"/>
    <col min="10" max="10" width="11.1640625" bestFit="1" customWidth="1"/>
  </cols>
  <sheetData>
    <row r="1" spans="2:21" x14ac:dyDescent="0.2">
      <c r="C1" t="s">
        <v>56</v>
      </c>
      <c r="D1">
        <v>2019</v>
      </c>
      <c r="E1">
        <v>2018</v>
      </c>
      <c r="F1">
        <v>2017</v>
      </c>
      <c r="G1">
        <v>2016</v>
      </c>
      <c r="H1">
        <v>2015</v>
      </c>
      <c r="I1">
        <v>2014</v>
      </c>
      <c r="J1">
        <v>2013</v>
      </c>
    </row>
    <row r="2" spans="2:21" x14ac:dyDescent="0.2">
      <c r="B2" t="s">
        <v>15</v>
      </c>
      <c r="C2">
        <v>2900</v>
      </c>
      <c r="D2">
        <v>2876</v>
      </c>
      <c r="E2">
        <v>2921</v>
      </c>
      <c r="F2">
        <v>2956</v>
      </c>
      <c r="G2">
        <v>2925</v>
      </c>
      <c r="H2">
        <v>2853</v>
      </c>
      <c r="I2">
        <v>2664</v>
      </c>
      <c r="J2">
        <v>2517</v>
      </c>
    </row>
    <row r="3" spans="2:21" x14ac:dyDescent="0.2">
      <c r="B3" t="s">
        <v>14</v>
      </c>
      <c r="D3">
        <v>36314</v>
      </c>
      <c r="E3" s="16">
        <v>29274</v>
      </c>
      <c r="F3" s="16">
        <v>24216</v>
      </c>
      <c r="G3" s="16">
        <v>16108</v>
      </c>
      <c r="H3" s="16">
        <v>10320</v>
      </c>
      <c r="I3" s="16">
        <v>7326</v>
      </c>
      <c r="J3" s="16">
        <v>4222</v>
      </c>
      <c r="K3" s="16"/>
      <c r="L3" s="16"/>
      <c r="M3" s="16"/>
    </row>
    <row r="4" spans="2:21" x14ac:dyDescent="0.2">
      <c r="B4" t="s">
        <v>17</v>
      </c>
      <c r="C4">
        <f>D4*1.2</f>
        <v>15.151877607788593</v>
      </c>
      <c r="D4">
        <f t="shared" ref="D4:J4" si="0">D3/D2</f>
        <v>12.626564673157162</v>
      </c>
      <c r="E4">
        <f t="shared" si="0"/>
        <v>10.021910304690175</v>
      </c>
      <c r="F4">
        <f t="shared" si="0"/>
        <v>8.1921515561569684</v>
      </c>
      <c r="G4">
        <f t="shared" si="0"/>
        <v>5.5070085470085468</v>
      </c>
      <c r="H4">
        <f t="shared" si="0"/>
        <v>3.6172450052576237</v>
      </c>
      <c r="I4">
        <f t="shared" si="0"/>
        <v>2.75</v>
      </c>
      <c r="J4">
        <f t="shared" si="0"/>
        <v>1.6773937226857369</v>
      </c>
    </row>
    <row r="5" spans="2:21" x14ac:dyDescent="0.2">
      <c r="B5" t="s">
        <v>52</v>
      </c>
      <c r="D5">
        <f t="shared" ref="D5:I5" si="1">(D3-E3)/E3*100</f>
        <v>24.048643847783016</v>
      </c>
      <c r="E5">
        <f t="shared" si="1"/>
        <v>20.887016848364716</v>
      </c>
      <c r="F5">
        <f t="shared" si="1"/>
        <v>50.335237149242616</v>
      </c>
      <c r="G5">
        <f t="shared" si="1"/>
        <v>56.085271317829452</v>
      </c>
      <c r="H5">
        <f t="shared" si="1"/>
        <v>40.86814086814087</v>
      </c>
      <c r="I5">
        <f t="shared" si="1"/>
        <v>73.519658929417346</v>
      </c>
    </row>
    <row r="8" spans="2:21" x14ac:dyDescent="0.2">
      <c r="B8" t="s">
        <v>18</v>
      </c>
      <c r="C8">
        <f>C4*L10</f>
        <v>366.7040336559931</v>
      </c>
      <c r="D8">
        <v>208.1</v>
      </c>
      <c r="E8">
        <v>217.5</v>
      </c>
      <c r="F8">
        <v>183.03</v>
      </c>
      <c r="G8">
        <v>133.28</v>
      </c>
      <c r="H8">
        <v>109.01</v>
      </c>
      <c r="I8">
        <v>81.45</v>
      </c>
      <c r="J8">
        <v>57.96</v>
      </c>
    </row>
    <row r="9" spans="2:21" ht="17" x14ac:dyDescent="0.25">
      <c r="B9" t="s">
        <v>19</v>
      </c>
      <c r="C9">
        <f>C4*L11</f>
        <v>216.13960692846439</v>
      </c>
      <c r="D9">
        <v>131.74</v>
      </c>
      <c r="E9">
        <v>124.06</v>
      </c>
      <c r="F9">
        <v>116.86</v>
      </c>
      <c r="G9">
        <v>94.16</v>
      </c>
      <c r="H9">
        <v>74.05</v>
      </c>
      <c r="I9">
        <v>53.53</v>
      </c>
      <c r="J9">
        <v>22.899000000000001</v>
      </c>
      <c r="O9" s="13"/>
    </row>
    <row r="10" spans="2:21" ht="17" x14ac:dyDescent="0.25">
      <c r="B10" t="s">
        <v>57</v>
      </c>
      <c r="D10">
        <f t="shared" ref="D10:J10" si="2">D8/D4</f>
        <v>16.481125736630499</v>
      </c>
      <c r="E10">
        <f t="shared" si="2"/>
        <v>21.702449272391881</v>
      </c>
      <c r="F10">
        <f t="shared" si="2"/>
        <v>22.342115956392469</v>
      </c>
      <c r="G10">
        <f t="shared" si="2"/>
        <v>24.201887260988329</v>
      </c>
      <c r="H10">
        <f t="shared" si="2"/>
        <v>30.136194767441861</v>
      </c>
      <c r="I10">
        <f t="shared" si="2"/>
        <v>29.618181818181821</v>
      </c>
      <c r="J10">
        <f t="shared" si="2"/>
        <v>34.553604926575083</v>
      </c>
      <c r="L10">
        <f>MEDIAN(D10:J10)</f>
        <v>24.201887260988329</v>
      </c>
      <c r="M10">
        <f>AVERAGE(D10:J10)</f>
        <v>25.576508534085992</v>
      </c>
      <c r="O10" s="13"/>
      <c r="P10" s="16"/>
    </row>
    <row r="11" spans="2:21" ht="17" x14ac:dyDescent="0.25">
      <c r="B11" t="s">
        <v>58</v>
      </c>
      <c r="D11">
        <f t="shared" ref="D11:J11" si="3">D9/D4</f>
        <v>10.433558407225865</v>
      </c>
      <c r="E11">
        <f t="shared" si="3"/>
        <v>12.3788775022204</v>
      </c>
      <c r="F11">
        <f t="shared" si="3"/>
        <v>14.264872811364388</v>
      </c>
      <c r="G11">
        <f t="shared" si="3"/>
        <v>17.098212068537372</v>
      </c>
      <c r="H11">
        <f t="shared" si="3"/>
        <v>20.471380813953488</v>
      </c>
      <c r="I11">
        <f t="shared" si="3"/>
        <v>19.465454545454545</v>
      </c>
      <c r="J11">
        <f t="shared" si="3"/>
        <v>13.651535528185695</v>
      </c>
      <c r="L11">
        <f>MEDIAN(D11:J11)</f>
        <v>14.264872811364388</v>
      </c>
      <c r="M11">
        <f>AVERAGE(D11:J11)</f>
        <v>15.394841668134534</v>
      </c>
      <c r="O11" s="13"/>
      <c r="P11" s="16"/>
    </row>
    <row r="12" spans="2:21" ht="17" x14ac:dyDescent="0.25">
      <c r="O12" s="13"/>
      <c r="P12" s="4"/>
    </row>
    <row r="13" spans="2:21" ht="17" x14ac:dyDescent="0.25">
      <c r="O13" s="13"/>
      <c r="P13" s="4"/>
      <c r="U13" s="17"/>
    </row>
    <row r="14" spans="2:21" ht="17" x14ac:dyDescent="0.25">
      <c r="D14">
        <v>12.626564673157162</v>
      </c>
      <c r="E14">
        <v>208.1</v>
      </c>
      <c r="F14">
        <v>131.74</v>
      </c>
      <c r="O14" s="13"/>
      <c r="P14" s="4"/>
      <c r="U14" s="18"/>
    </row>
    <row r="15" spans="2:21" ht="17" x14ac:dyDescent="0.25">
      <c r="D15">
        <v>10.021910304690175</v>
      </c>
      <c r="E15">
        <v>217.5</v>
      </c>
      <c r="F15">
        <v>124.06</v>
      </c>
      <c r="O15" s="13"/>
      <c r="P15" s="4"/>
      <c r="U15" s="17"/>
    </row>
    <row r="16" spans="2:21" ht="17" x14ac:dyDescent="0.25">
      <c r="D16">
        <v>8.1921515561569684</v>
      </c>
      <c r="E16">
        <v>183.03</v>
      </c>
      <c r="F16">
        <v>116.86</v>
      </c>
      <c r="O16" s="13"/>
      <c r="P16" s="4"/>
      <c r="U16" s="17"/>
    </row>
    <row r="17" spans="1:21" ht="17" x14ac:dyDescent="0.25">
      <c r="D17">
        <v>5.5070085470085468</v>
      </c>
      <c r="E17">
        <v>133.28</v>
      </c>
      <c r="F17">
        <v>94.16</v>
      </c>
      <c r="J17" s="15"/>
      <c r="O17" s="13"/>
      <c r="U17" s="17"/>
    </row>
    <row r="18" spans="1:21" ht="17" x14ac:dyDescent="0.25">
      <c r="D18">
        <v>3.6172450052576237</v>
      </c>
      <c r="E18">
        <v>109.01</v>
      </c>
      <c r="F18">
        <v>74.05</v>
      </c>
      <c r="O18" s="13"/>
    </row>
    <row r="19" spans="1:21" ht="17" x14ac:dyDescent="0.25">
      <c r="D19">
        <v>2.75</v>
      </c>
      <c r="E19">
        <v>81.45</v>
      </c>
      <c r="F19">
        <v>53.53</v>
      </c>
      <c r="O19" s="13"/>
    </row>
    <row r="20" spans="1:21" ht="17" x14ac:dyDescent="0.25">
      <c r="D20">
        <v>1.6773937226857369</v>
      </c>
      <c r="E20">
        <v>57.96</v>
      </c>
      <c r="F20">
        <v>22.899000000000001</v>
      </c>
      <c r="O20" s="13"/>
    </row>
    <row r="21" spans="1:21" ht="17" x14ac:dyDescent="0.25">
      <c r="O21" s="13"/>
    </row>
    <row r="22" spans="1:21" ht="17" x14ac:dyDescent="0.25">
      <c r="O22" s="13"/>
    </row>
    <row r="23" spans="1:21" ht="17" x14ac:dyDescent="0.25">
      <c r="A23" t="s">
        <v>20</v>
      </c>
      <c r="O23" s="13"/>
    </row>
    <row r="24" spans="1:21" ht="17" thickBot="1" x14ac:dyDescent="0.25"/>
    <row r="25" spans="1:21" x14ac:dyDescent="0.2">
      <c r="A25" s="12" t="s">
        <v>21</v>
      </c>
      <c r="B25" s="12"/>
    </row>
    <row r="26" spans="1:21" x14ac:dyDescent="0.2">
      <c r="A26" s="9" t="s">
        <v>22</v>
      </c>
      <c r="B26" s="9">
        <v>0.96343668050663533</v>
      </c>
    </row>
    <row r="27" spans="1:21" x14ac:dyDescent="0.2">
      <c r="A27" s="9" t="s">
        <v>23</v>
      </c>
      <c r="B27" s="9">
        <v>0.92821023734564445</v>
      </c>
    </row>
    <row r="28" spans="1:21" x14ac:dyDescent="0.2">
      <c r="A28" s="9" t="s">
        <v>24</v>
      </c>
      <c r="B28" s="9">
        <v>0.91385228481477332</v>
      </c>
    </row>
    <row r="29" spans="1:21" x14ac:dyDescent="0.2">
      <c r="A29" s="9" t="s">
        <v>25</v>
      </c>
      <c r="B29" s="9">
        <v>18.42512316908438</v>
      </c>
    </row>
    <row r="30" spans="1:21" ht="17" thickBot="1" x14ac:dyDescent="0.25">
      <c r="A30" s="10" t="s">
        <v>26</v>
      </c>
      <c r="B30" s="10">
        <v>7</v>
      </c>
    </row>
    <row r="32" spans="1:21" ht="17" thickBot="1" x14ac:dyDescent="0.25">
      <c r="A32" t="s">
        <v>27</v>
      </c>
    </row>
    <row r="33" spans="1:9" x14ac:dyDescent="0.2">
      <c r="A33" s="11"/>
      <c r="B33" s="11" t="s">
        <v>32</v>
      </c>
      <c r="C33" s="11" t="s">
        <v>33</v>
      </c>
      <c r="D33" s="11" t="s">
        <v>34</v>
      </c>
      <c r="E33" s="11" t="s">
        <v>35</v>
      </c>
      <c r="F33" s="11" t="s">
        <v>36</v>
      </c>
    </row>
    <row r="34" spans="1:9" x14ac:dyDescent="0.2">
      <c r="A34" s="9" t="s">
        <v>28</v>
      </c>
      <c r="B34" s="9">
        <v>1</v>
      </c>
      <c r="C34" s="9">
        <v>21946.973552448919</v>
      </c>
      <c r="D34" s="9">
        <v>21946.973552448919</v>
      </c>
      <c r="E34" s="9">
        <v>64.647813492201976</v>
      </c>
      <c r="F34" s="9">
        <v>4.8140172972964445E-4</v>
      </c>
    </row>
    <row r="35" spans="1:9" x14ac:dyDescent="0.2">
      <c r="A35" s="9" t="s">
        <v>29</v>
      </c>
      <c r="B35" s="9">
        <v>5</v>
      </c>
      <c r="C35" s="9">
        <v>1697.4258189796499</v>
      </c>
      <c r="D35" s="9">
        <v>339.48516379592996</v>
      </c>
      <c r="E35" s="9"/>
      <c r="F35" s="9"/>
    </row>
    <row r="36" spans="1:9" ht="17" thickBot="1" x14ac:dyDescent="0.25">
      <c r="A36" s="10" t="s">
        <v>30</v>
      </c>
      <c r="B36" s="10">
        <v>6</v>
      </c>
      <c r="C36" s="10">
        <v>23644.399371428568</v>
      </c>
      <c r="D36" s="10"/>
      <c r="E36" s="10"/>
      <c r="F36" s="10"/>
    </row>
    <row r="37" spans="1:9" ht="17" thickBot="1" x14ac:dyDescent="0.25"/>
    <row r="38" spans="1:9" x14ac:dyDescent="0.2">
      <c r="A38" s="11"/>
      <c r="B38" s="11" t="s">
        <v>37</v>
      </c>
      <c r="C38" s="11" t="s">
        <v>25</v>
      </c>
      <c r="D38" s="11" t="s">
        <v>38</v>
      </c>
      <c r="E38" s="11" t="s">
        <v>39</v>
      </c>
      <c r="F38" s="11" t="s">
        <v>40</v>
      </c>
      <c r="G38" s="11" t="s">
        <v>41</v>
      </c>
      <c r="H38" s="11" t="s">
        <v>42</v>
      </c>
      <c r="I38" s="11" t="s">
        <v>43</v>
      </c>
    </row>
    <row r="39" spans="1:9" x14ac:dyDescent="0.2">
      <c r="A39" s="9" t="s">
        <v>31</v>
      </c>
      <c r="B39" s="9">
        <v>47.168139554314791</v>
      </c>
      <c r="C39" s="9">
        <v>13.640850933534272</v>
      </c>
      <c r="D39" s="9">
        <v>3.4578590283072446</v>
      </c>
      <c r="E39" s="9">
        <v>1.8083930625778972E-2</v>
      </c>
      <c r="F39" s="9">
        <v>12.103215921948923</v>
      </c>
      <c r="G39" s="9">
        <v>82.233063186680653</v>
      </c>
      <c r="H39" s="9">
        <v>12.103215921948923</v>
      </c>
      <c r="I39" s="9">
        <v>82.233063186680653</v>
      </c>
    </row>
    <row r="40" spans="1:9" ht="17" thickBot="1" x14ac:dyDescent="0.25">
      <c r="A40" s="10" t="s">
        <v>44</v>
      </c>
      <c r="B40" s="10">
        <v>14.87089906592281</v>
      </c>
      <c r="C40" s="10">
        <v>1.8495254236001895</v>
      </c>
      <c r="D40" s="10">
        <v>8.0403864019213618</v>
      </c>
      <c r="E40" s="10">
        <v>4.8140172972964532E-4</v>
      </c>
      <c r="F40" s="10">
        <v>10.116542607468602</v>
      </c>
      <c r="G40" s="10">
        <v>19.625255524377017</v>
      </c>
      <c r="H40" s="10">
        <v>10.116542607468602</v>
      </c>
      <c r="I40" s="10">
        <v>19.625255524377017</v>
      </c>
    </row>
    <row r="44" spans="1:9" x14ac:dyDescent="0.2">
      <c r="A44" t="s">
        <v>45</v>
      </c>
    </row>
    <row r="45" spans="1:9" ht="17" thickBot="1" x14ac:dyDescent="0.25"/>
    <row r="46" spans="1:9" x14ac:dyDescent="0.2">
      <c r="A46" s="11" t="s">
        <v>46</v>
      </c>
      <c r="B46" s="11" t="s">
        <v>47</v>
      </c>
      <c r="C46" s="11" t="s">
        <v>48</v>
      </c>
      <c r="D46" s="11" t="s">
        <v>59</v>
      </c>
    </row>
    <row r="47" spans="1:9" x14ac:dyDescent="0.2">
      <c r="A47" s="9">
        <v>1</v>
      </c>
      <c r="B47" s="9">
        <v>234.93650835818158</v>
      </c>
      <c r="C47" s="9">
        <v>-26.83650835818159</v>
      </c>
      <c r="D47" s="9">
        <v>-1.5955346249316218</v>
      </c>
    </row>
    <row r="48" spans="1:9" x14ac:dyDescent="0.2">
      <c r="A48" s="9">
        <v>2</v>
      </c>
      <c r="B48" s="9">
        <v>196.2029561430941</v>
      </c>
      <c r="C48" s="9">
        <v>21.297043856905901</v>
      </c>
      <c r="D48" s="9">
        <v>1.2661919512350119</v>
      </c>
    </row>
    <row r="49" spans="1:4" x14ac:dyDescent="0.2">
      <c r="A49" s="9">
        <v>3</v>
      </c>
      <c r="B49" s="9">
        <v>168.99279847866757</v>
      </c>
      <c r="C49" s="9">
        <v>14.037201521332435</v>
      </c>
      <c r="D49" s="9">
        <v>0.83456613526255019</v>
      </c>
    </row>
    <row r="50" spans="1:4" x14ac:dyDescent="0.2">
      <c r="A50" s="9">
        <v>4</v>
      </c>
      <c r="B50" s="9">
        <v>129.06230781205312</v>
      </c>
      <c r="C50" s="9">
        <v>4.2176921879468807</v>
      </c>
      <c r="D50" s="9">
        <v>0.25075817738119632</v>
      </c>
    </row>
    <row r="51" spans="1:4" x14ac:dyDescent="0.2">
      <c r="A51" s="9">
        <v>5</v>
      </c>
      <c r="B51" s="9">
        <v>100.95982492421433</v>
      </c>
      <c r="C51" s="9">
        <v>8.050175075785674</v>
      </c>
      <c r="D51" s="9">
        <v>0.47861416614809954</v>
      </c>
    </row>
    <row r="52" spans="1:4" x14ac:dyDescent="0.2">
      <c r="A52" s="9">
        <v>6</v>
      </c>
      <c r="B52" s="9">
        <v>88.063111985602518</v>
      </c>
      <c r="C52" s="9">
        <v>-6.6131119856025151</v>
      </c>
      <c r="D52" s="9">
        <v>-0.39317518548803027</v>
      </c>
    </row>
    <row r="53" spans="1:4" ht="17" thickBot="1" x14ac:dyDescent="0.25">
      <c r="A53" s="10">
        <v>7</v>
      </c>
      <c r="B53" s="10">
        <v>72.112492298186908</v>
      </c>
      <c r="C53" s="10">
        <v>-14.152492298186907</v>
      </c>
      <c r="D53" s="10">
        <v>-0.84142061960721326</v>
      </c>
    </row>
    <row r="55" spans="1:4" x14ac:dyDescent="0.2">
      <c r="A55" t="s">
        <v>20</v>
      </c>
    </row>
    <row r="56" spans="1:4" ht="17" thickBot="1" x14ac:dyDescent="0.25"/>
    <row r="57" spans="1:4" x14ac:dyDescent="0.2">
      <c r="A57" s="12" t="s">
        <v>21</v>
      </c>
      <c r="B57" s="12"/>
    </row>
    <row r="58" spans="1:4" x14ac:dyDescent="0.2">
      <c r="A58" s="9" t="s">
        <v>22</v>
      </c>
      <c r="B58" s="9">
        <v>0.93878947161795046</v>
      </c>
    </row>
    <row r="59" spans="1:4" x14ac:dyDescent="0.2">
      <c r="A59" s="9" t="s">
        <v>23</v>
      </c>
      <c r="B59" s="9">
        <v>0.88132567202071055</v>
      </c>
    </row>
    <row r="60" spans="1:4" x14ac:dyDescent="0.2">
      <c r="A60" s="9" t="s">
        <v>24</v>
      </c>
      <c r="B60" s="9">
        <v>0.85759080642485264</v>
      </c>
    </row>
    <row r="61" spans="1:4" x14ac:dyDescent="0.2">
      <c r="A61" s="9" t="s">
        <v>25</v>
      </c>
      <c r="B61" s="9">
        <v>15.1772130159534</v>
      </c>
    </row>
    <row r="62" spans="1:4" ht="17" thickBot="1" x14ac:dyDescent="0.25">
      <c r="A62" s="10" t="s">
        <v>26</v>
      </c>
      <c r="B62" s="10">
        <v>7</v>
      </c>
    </row>
    <row r="64" spans="1:4" ht="17" thickBot="1" x14ac:dyDescent="0.25">
      <c r="A64" t="s">
        <v>27</v>
      </c>
    </row>
    <row r="65" spans="1:9" x14ac:dyDescent="0.2">
      <c r="A65" s="11"/>
      <c r="B65" s="11" t="s">
        <v>32</v>
      </c>
      <c r="C65" s="11" t="s">
        <v>33</v>
      </c>
      <c r="D65" s="11" t="s">
        <v>34</v>
      </c>
      <c r="E65" s="11" t="s">
        <v>35</v>
      </c>
      <c r="F65" s="11" t="s">
        <v>36</v>
      </c>
    </row>
    <row r="66" spans="1:9" x14ac:dyDescent="0.2">
      <c r="A66" s="9" t="s">
        <v>28</v>
      </c>
      <c r="B66" s="9">
        <v>1</v>
      </c>
      <c r="C66" s="9">
        <v>8553.299969056161</v>
      </c>
      <c r="D66" s="9">
        <v>8553.299969056161</v>
      </c>
      <c r="E66" s="9">
        <v>37.132111343175907</v>
      </c>
      <c r="F66" s="9">
        <v>1.722373416220657E-3</v>
      </c>
    </row>
    <row r="67" spans="1:9" x14ac:dyDescent="0.2">
      <c r="A67" s="9" t="s">
        <v>29</v>
      </c>
      <c r="B67" s="9">
        <v>5</v>
      </c>
      <c r="C67" s="9">
        <v>1151.7389746581264</v>
      </c>
      <c r="D67" s="9">
        <v>230.34779493162529</v>
      </c>
      <c r="E67" s="9"/>
      <c r="F67" s="9"/>
    </row>
    <row r="68" spans="1:9" ht="17" thickBot="1" x14ac:dyDescent="0.25">
      <c r="A68" s="10" t="s">
        <v>30</v>
      </c>
      <c r="B68" s="10">
        <v>6</v>
      </c>
      <c r="C68" s="10">
        <v>9705.0389437142876</v>
      </c>
      <c r="D68" s="10"/>
      <c r="E68" s="10"/>
      <c r="F68" s="10"/>
    </row>
    <row r="69" spans="1:9" ht="17" thickBot="1" x14ac:dyDescent="0.25"/>
    <row r="70" spans="1:9" x14ac:dyDescent="0.2">
      <c r="A70" s="11"/>
      <c r="B70" s="11" t="s">
        <v>37</v>
      </c>
      <c r="C70" s="11" t="s">
        <v>25</v>
      </c>
      <c r="D70" s="11" t="s">
        <v>38</v>
      </c>
      <c r="E70" s="11" t="s">
        <v>39</v>
      </c>
      <c r="F70" s="11" t="s">
        <v>40</v>
      </c>
      <c r="G70" s="11" t="s">
        <v>41</v>
      </c>
      <c r="H70" s="11" t="s">
        <v>42</v>
      </c>
      <c r="I70" s="11" t="s">
        <v>43</v>
      </c>
    </row>
    <row r="71" spans="1:9" x14ac:dyDescent="0.2">
      <c r="A71" s="9" t="s">
        <v>31</v>
      </c>
      <c r="B71" s="9">
        <v>29.311223793645738</v>
      </c>
      <c r="C71" s="9">
        <v>11.236293968688006</v>
      </c>
      <c r="D71" s="9">
        <v>2.6086202332661319</v>
      </c>
      <c r="E71" s="9">
        <v>4.7749314189747462E-2</v>
      </c>
      <c r="F71" s="9">
        <v>0.42741061786646739</v>
      </c>
      <c r="G71" s="9">
        <v>58.195036969425004</v>
      </c>
      <c r="H71" s="9">
        <v>0.42741061786646739</v>
      </c>
      <c r="I71" s="9">
        <v>58.195036969425004</v>
      </c>
    </row>
    <row r="72" spans="1:9" ht="17" thickBot="1" x14ac:dyDescent="0.25">
      <c r="A72" s="10" t="s">
        <v>44</v>
      </c>
      <c r="B72" s="10">
        <v>9.2836072154820286</v>
      </c>
      <c r="C72" s="10">
        <v>1.523498164696202</v>
      </c>
      <c r="D72" s="10">
        <v>6.093612339423629</v>
      </c>
      <c r="E72" s="10">
        <v>1.7223734162206555E-3</v>
      </c>
      <c r="F72" s="10">
        <v>5.3673305066887087</v>
      </c>
      <c r="G72" s="10">
        <v>13.199883924275348</v>
      </c>
      <c r="H72" s="10">
        <v>5.3673305066887087</v>
      </c>
      <c r="I72" s="10">
        <v>13.199883924275348</v>
      </c>
    </row>
    <row r="76" spans="1:9" x14ac:dyDescent="0.2">
      <c r="A76" t="s">
        <v>45</v>
      </c>
    </row>
    <row r="77" spans="1:9" ht="17" thickBot="1" x14ac:dyDescent="0.25"/>
    <row r="78" spans="1:9" x14ac:dyDescent="0.2">
      <c r="A78" s="11" t="s">
        <v>46</v>
      </c>
      <c r="B78" s="11" t="s">
        <v>47</v>
      </c>
      <c r="C78" s="11" t="s">
        <v>48</v>
      </c>
      <c r="D78" s="11" t="s">
        <v>59</v>
      </c>
    </row>
    <row r="79" spans="1:9" x14ac:dyDescent="0.2">
      <c r="A79" s="9">
        <v>1</v>
      </c>
      <c r="B79" s="9">
        <v>146.53129070011806</v>
      </c>
      <c r="C79" s="9">
        <v>-14.791290700118054</v>
      </c>
      <c r="D79" s="9">
        <v>-1.0675904149932125</v>
      </c>
    </row>
    <row r="80" spans="1:9" x14ac:dyDescent="0.2">
      <c r="A80" s="9">
        <v>2</v>
      </c>
      <c r="B80" s="9">
        <v>122.35070261118115</v>
      </c>
      <c r="C80" s="9">
        <v>1.7092973888188538</v>
      </c>
      <c r="D80" s="9">
        <v>0.12337189131583833</v>
      </c>
    </row>
    <row r="81" spans="1:4" x14ac:dyDescent="0.2">
      <c r="A81" s="9">
        <v>3</v>
      </c>
      <c r="B81" s="9">
        <v>105.3639410907069</v>
      </c>
      <c r="C81" s="9">
        <v>11.496058909293097</v>
      </c>
      <c r="D81" s="9">
        <v>0.82975059787451</v>
      </c>
    </row>
    <row r="82" spans="1:4" x14ac:dyDescent="0.2">
      <c r="A82" s="9">
        <v>4</v>
      </c>
      <c r="B82" s="9">
        <v>80.436128076375482</v>
      </c>
      <c r="C82" s="9">
        <v>13.723871923624515</v>
      </c>
      <c r="D82" s="9">
        <v>0.99054737137571469</v>
      </c>
    </row>
    <row r="83" spans="1:4" x14ac:dyDescent="0.2">
      <c r="A83" s="9">
        <v>5</v>
      </c>
      <c r="B83" s="9">
        <v>62.892305624621741</v>
      </c>
      <c r="C83" s="9">
        <v>11.157694375378256</v>
      </c>
      <c r="D83" s="9">
        <v>0.80532847403793051</v>
      </c>
    </row>
    <row r="84" spans="1:4" x14ac:dyDescent="0.2">
      <c r="A84" s="9">
        <v>6</v>
      </c>
      <c r="B84" s="9">
        <v>54.841143636221318</v>
      </c>
      <c r="C84" s="9">
        <v>-1.3111436362213169</v>
      </c>
      <c r="D84" s="9">
        <v>-9.4634363362086679E-2</v>
      </c>
    </row>
    <row r="85" spans="1:4" ht="17" thickBot="1" x14ac:dyDescent="0.25">
      <c r="A85" s="10">
        <v>7</v>
      </c>
      <c r="B85" s="10">
        <v>44.883488260775309</v>
      </c>
      <c r="C85" s="10">
        <v>-21.984488260775308</v>
      </c>
      <c r="D85" s="10">
        <v>-1.5867735562486913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73A3A-7222-8A46-86F2-AF0F8019E6FB}">
  <dimension ref="A1:U88"/>
  <sheetViews>
    <sheetView workbookViewId="0">
      <selection activeCell="C10" sqref="C10"/>
    </sheetView>
  </sheetViews>
  <sheetFormatPr baseColWidth="10" defaultRowHeight="16" x14ac:dyDescent="0.2"/>
  <cols>
    <col min="2" max="2" width="11.83203125" bestFit="1" customWidth="1"/>
    <col min="3" max="3" width="13.6640625" bestFit="1" customWidth="1"/>
    <col min="4" max="4" width="14.6640625" bestFit="1" customWidth="1"/>
    <col min="10" max="10" width="11.1640625" bestFit="1" customWidth="1"/>
  </cols>
  <sheetData>
    <row r="1" spans="2:21" x14ac:dyDescent="0.2">
      <c r="C1" t="s">
        <v>76</v>
      </c>
      <c r="D1" t="s">
        <v>74</v>
      </c>
      <c r="E1" t="s">
        <v>75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</row>
    <row r="2" spans="2:21" x14ac:dyDescent="0.2">
      <c r="B2" t="s">
        <v>15</v>
      </c>
      <c r="D2">
        <v>7753</v>
      </c>
      <c r="E2">
        <v>7794</v>
      </c>
      <c r="F2">
        <v>7832</v>
      </c>
      <c r="G2">
        <v>8013</v>
      </c>
      <c r="H2">
        <v>8254</v>
      </c>
      <c r="I2">
        <v>8399</v>
      </c>
      <c r="J2">
        <v>8470</v>
      </c>
    </row>
    <row r="3" spans="2:21" x14ac:dyDescent="0.2">
      <c r="B3" t="s">
        <v>14</v>
      </c>
      <c r="D3">
        <v>52185</v>
      </c>
      <c r="E3" s="16">
        <v>43884</v>
      </c>
      <c r="F3" s="16">
        <v>39507</v>
      </c>
      <c r="G3" s="16">
        <v>33325</v>
      </c>
      <c r="H3" s="16">
        <v>29668</v>
      </c>
      <c r="I3" s="16">
        <v>32502</v>
      </c>
      <c r="J3" s="16">
        <v>28833</v>
      </c>
      <c r="K3" s="16"/>
      <c r="L3" s="16"/>
      <c r="M3" s="16"/>
    </row>
    <row r="4" spans="2:21" x14ac:dyDescent="0.2">
      <c r="B4" t="s">
        <v>17</v>
      </c>
      <c r="C4">
        <f>D4*1.25</f>
        <v>8.4136785760350836</v>
      </c>
      <c r="D4">
        <f t="shared" ref="D4:J4" si="0">D3/D2</f>
        <v>6.7309428608280664</v>
      </c>
      <c r="E4">
        <f t="shared" si="0"/>
        <v>5.6304849884526558</v>
      </c>
      <c r="F4">
        <f t="shared" si="0"/>
        <v>5.0443054136874359</v>
      </c>
      <c r="G4">
        <f t="shared" si="0"/>
        <v>4.1588668413827534</v>
      </c>
      <c r="H4">
        <f t="shared" si="0"/>
        <v>3.5943784831596801</v>
      </c>
      <c r="I4">
        <f t="shared" si="0"/>
        <v>3.8697463983807596</v>
      </c>
      <c r="J4">
        <f t="shared" si="0"/>
        <v>3.4041322314049585</v>
      </c>
    </row>
    <row r="5" spans="2:21" x14ac:dyDescent="0.2">
      <c r="B5" t="s">
        <v>52</v>
      </c>
      <c r="D5">
        <f t="shared" ref="D5:I5" si="1">(D3-E3)/E3*100</f>
        <v>18.915777960076564</v>
      </c>
      <c r="E5">
        <f t="shared" si="1"/>
        <v>11.079049282405649</v>
      </c>
      <c r="F5">
        <f t="shared" si="1"/>
        <v>18.550637659414853</v>
      </c>
      <c r="G5">
        <f t="shared" si="1"/>
        <v>12.32641229607658</v>
      </c>
      <c r="H5">
        <f t="shared" si="1"/>
        <v>-8.7194634176358381</v>
      </c>
      <c r="I5">
        <f t="shared" si="1"/>
        <v>12.725002601186141</v>
      </c>
    </row>
    <row r="8" spans="2:21" x14ac:dyDescent="0.2">
      <c r="B8" t="s">
        <v>18</v>
      </c>
      <c r="C8">
        <f>C4*20</f>
        <v>168.27357152070167</v>
      </c>
      <c r="D8">
        <v>138.39999399999999</v>
      </c>
      <c r="E8">
        <v>116.18</v>
      </c>
      <c r="F8">
        <v>87.5</v>
      </c>
      <c r="G8">
        <v>64.099997999999999</v>
      </c>
      <c r="H8">
        <v>56.849997999999999</v>
      </c>
      <c r="I8">
        <v>50.049999</v>
      </c>
      <c r="J8">
        <v>38.979999999999997</v>
      </c>
    </row>
    <row r="9" spans="2:21" ht="17" x14ac:dyDescent="0.25">
      <c r="B9" t="s">
        <v>19</v>
      </c>
      <c r="C9">
        <f>C4*14</f>
        <v>117.79150006449117</v>
      </c>
      <c r="D9">
        <v>97.199996999999996</v>
      </c>
      <c r="E9">
        <v>83.830001999999993</v>
      </c>
      <c r="F9">
        <v>61.950001</v>
      </c>
      <c r="G9">
        <v>48.040000999999997</v>
      </c>
      <c r="H9">
        <v>39.720001000000003</v>
      </c>
      <c r="I9">
        <v>34.630001</v>
      </c>
      <c r="J9">
        <v>26.280000999999999</v>
      </c>
      <c r="O9" s="13"/>
    </row>
    <row r="10" spans="2:21" ht="17" x14ac:dyDescent="0.25">
      <c r="B10" t="s">
        <v>57</v>
      </c>
      <c r="D10">
        <f t="shared" ref="D10:J10" si="2">D8/D4</f>
        <v>20.561754402261187</v>
      </c>
      <c r="E10">
        <f t="shared" si="2"/>
        <v>20.634101722723546</v>
      </c>
      <c r="F10">
        <f t="shared" si="2"/>
        <v>17.346293061989016</v>
      </c>
      <c r="G10">
        <f t="shared" si="2"/>
        <v>15.412851732153037</v>
      </c>
      <c r="H10">
        <f t="shared" si="2"/>
        <v>15.816363876634759</v>
      </c>
      <c r="I10">
        <f t="shared" si="2"/>
        <v>12.933663823795458</v>
      </c>
      <c r="J10">
        <f t="shared" si="2"/>
        <v>11.450789026462733</v>
      </c>
      <c r="L10">
        <f>MEDIAN(D10:J10)</f>
        <v>15.816363876634759</v>
      </c>
      <c r="M10">
        <f>AVERAGE(D10:J10)</f>
        <v>16.307973949431389</v>
      </c>
      <c r="O10" s="13"/>
      <c r="P10" s="16"/>
    </row>
    <row r="11" spans="2:21" ht="17" x14ac:dyDescent="0.25">
      <c r="B11" t="s">
        <v>58</v>
      </c>
      <c r="D11">
        <f t="shared" ref="D11:J11" si="3">D9/D4</f>
        <v>14.440769890600746</v>
      </c>
      <c r="E11">
        <f t="shared" si="3"/>
        <v>14.888593464315012</v>
      </c>
      <c r="F11">
        <f t="shared" si="3"/>
        <v>12.281175686131572</v>
      </c>
      <c r="G11">
        <f t="shared" si="3"/>
        <v>11.551223646301574</v>
      </c>
      <c r="H11">
        <f t="shared" si="3"/>
        <v>11.050589465215047</v>
      </c>
      <c r="I11">
        <f t="shared" si="3"/>
        <v>8.9489070949172351</v>
      </c>
      <c r="J11">
        <f t="shared" si="3"/>
        <v>7.7200294270453993</v>
      </c>
      <c r="L11">
        <f>MEDIAN(D11:J11)</f>
        <v>11.551223646301574</v>
      </c>
      <c r="M11">
        <f>AVERAGE(D11:J11)</f>
        <v>11.554469810646655</v>
      </c>
      <c r="O11" s="13"/>
      <c r="P11" s="16"/>
    </row>
    <row r="12" spans="2:21" ht="17" x14ac:dyDescent="0.25">
      <c r="O12" s="13"/>
      <c r="P12" s="4"/>
    </row>
    <row r="13" spans="2:21" ht="17" x14ac:dyDescent="0.25">
      <c r="O13" s="13"/>
      <c r="P13" s="4"/>
      <c r="U13" s="17"/>
    </row>
    <row r="15" spans="2:21" x14ac:dyDescent="0.2">
      <c r="D15">
        <v>6.7309428608280664</v>
      </c>
      <c r="E15">
        <v>138.39999399999999</v>
      </c>
      <c r="F15">
        <v>97.199996999999996</v>
      </c>
    </row>
    <row r="16" spans="2:21" x14ac:dyDescent="0.2">
      <c r="D16">
        <v>5.6304849884526558</v>
      </c>
      <c r="E16">
        <v>116.18</v>
      </c>
      <c r="F16">
        <v>83.830001999999993</v>
      </c>
    </row>
    <row r="17" spans="1:6" x14ac:dyDescent="0.2">
      <c r="D17">
        <v>5.0443054136874359</v>
      </c>
      <c r="E17">
        <v>87.5</v>
      </c>
      <c r="F17">
        <v>61.950001</v>
      </c>
    </row>
    <row r="18" spans="1:6" x14ac:dyDescent="0.2">
      <c r="D18">
        <v>4.1588668413827534</v>
      </c>
      <c r="E18">
        <v>64.099997999999999</v>
      </c>
      <c r="F18">
        <v>48.040000999999997</v>
      </c>
    </row>
    <row r="19" spans="1:6" x14ac:dyDescent="0.2">
      <c r="D19">
        <v>3.5943784831596801</v>
      </c>
      <c r="E19">
        <v>56.849997999999999</v>
      </c>
      <c r="F19">
        <v>39.720001000000003</v>
      </c>
    </row>
    <row r="20" spans="1:6" x14ac:dyDescent="0.2">
      <c r="D20">
        <v>3.8697463983807596</v>
      </c>
      <c r="E20">
        <v>50.049999</v>
      </c>
      <c r="F20">
        <v>34.630001</v>
      </c>
    </row>
    <row r="21" spans="1:6" x14ac:dyDescent="0.2">
      <c r="D21">
        <v>3.4041322314049585</v>
      </c>
      <c r="E21">
        <v>38.979999999999997</v>
      </c>
      <c r="F21">
        <v>26.280000999999999</v>
      </c>
    </row>
    <row r="23" spans="1:6" x14ac:dyDescent="0.2">
      <c r="A23" t="s">
        <v>20</v>
      </c>
    </row>
    <row r="24" spans="1:6" ht="17" thickBot="1" x14ac:dyDescent="0.25"/>
    <row r="25" spans="1:6" x14ac:dyDescent="0.2">
      <c r="A25" s="12" t="s">
        <v>21</v>
      </c>
      <c r="B25" s="12"/>
    </row>
    <row r="26" spans="1:6" x14ac:dyDescent="0.2">
      <c r="A26" s="9" t="s">
        <v>22</v>
      </c>
      <c r="B26" s="9">
        <v>0.98717325359604258</v>
      </c>
    </row>
    <row r="27" spans="1:6" x14ac:dyDescent="0.2">
      <c r="A27" s="9" t="s">
        <v>23</v>
      </c>
      <c r="B27" s="9">
        <v>0.97451103261539651</v>
      </c>
    </row>
    <row r="28" spans="1:6" x14ac:dyDescent="0.2">
      <c r="A28" s="9" t="s">
        <v>24</v>
      </c>
      <c r="B28" s="9">
        <v>0.96941323913847588</v>
      </c>
    </row>
    <row r="29" spans="1:6" x14ac:dyDescent="0.2">
      <c r="A29" s="9" t="s">
        <v>25</v>
      </c>
      <c r="B29" s="9">
        <v>6.439830896253973</v>
      </c>
    </row>
    <row r="30" spans="1:6" ht="17" thickBot="1" x14ac:dyDescent="0.25">
      <c r="A30" s="10" t="s">
        <v>26</v>
      </c>
      <c r="B30" s="10">
        <v>7</v>
      </c>
    </row>
    <row r="32" spans="1:6" ht="17" thickBot="1" x14ac:dyDescent="0.25">
      <c r="A32" t="s">
        <v>27</v>
      </c>
    </row>
    <row r="33" spans="1:9" x14ac:dyDescent="0.2">
      <c r="A33" s="11"/>
      <c r="B33" s="11" t="s">
        <v>32</v>
      </c>
      <c r="C33" s="11" t="s">
        <v>33</v>
      </c>
      <c r="D33" s="11" t="s">
        <v>34</v>
      </c>
      <c r="E33" s="11" t="s">
        <v>35</v>
      </c>
      <c r="F33" s="11" t="s">
        <v>36</v>
      </c>
    </row>
    <row r="34" spans="1:9" x14ac:dyDescent="0.2">
      <c r="A34" s="9" t="s">
        <v>28</v>
      </c>
      <c r="B34" s="9">
        <v>1</v>
      </c>
      <c r="C34" s="9">
        <v>7927.813951912578</v>
      </c>
      <c r="D34" s="9">
        <v>7927.813951912578</v>
      </c>
      <c r="E34" s="9">
        <v>191.16330173580184</v>
      </c>
      <c r="F34" s="9">
        <v>3.5543019459018471E-5</v>
      </c>
    </row>
    <row r="35" spans="1:9" x14ac:dyDescent="0.2">
      <c r="A35" s="9" t="s">
        <v>29</v>
      </c>
      <c r="B35" s="9">
        <v>5</v>
      </c>
      <c r="C35" s="9">
        <v>207.35710986173621</v>
      </c>
      <c r="D35" s="9">
        <v>41.471421972347244</v>
      </c>
      <c r="E35" s="9"/>
      <c r="F35" s="9"/>
    </row>
    <row r="36" spans="1:9" ht="17" thickBot="1" x14ac:dyDescent="0.25">
      <c r="A36" s="10" t="s">
        <v>30</v>
      </c>
      <c r="B36" s="10">
        <v>6</v>
      </c>
      <c r="C36" s="10">
        <v>8135.1710617743138</v>
      </c>
      <c r="D36" s="10"/>
      <c r="E36" s="10"/>
      <c r="F36" s="10"/>
    </row>
    <row r="37" spans="1:9" ht="17" thickBot="1" x14ac:dyDescent="0.25"/>
    <row r="38" spans="1:9" x14ac:dyDescent="0.2">
      <c r="A38" s="11"/>
      <c r="B38" s="11" t="s">
        <v>37</v>
      </c>
      <c r="C38" s="11" t="s">
        <v>25</v>
      </c>
      <c r="D38" s="11" t="s">
        <v>38</v>
      </c>
      <c r="E38" s="11" t="s">
        <v>39</v>
      </c>
      <c r="F38" s="11" t="s">
        <v>40</v>
      </c>
      <c r="G38" s="11" t="s">
        <v>41</v>
      </c>
      <c r="H38" s="11" t="s">
        <v>42</v>
      </c>
      <c r="I38" s="11" t="s">
        <v>43</v>
      </c>
    </row>
    <row r="39" spans="1:9" x14ac:dyDescent="0.2">
      <c r="A39" s="9" t="s">
        <v>31</v>
      </c>
      <c r="B39" s="9">
        <v>-58.940304596313155</v>
      </c>
      <c r="C39" s="9">
        <v>10.259934043574852</v>
      </c>
      <c r="D39" s="9">
        <v>-5.7447059938191067</v>
      </c>
      <c r="E39" s="9">
        <v>2.2406922955386919E-3</v>
      </c>
      <c r="F39" s="9">
        <v>-85.314304683553317</v>
      </c>
      <c r="G39" s="9">
        <v>-32.566304509072992</v>
      </c>
      <c r="H39" s="9">
        <v>-85.314304683553317</v>
      </c>
      <c r="I39" s="9">
        <v>-32.566304509072992</v>
      </c>
    </row>
    <row r="40" spans="1:9" ht="17" thickBot="1" x14ac:dyDescent="0.25">
      <c r="A40" s="10" t="s">
        <v>44</v>
      </c>
      <c r="B40" s="10">
        <v>29.742742512977006</v>
      </c>
      <c r="C40" s="10">
        <v>2.1511898985943176</v>
      </c>
      <c r="D40" s="10">
        <v>13.826181748255802</v>
      </c>
      <c r="E40" s="10">
        <v>3.5543019459018471E-5</v>
      </c>
      <c r="F40" s="10">
        <v>24.212932834646125</v>
      </c>
      <c r="G40" s="10">
        <v>35.272552191307888</v>
      </c>
      <c r="H40" s="10">
        <v>24.212932834646125</v>
      </c>
      <c r="I40" s="10">
        <v>35.272552191307888</v>
      </c>
    </row>
    <row r="44" spans="1:9" x14ac:dyDescent="0.2">
      <c r="A44" t="s">
        <v>45</v>
      </c>
    </row>
    <row r="45" spans="1:9" ht="17" thickBot="1" x14ac:dyDescent="0.25"/>
    <row r="46" spans="1:9" x14ac:dyDescent="0.2">
      <c r="A46" s="11" t="s">
        <v>46</v>
      </c>
      <c r="B46" s="11" t="s">
        <v>47</v>
      </c>
      <c r="C46" s="11" t="s">
        <v>48</v>
      </c>
      <c r="D46" s="11" t="s">
        <v>59</v>
      </c>
    </row>
    <row r="47" spans="1:9" x14ac:dyDescent="0.2">
      <c r="A47" s="9">
        <v>1</v>
      </c>
      <c r="B47" s="9">
        <v>141.25639578285686</v>
      </c>
      <c r="C47" s="9">
        <v>-2.8564017828568637</v>
      </c>
      <c r="D47" s="9">
        <v>-0.48588719641031297</v>
      </c>
    </row>
    <row r="48" spans="1:9" x14ac:dyDescent="0.2">
      <c r="A48" s="9">
        <v>2</v>
      </c>
      <c r="B48" s="9">
        <v>108.5257606384165</v>
      </c>
      <c r="C48" s="9">
        <v>7.6542393615835067</v>
      </c>
      <c r="D48" s="9">
        <v>1.3020216295809672</v>
      </c>
    </row>
    <row r="49" spans="1:4" x14ac:dyDescent="0.2">
      <c r="A49" s="9">
        <v>3</v>
      </c>
      <c r="B49" s="9">
        <v>91.091172479808222</v>
      </c>
      <c r="C49" s="9">
        <v>-3.5911724798082219</v>
      </c>
      <c r="D49" s="9">
        <v>-0.61087510115425758</v>
      </c>
    </row>
    <row r="50" spans="1:4" x14ac:dyDescent="0.2">
      <c r="A50" s="9">
        <v>4</v>
      </c>
      <c r="B50" s="9">
        <v>64.755801012692061</v>
      </c>
      <c r="C50" s="9">
        <v>-0.65580301269206132</v>
      </c>
      <c r="D50" s="9">
        <v>-0.11155513525680717</v>
      </c>
    </row>
    <row r="51" spans="1:4" x14ac:dyDescent="0.2">
      <c r="A51" s="9">
        <v>5</v>
      </c>
      <c r="B51" s="9">
        <v>47.966369122490065</v>
      </c>
      <c r="C51" s="9">
        <v>8.8836288775099348</v>
      </c>
      <c r="D51" s="9">
        <v>1.5111464903672824</v>
      </c>
    </row>
    <row r="52" spans="1:4" x14ac:dyDescent="0.2">
      <c r="A52" s="9">
        <v>6</v>
      </c>
      <c r="B52" s="9">
        <v>56.156566121245916</v>
      </c>
      <c r="C52" s="9">
        <v>-6.1065671212459165</v>
      </c>
      <c r="D52" s="9">
        <v>-1.0387554006026392</v>
      </c>
    </row>
    <row r="53" spans="1:4" ht="17" thickBot="1" x14ac:dyDescent="0.25">
      <c r="A53" s="10">
        <v>7</v>
      </c>
      <c r="B53" s="10">
        <v>42.307923842490382</v>
      </c>
      <c r="C53" s="10">
        <v>-3.3279238424903852</v>
      </c>
      <c r="D53" s="10">
        <v>-0.56609528652423402</v>
      </c>
    </row>
    <row r="58" spans="1:4" x14ac:dyDescent="0.2">
      <c r="A58" t="s">
        <v>20</v>
      </c>
    </row>
    <row r="59" spans="1:4" ht="17" thickBot="1" x14ac:dyDescent="0.25"/>
    <row r="60" spans="1:4" x14ac:dyDescent="0.2">
      <c r="A60" s="12" t="s">
        <v>21</v>
      </c>
      <c r="B60" s="12"/>
    </row>
    <row r="61" spans="1:4" x14ac:dyDescent="0.2">
      <c r="A61" s="9" t="s">
        <v>22</v>
      </c>
      <c r="B61" s="9">
        <v>0.9830036864874051</v>
      </c>
    </row>
    <row r="62" spans="1:4" x14ac:dyDescent="0.2">
      <c r="A62" s="9" t="s">
        <v>23</v>
      </c>
      <c r="B62" s="9">
        <v>0.96629624764782862</v>
      </c>
    </row>
    <row r="63" spans="1:4" x14ac:dyDescent="0.2">
      <c r="A63" s="9" t="s">
        <v>24</v>
      </c>
      <c r="B63" s="9">
        <v>0.9595554971773943</v>
      </c>
    </row>
    <row r="64" spans="1:4" x14ac:dyDescent="0.2">
      <c r="A64" s="9" t="s">
        <v>25</v>
      </c>
      <c r="B64" s="9">
        <v>5.3054007474180525</v>
      </c>
    </row>
    <row r="65" spans="1:9" ht="17" thickBot="1" x14ac:dyDescent="0.25">
      <c r="A65" s="10" t="s">
        <v>26</v>
      </c>
      <c r="B65" s="10">
        <v>7</v>
      </c>
    </row>
    <row r="67" spans="1:9" ht="17" thickBot="1" x14ac:dyDescent="0.25">
      <c r="A67" t="s">
        <v>27</v>
      </c>
    </row>
    <row r="68" spans="1:9" x14ac:dyDescent="0.2">
      <c r="A68" s="11"/>
      <c r="B68" s="11" t="s">
        <v>32</v>
      </c>
      <c r="C68" s="11" t="s">
        <v>33</v>
      </c>
      <c r="D68" s="11" t="s">
        <v>34</v>
      </c>
      <c r="E68" s="11" t="s">
        <v>35</v>
      </c>
      <c r="F68" s="11" t="s">
        <v>36</v>
      </c>
    </row>
    <row r="69" spans="1:9" x14ac:dyDescent="0.2">
      <c r="A69" s="9" t="s">
        <v>28</v>
      </c>
      <c r="B69" s="9">
        <v>1</v>
      </c>
      <c r="C69" s="9">
        <v>4034.9525403064949</v>
      </c>
      <c r="D69" s="9">
        <v>4034.9525403064949</v>
      </c>
      <c r="E69" s="9">
        <v>143.35143421880355</v>
      </c>
      <c r="F69" s="9">
        <v>7.1676177935844034E-5</v>
      </c>
    </row>
    <row r="70" spans="1:9" x14ac:dyDescent="0.2">
      <c r="A70" s="9" t="s">
        <v>29</v>
      </c>
      <c r="B70" s="9">
        <v>5</v>
      </c>
      <c r="C70" s="9">
        <v>140.73638545352014</v>
      </c>
      <c r="D70" s="9">
        <v>28.14727709070403</v>
      </c>
      <c r="E70" s="9"/>
      <c r="F70" s="9"/>
    </row>
    <row r="71" spans="1:9" ht="17" thickBot="1" x14ac:dyDescent="0.25">
      <c r="A71" s="10" t="s">
        <v>30</v>
      </c>
      <c r="B71" s="10">
        <v>6</v>
      </c>
      <c r="C71" s="10">
        <v>4175.6889257600151</v>
      </c>
      <c r="D71" s="10"/>
      <c r="E71" s="10"/>
      <c r="F71" s="10"/>
    </row>
    <row r="72" spans="1:9" ht="17" thickBot="1" x14ac:dyDescent="0.25"/>
    <row r="73" spans="1:9" x14ac:dyDescent="0.2">
      <c r="A73" s="11"/>
      <c r="B73" s="11" t="s">
        <v>37</v>
      </c>
      <c r="C73" s="11" t="s">
        <v>25</v>
      </c>
      <c r="D73" s="11" t="s">
        <v>38</v>
      </c>
      <c r="E73" s="11" t="s">
        <v>39</v>
      </c>
      <c r="F73" s="11" t="s">
        <v>40</v>
      </c>
      <c r="G73" s="11" t="s">
        <v>41</v>
      </c>
      <c r="H73" s="11" t="s">
        <v>42</v>
      </c>
      <c r="I73" s="11" t="s">
        <v>43</v>
      </c>
    </row>
    <row r="74" spans="1:9" x14ac:dyDescent="0.2">
      <c r="A74" s="9" t="s">
        <v>31</v>
      </c>
      <c r="B74" s="9">
        <v>-42.362936806951986</v>
      </c>
      <c r="C74" s="9">
        <v>8.4525607302678498</v>
      </c>
      <c r="D74" s="9">
        <v>-5.0118464875684561</v>
      </c>
      <c r="E74" s="9">
        <v>4.063322574156647E-3</v>
      </c>
      <c r="F74" s="9">
        <v>-64.09093588479135</v>
      </c>
      <c r="G74" s="9">
        <v>-20.634937729112625</v>
      </c>
      <c r="H74" s="9">
        <v>-64.09093588479135</v>
      </c>
      <c r="I74" s="9">
        <v>-20.634937729112625</v>
      </c>
    </row>
    <row r="75" spans="1:9" ht="17" thickBot="1" x14ac:dyDescent="0.25">
      <c r="A75" s="10" t="s">
        <v>44</v>
      </c>
      <c r="B75" s="10">
        <v>21.218931068510816</v>
      </c>
      <c r="C75" s="10">
        <v>1.7722397807804731</v>
      </c>
      <c r="D75" s="10">
        <v>11.972945929001918</v>
      </c>
      <c r="E75" s="10">
        <v>7.1676177935844034E-5</v>
      </c>
      <c r="F75" s="10">
        <v>16.663243679644445</v>
      </c>
      <c r="G75" s="10">
        <v>25.774618457377187</v>
      </c>
      <c r="H75" s="10">
        <v>16.663243679644445</v>
      </c>
      <c r="I75" s="10">
        <v>25.774618457377187</v>
      </c>
    </row>
    <row r="79" spans="1:9" x14ac:dyDescent="0.2">
      <c r="A79" t="s">
        <v>45</v>
      </c>
    </row>
    <row r="80" spans="1:9" ht="17" thickBot="1" x14ac:dyDescent="0.25"/>
    <row r="81" spans="1:4" x14ac:dyDescent="0.2">
      <c r="A81" s="11" t="s">
        <v>46</v>
      </c>
      <c r="B81" s="11" t="s">
        <v>47</v>
      </c>
      <c r="C81" s="11" t="s">
        <v>48</v>
      </c>
      <c r="D81" s="11" t="s">
        <v>59</v>
      </c>
    </row>
    <row r="82" spans="1:4" x14ac:dyDescent="0.2">
      <c r="A82" s="9">
        <v>1</v>
      </c>
      <c r="B82" s="9">
        <v>100.46047578304376</v>
      </c>
      <c r="C82" s="9">
        <v>-3.2604787830437658</v>
      </c>
      <c r="D82" s="9">
        <v>-0.6732150360589314</v>
      </c>
    </row>
    <row r="83" spans="1:4" x14ac:dyDescent="0.2">
      <c r="A83" s="9">
        <v>2</v>
      </c>
      <c r="B83" s="9">
        <v>77.109936045309837</v>
      </c>
      <c r="C83" s="9">
        <v>6.7200659546901562</v>
      </c>
      <c r="D83" s="9">
        <v>1.3875414456099542</v>
      </c>
    </row>
    <row r="84" spans="1:4" x14ac:dyDescent="0.2">
      <c r="A84" s="9">
        <v>3</v>
      </c>
      <c r="B84" s="9">
        <v>64.671832054597644</v>
      </c>
      <c r="C84" s="9">
        <v>-2.7218310545976436</v>
      </c>
      <c r="D84" s="9">
        <v>-0.56199647766353089</v>
      </c>
    </row>
    <row r="85" spans="1:4" x14ac:dyDescent="0.2">
      <c r="A85" s="9">
        <v>4</v>
      </c>
      <c r="B85" s="9">
        <v>45.883772023463969</v>
      </c>
      <c r="C85" s="9">
        <v>2.1562289765360276</v>
      </c>
      <c r="D85" s="9">
        <v>0.44521245644631746</v>
      </c>
    </row>
    <row r="86" spans="1:4" x14ac:dyDescent="0.2">
      <c r="A86" s="9">
        <v>5</v>
      </c>
      <c r="B86" s="9">
        <v>33.905932461351732</v>
      </c>
      <c r="C86" s="9">
        <v>5.8140685386482716</v>
      </c>
      <c r="D86" s="9">
        <v>1.2004734952580292</v>
      </c>
    </row>
    <row r="87" spans="1:4" x14ac:dyDescent="0.2">
      <c r="A87" s="9">
        <v>6</v>
      </c>
      <c r="B87" s="9">
        <v>39.748945272907342</v>
      </c>
      <c r="C87" s="9">
        <v>-5.118944272907342</v>
      </c>
      <c r="D87" s="9">
        <v>-1.0569460752791284</v>
      </c>
    </row>
    <row r="88" spans="1:4" ht="17" thickBot="1" x14ac:dyDescent="0.25">
      <c r="A88" s="10">
        <v>7</v>
      </c>
      <c r="B88" s="10">
        <v>29.869110359325738</v>
      </c>
      <c r="C88" s="10">
        <v>-3.5891093593257395</v>
      </c>
      <c r="D88" s="10">
        <v>-0.74106980831271752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3FCDC-17CB-E54E-950B-F8947D1A7398}">
  <dimension ref="B1:U96"/>
  <sheetViews>
    <sheetView topLeftCell="A6" workbookViewId="0">
      <selection activeCell="O14" sqref="O14"/>
    </sheetView>
  </sheetViews>
  <sheetFormatPr baseColWidth="10" defaultRowHeight="16" x14ac:dyDescent="0.2"/>
  <cols>
    <col min="2" max="2" width="11.83203125" bestFit="1" customWidth="1"/>
    <col min="3" max="3" width="13.6640625" bestFit="1" customWidth="1"/>
    <col min="4" max="4" width="14.6640625" bestFit="1" customWidth="1"/>
    <col min="10" max="10" width="11.1640625" bestFit="1" customWidth="1"/>
  </cols>
  <sheetData>
    <row r="1" spans="2:21" x14ac:dyDescent="0.2">
      <c r="C1" t="s">
        <v>56</v>
      </c>
      <c r="D1">
        <v>2019</v>
      </c>
      <c r="E1">
        <v>2018</v>
      </c>
      <c r="F1">
        <v>2017</v>
      </c>
      <c r="G1">
        <v>2016</v>
      </c>
      <c r="H1">
        <v>2015</v>
      </c>
      <c r="I1">
        <v>2014</v>
      </c>
      <c r="J1">
        <v>2013</v>
      </c>
      <c r="K1">
        <v>2012</v>
      </c>
      <c r="L1">
        <v>2011</v>
      </c>
      <c r="M1">
        <v>2010</v>
      </c>
    </row>
    <row r="2" spans="2:21" x14ac:dyDescent="0.2">
      <c r="B2" t="s">
        <v>15</v>
      </c>
      <c r="C2">
        <v>700</v>
      </c>
      <c r="D2">
        <v>692</v>
      </c>
      <c r="E2">
        <v>710</v>
      </c>
      <c r="F2">
        <v>725</v>
      </c>
      <c r="G2">
        <v>747</v>
      </c>
      <c r="H2">
        <v>779</v>
      </c>
      <c r="I2">
        <v>778</v>
      </c>
      <c r="J2">
        <v>777</v>
      </c>
      <c r="K2">
        <v>779</v>
      </c>
      <c r="L2">
        <v>789</v>
      </c>
      <c r="M2">
        <v>805</v>
      </c>
    </row>
    <row r="3" spans="2:21" x14ac:dyDescent="0.2">
      <c r="B3" t="s">
        <v>14</v>
      </c>
      <c r="C3">
        <v>0</v>
      </c>
      <c r="D3">
        <v>5475</v>
      </c>
      <c r="E3" s="16">
        <v>5549</v>
      </c>
      <c r="F3" s="16">
        <v>5322</v>
      </c>
      <c r="G3" s="16">
        <v>5134</v>
      </c>
      <c r="H3" s="16">
        <v>4545</v>
      </c>
      <c r="I3" s="16">
        <v>3430</v>
      </c>
      <c r="J3" s="16">
        <v>2834</v>
      </c>
      <c r="K3" s="16">
        <v>2999</v>
      </c>
      <c r="L3" s="16">
        <v>3766</v>
      </c>
      <c r="M3" s="16">
        <v>3818</v>
      </c>
    </row>
    <row r="4" spans="2:21" x14ac:dyDescent="0.2">
      <c r="B4" t="s">
        <v>17</v>
      </c>
      <c r="C4">
        <v>0</v>
      </c>
      <c r="D4">
        <f>D3/D2</f>
        <v>7.9118497109826587</v>
      </c>
      <c r="E4">
        <f>E3/E2</f>
        <v>7.8154929577464785</v>
      </c>
      <c r="F4">
        <f t="shared" ref="F4:M4" si="0">F3/F2</f>
        <v>7.3406896551724135</v>
      </c>
      <c r="G4">
        <f t="shared" si="0"/>
        <v>6.8728246318607766</v>
      </c>
      <c r="H4">
        <f t="shared" si="0"/>
        <v>5.8344030808729137</v>
      </c>
      <c r="I4">
        <f t="shared" si="0"/>
        <v>4.4087403598971724</v>
      </c>
      <c r="J4">
        <f t="shared" si="0"/>
        <v>3.6473616473616475</v>
      </c>
      <c r="K4">
        <f t="shared" si="0"/>
        <v>3.8498074454428757</v>
      </c>
      <c r="L4">
        <f t="shared" si="0"/>
        <v>4.7731305449936627</v>
      </c>
      <c r="M4">
        <f t="shared" si="0"/>
        <v>4.7428571428571429</v>
      </c>
    </row>
    <row r="5" spans="2:21" x14ac:dyDescent="0.2">
      <c r="B5" t="s">
        <v>52</v>
      </c>
      <c r="D5">
        <f t="shared" ref="D5:L5" si="1">(D3-E3)/E3*100</f>
        <v>-1.3335736168679042</v>
      </c>
      <c r="E5">
        <f t="shared" si="1"/>
        <v>4.2653137918075918</v>
      </c>
      <c r="F5">
        <f t="shared" si="1"/>
        <v>3.6618620958317103</v>
      </c>
      <c r="G5">
        <f t="shared" si="1"/>
        <v>12.95929592959296</v>
      </c>
      <c r="H5">
        <f t="shared" si="1"/>
        <v>32.507288629737609</v>
      </c>
      <c r="I5">
        <f t="shared" si="1"/>
        <v>21.030345800988005</v>
      </c>
      <c r="J5">
        <f t="shared" si="1"/>
        <v>-5.5018339446482161</v>
      </c>
      <c r="K5">
        <f t="shared" si="1"/>
        <v>-20.366436537440254</v>
      </c>
      <c r="L5">
        <f t="shared" si="1"/>
        <v>-1.3619696176008382</v>
      </c>
    </row>
    <row r="8" spans="2:21" x14ac:dyDescent="0.2">
      <c r="B8" t="s">
        <v>18</v>
      </c>
      <c r="C8">
        <f>C4*K14</f>
        <v>0</v>
      </c>
      <c r="D8">
        <v>58.85</v>
      </c>
      <c r="E8">
        <v>71.94</v>
      </c>
      <c r="F8">
        <v>69.48</v>
      </c>
      <c r="G8">
        <v>54.68</v>
      </c>
      <c r="H8">
        <v>55.14</v>
      </c>
      <c r="I8">
        <v>45.95</v>
      </c>
      <c r="J8">
        <v>40.17</v>
      </c>
      <c r="K8">
        <v>39.32</v>
      </c>
      <c r="L8">
        <v>47.85</v>
      </c>
      <c r="M8">
        <v>46.59</v>
      </c>
    </row>
    <row r="9" spans="2:21" ht="17" x14ac:dyDescent="0.25">
      <c r="B9" t="s">
        <v>19</v>
      </c>
      <c r="C9">
        <f>C4*13</f>
        <v>0</v>
      </c>
      <c r="D9">
        <v>40.130000000000003</v>
      </c>
      <c r="E9">
        <v>46.21</v>
      </c>
      <c r="F9">
        <v>52.14</v>
      </c>
      <c r="G9">
        <v>41.92</v>
      </c>
      <c r="H9">
        <v>43.65</v>
      </c>
      <c r="I9">
        <v>33.880000000000003</v>
      </c>
      <c r="J9">
        <v>31.6</v>
      </c>
      <c r="K9">
        <v>29.48</v>
      </c>
      <c r="L9">
        <v>29.42</v>
      </c>
      <c r="M9">
        <v>30.14</v>
      </c>
      <c r="O9" s="13"/>
    </row>
    <row r="10" spans="2:21" ht="17" x14ac:dyDescent="0.25">
      <c r="B10" t="s">
        <v>57</v>
      </c>
      <c r="D10">
        <f>D8/D4</f>
        <v>7.4382100456621005</v>
      </c>
      <c r="E10">
        <f>E8/E4</f>
        <v>9.2047936565146884</v>
      </c>
      <c r="F10">
        <f t="shared" ref="F10:M10" si="2">F8/F4</f>
        <v>9.4650507328072155</v>
      </c>
      <c r="G10">
        <f t="shared" si="2"/>
        <v>7.9559719516945853</v>
      </c>
      <c r="H10">
        <f t="shared" si="2"/>
        <v>9.450838283828384</v>
      </c>
      <c r="I10">
        <f t="shared" si="2"/>
        <v>10.422478134110788</v>
      </c>
      <c r="J10">
        <f t="shared" si="2"/>
        <v>11.013440366972477</v>
      </c>
      <c r="K10">
        <f t="shared" si="2"/>
        <v>10.213497832610869</v>
      </c>
      <c r="L10">
        <f t="shared" si="2"/>
        <v>10.024867233138609</v>
      </c>
      <c r="M10">
        <f t="shared" si="2"/>
        <v>9.8231927710843383</v>
      </c>
      <c r="O10" s="13">
        <f>MEDIAN(D10:M10)</f>
        <v>9.6441217519457769</v>
      </c>
      <c r="P10" s="16"/>
    </row>
    <row r="11" spans="2:21" ht="17" x14ac:dyDescent="0.25">
      <c r="B11" t="s">
        <v>58</v>
      </c>
      <c r="D11">
        <f>D9/D4</f>
        <v>5.072138812785389</v>
      </c>
      <c r="E11">
        <f>E9/E4</f>
        <v>5.9126148855649667</v>
      </c>
      <c r="F11">
        <f t="shared" ref="F11:M11" si="3">F9/F4</f>
        <v>7.102874859075536</v>
      </c>
      <c r="G11">
        <f t="shared" si="3"/>
        <v>6.099384495520062</v>
      </c>
      <c r="H11">
        <f t="shared" si="3"/>
        <v>7.4814851485148512</v>
      </c>
      <c r="I11">
        <f t="shared" si="3"/>
        <v>7.6847346938775516</v>
      </c>
      <c r="J11">
        <f t="shared" si="3"/>
        <v>8.6637967537050109</v>
      </c>
      <c r="K11">
        <f t="shared" si="3"/>
        <v>7.6575258419473151</v>
      </c>
      <c r="L11">
        <f t="shared" si="3"/>
        <v>6.1636696760488583</v>
      </c>
      <c r="M11">
        <f t="shared" si="3"/>
        <v>6.354819277108434</v>
      </c>
      <c r="O11" s="13">
        <f>MEDIAN(D11:M11)</f>
        <v>6.7288470680919854</v>
      </c>
      <c r="P11" s="16"/>
    </row>
    <row r="12" spans="2:21" ht="17" x14ac:dyDescent="0.25">
      <c r="O12" s="13"/>
      <c r="P12" s="4"/>
    </row>
    <row r="13" spans="2:21" ht="17" x14ac:dyDescent="0.25">
      <c r="O13" s="13"/>
      <c r="P13" s="4"/>
      <c r="U13" s="17"/>
    </row>
    <row r="14" spans="2:21" ht="17" x14ac:dyDescent="0.25">
      <c r="D14">
        <v>7.9118497109826587</v>
      </c>
      <c r="E14">
        <v>58.85</v>
      </c>
      <c r="F14">
        <v>40.130000000000003</v>
      </c>
      <c r="O14" s="13"/>
      <c r="P14" s="4"/>
      <c r="U14" s="18"/>
    </row>
    <row r="15" spans="2:21" ht="17" x14ac:dyDescent="0.25">
      <c r="D15">
        <v>7.8154929577464785</v>
      </c>
      <c r="E15">
        <v>71.94</v>
      </c>
      <c r="F15">
        <v>46.21</v>
      </c>
      <c r="O15" s="13"/>
      <c r="P15" s="4"/>
      <c r="U15" s="17"/>
    </row>
    <row r="16" spans="2:21" ht="17" x14ac:dyDescent="0.25">
      <c r="D16">
        <v>7.3406896551724135</v>
      </c>
      <c r="E16">
        <v>69.48</v>
      </c>
      <c r="F16">
        <v>52.14</v>
      </c>
      <c r="O16" s="13"/>
      <c r="P16" s="4"/>
      <c r="U16" s="17"/>
    </row>
    <row r="17" spans="2:21" ht="17" x14ac:dyDescent="0.25">
      <c r="D17">
        <v>6.8728246318607766</v>
      </c>
      <c r="E17">
        <v>54.68</v>
      </c>
      <c r="F17">
        <v>41.92</v>
      </c>
      <c r="J17" s="15"/>
      <c r="O17" s="13"/>
      <c r="U17" s="17"/>
    </row>
    <row r="18" spans="2:21" ht="17" x14ac:dyDescent="0.25">
      <c r="D18">
        <v>5.8344030808729137</v>
      </c>
      <c r="E18">
        <v>55.14</v>
      </c>
      <c r="F18">
        <v>43.65</v>
      </c>
      <c r="O18" s="13"/>
    </row>
    <row r="19" spans="2:21" ht="17" x14ac:dyDescent="0.25">
      <c r="D19">
        <v>4.4087403598971724</v>
      </c>
      <c r="E19">
        <v>45.95</v>
      </c>
      <c r="F19">
        <v>33.880000000000003</v>
      </c>
      <c r="O19" s="13"/>
    </row>
    <row r="20" spans="2:21" ht="17" x14ac:dyDescent="0.25">
      <c r="D20">
        <v>3.6473616473616475</v>
      </c>
      <c r="E20">
        <v>40.17</v>
      </c>
      <c r="F20">
        <v>31.6</v>
      </c>
      <c r="O20" s="13"/>
    </row>
    <row r="21" spans="2:21" ht="17" x14ac:dyDescent="0.25">
      <c r="D21">
        <v>3.8498074454428757</v>
      </c>
      <c r="E21">
        <v>39.32</v>
      </c>
      <c r="F21">
        <v>29.48</v>
      </c>
      <c r="O21" s="13"/>
    </row>
    <row r="22" spans="2:21" ht="17" x14ac:dyDescent="0.25">
      <c r="D22">
        <v>4.7731305449936627</v>
      </c>
      <c r="E22">
        <v>47.85</v>
      </c>
      <c r="F22">
        <v>29.42</v>
      </c>
      <c r="O22" s="13"/>
    </row>
    <row r="23" spans="2:21" ht="17" x14ac:dyDescent="0.25">
      <c r="D23">
        <v>4.7428571428571429</v>
      </c>
      <c r="E23">
        <v>46.59</v>
      </c>
      <c r="F23">
        <v>30.14</v>
      </c>
      <c r="O23" s="13"/>
    </row>
    <row r="25" spans="2:21" x14ac:dyDescent="0.2">
      <c r="B25" t="s">
        <v>20</v>
      </c>
    </row>
    <row r="26" spans="2:21" ht="17" thickBot="1" x14ac:dyDescent="0.25"/>
    <row r="27" spans="2:21" x14ac:dyDescent="0.2">
      <c r="B27" s="12" t="s">
        <v>21</v>
      </c>
      <c r="C27" s="12"/>
    </row>
    <row r="28" spans="2:21" x14ac:dyDescent="0.2">
      <c r="B28" s="9" t="s">
        <v>22</v>
      </c>
      <c r="C28" s="9">
        <v>0.92031542629152363</v>
      </c>
    </row>
    <row r="29" spans="2:21" x14ac:dyDescent="0.2">
      <c r="B29" s="9" t="s">
        <v>23</v>
      </c>
      <c r="C29" s="9">
        <v>0.8469804838701489</v>
      </c>
    </row>
    <row r="30" spans="2:21" x14ac:dyDescent="0.2">
      <c r="B30" s="9" t="s">
        <v>24</v>
      </c>
      <c r="C30" s="9">
        <v>0.82785304435391749</v>
      </c>
    </row>
    <row r="31" spans="2:21" x14ac:dyDescent="0.2">
      <c r="B31" s="9" t="s">
        <v>25</v>
      </c>
      <c r="C31" s="9">
        <v>4.6716658951732688</v>
      </c>
    </row>
    <row r="32" spans="2:21" ht="17" thickBot="1" x14ac:dyDescent="0.25">
      <c r="B32" s="10" t="s">
        <v>26</v>
      </c>
      <c r="C32" s="10">
        <v>10</v>
      </c>
    </row>
    <row r="34" spans="2:10" ht="17" thickBot="1" x14ac:dyDescent="0.25">
      <c r="B34" t="s">
        <v>27</v>
      </c>
    </row>
    <row r="35" spans="2:10" x14ac:dyDescent="0.2">
      <c r="B35" s="11"/>
      <c r="C35" s="11" t="s">
        <v>32</v>
      </c>
      <c r="D35" s="11" t="s">
        <v>33</v>
      </c>
      <c r="E35" s="11" t="s">
        <v>34</v>
      </c>
      <c r="F35" s="11" t="s">
        <v>35</v>
      </c>
      <c r="G35" s="11" t="s">
        <v>36</v>
      </c>
    </row>
    <row r="36" spans="2:10" x14ac:dyDescent="0.2">
      <c r="B36" s="9" t="s">
        <v>28</v>
      </c>
      <c r="C36" s="9">
        <v>1</v>
      </c>
      <c r="D36" s="9">
        <v>966.40711211099949</v>
      </c>
      <c r="E36" s="9">
        <v>966.40711211099949</v>
      </c>
      <c r="F36" s="9">
        <v>44.280912934081321</v>
      </c>
      <c r="G36" s="9">
        <v>1.6007736628231728E-4</v>
      </c>
    </row>
    <row r="37" spans="2:10" x14ac:dyDescent="0.2">
      <c r="B37" s="9" t="s">
        <v>29</v>
      </c>
      <c r="C37" s="9">
        <v>8</v>
      </c>
      <c r="D37" s="9">
        <v>174.59569788900046</v>
      </c>
      <c r="E37" s="9">
        <v>21.824462236125058</v>
      </c>
      <c r="F37" s="9"/>
      <c r="G37" s="9"/>
    </row>
    <row r="38" spans="2:10" ht="17" thickBot="1" x14ac:dyDescent="0.25">
      <c r="B38" s="10" t="s">
        <v>30</v>
      </c>
      <c r="C38" s="10">
        <v>9</v>
      </c>
      <c r="D38" s="10">
        <v>1141.00281</v>
      </c>
      <c r="E38" s="10"/>
      <c r="F38" s="10"/>
      <c r="G38" s="10"/>
    </row>
    <row r="39" spans="2:10" ht="17" thickBot="1" x14ac:dyDescent="0.25"/>
    <row r="40" spans="2:10" x14ac:dyDescent="0.2">
      <c r="B40" s="11"/>
      <c r="C40" s="11" t="s">
        <v>37</v>
      </c>
      <c r="D40" s="11" t="s">
        <v>25</v>
      </c>
      <c r="E40" s="11" t="s">
        <v>38</v>
      </c>
      <c r="F40" s="11" t="s">
        <v>39</v>
      </c>
      <c r="G40" s="11" t="s">
        <v>40</v>
      </c>
      <c r="H40" s="11" t="s">
        <v>41</v>
      </c>
      <c r="I40" s="11" t="s">
        <v>42</v>
      </c>
      <c r="J40" s="11" t="s">
        <v>43</v>
      </c>
    </row>
    <row r="41" spans="2:10" x14ac:dyDescent="0.2">
      <c r="B41" s="9" t="s">
        <v>31</v>
      </c>
      <c r="C41" s="9">
        <v>17.094782809635817</v>
      </c>
      <c r="D41" s="9">
        <v>5.593867915236431</v>
      </c>
      <c r="E41" s="9">
        <v>3.05598613851312</v>
      </c>
      <c r="F41" s="9">
        <v>1.5677849637987851E-2</v>
      </c>
      <c r="G41" s="9">
        <v>4.1953002653146925</v>
      </c>
      <c r="H41" s="9">
        <v>29.994265353956941</v>
      </c>
      <c r="I41" s="9">
        <v>4.1953002653146925</v>
      </c>
      <c r="J41" s="9">
        <v>29.994265353956941</v>
      </c>
    </row>
    <row r="42" spans="2:10" ht="17" thickBot="1" x14ac:dyDescent="0.25">
      <c r="B42" s="10" t="s">
        <v>44</v>
      </c>
      <c r="C42" s="10">
        <v>6.2769233581215929</v>
      </c>
      <c r="D42" s="10">
        <v>0.9432754746784946</v>
      </c>
      <c r="E42" s="10">
        <v>6.6543905005703827</v>
      </c>
      <c r="F42" s="10">
        <v>1.6007736628231685E-4</v>
      </c>
      <c r="G42" s="10">
        <v>4.1017262128763106</v>
      </c>
      <c r="H42" s="10">
        <v>8.4521205033668743</v>
      </c>
      <c r="I42" s="10">
        <v>4.1017262128763106</v>
      </c>
      <c r="J42" s="10">
        <v>8.4521205033668743</v>
      </c>
    </row>
    <row r="46" spans="2:10" x14ac:dyDescent="0.2">
      <c r="B46" t="s">
        <v>45</v>
      </c>
      <c r="G46" t="s">
        <v>49</v>
      </c>
    </row>
    <row r="47" spans="2:10" ht="17" thickBot="1" x14ac:dyDescent="0.25"/>
    <row r="48" spans="2:10" x14ac:dyDescent="0.2">
      <c r="B48" s="11" t="s">
        <v>46</v>
      </c>
      <c r="C48" s="11" t="s">
        <v>47</v>
      </c>
      <c r="D48" s="11" t="s">
        <v>48</v>
      </c>
      <c r="E48" s="11" t="s">
        <v>59</v>
      </c>
      <c r="G48" s="11" t="s">
        <v>50</v>
      </c>
      <c r="H48" s="11" t="s">
        <v>51</v>
      </c>
    </row>
    <row r="49" spans="2:8" x14ac:dyDescent="0.2">
      <c r="B49" s="9">
        <v>1</v>
      </c>
      <c r="C49" s="9">
        <v>66.756857066450436</v>
      </c>
      <c r="D49" s="9">
        <v>-7.906857066450435</v>
      </c>
      <c r="E49" s="9">
        <v>-1.7951815396312221</v>
      </c>
      <c r="G49" s="9">
        <v>5</v>
      </c>
      <c r="H49" s="9">
        <v>39.32</v>
      </c>
    </row>
    <row r="50" spans="2:8" x14ac:dyDescent="0.2">
      <c r="B50" s="9">
        <v>2</v>
      </c>
      <c r="C50" s="9">
        <v>66.15203311134951</v>
      </c>
      <c r="D50" s="9">
        <v>5.7879668886504874</v>
      </c>
      <c r="E50" s="9">
        <v>1.314106379207209</v>
      </c>
      <c r="G50" s="9">
        <v>15</v>
      </c>
      <c r="H50" s="9">
        <v>40.17</v>
      </c>
    </row>
    <row r="51" spans="2:8" x14ac:dyDescent="0.2">
      <c r="B51" s="9">
        <v>3</v>
      </c>
      <c r="C51" s="9">
        <v>63.171729170909082</v>
      </c>
      <c r="D51" s="9">
        <v>6.3082708290909224</v>
      </c>
      <c r="E51" s="9">
        <v>1.4322367590820742</v>
      </c>
      <c r="G51" s="9">
        <v>25</v>
      </c>
      <c r="H51" s="9">
        <v>45.95</v>
      </c>
    </row>
    <row r="52" spans="2:8" x14ac:dyDescent="0.2">
      <c r="B52" s="9">
        <v>4</v>
      </c>
      <c r="C52" s="9">
        <v>60.234976277636164</v>
      </c>
      <c r="D52" s="9">
        <v>-5.5549762776361646</v>
      </c>
      <c r="E52" s="9">
        <v>-1.2612079341885136</v>
      </c>
      <c r="G52" s="9">
        <v>35</v>
      </c>
      <c r="H52" s="9">
        <v>46.59</v>
      </c>
    </row>
    <row r="53" spans="2:8" x14ac:dyDescent="0.2">
      <c r="B53" s="9">
        <v>5</v>
      </c>
      <c r="C53" s="9">
        <v>53.716883788663594</v>
      </c>
      <c r="D53" s="9">
        <v>1.4231162113364064</v>
      </c>
      <c r="E53" s="9">
        <v>0.32310587251932288</v>
      </c>
      <c r="G53" s="9">
        <v>45</v>
      </c>
      <c r="H53" s="9">
        <v>47.85</v>
      </c>
    </row>
    <row r="54" spans="2:8" x14ac:dyDescent="0.2">
      <c r="B54" s="9">
        <v>6</v>
      </c>
      <c r="C54" s="9">
        <v>44.768108154567777</v>
      </c>
      <c r="D54" s="9">
        <v>1.1818918454322258</v>
      </c>
      <c r="E54" s="9">
        <v>0.26833802671901502</v>
      </c>
      <c r="G54" s="9">
        <v>55</v>
      </c>
      <c r="H54" s="9">
        <v>54.68</v>
      </c>
    </row>
    <row r="55" spans="2:8" x14ac:dyDescent="0.2">
      <c r="B55" s="9">
        <v>7</v>
      </c>
      <c r="C55" s="9">
        <v>39.988992329476993</v>
      </c>
      <c r="D55" s="9">
        <v>0.18100767052300881</v>
      </c>
      <c r="E55" s="9">
        <v>4.1096180938101801E-2</v>
      </c>
      <c r="G55" s="9">
        <v>65</v>
      </c>
      <c r="H55" s="9">
        <v>55.14</v>
      </c>
    </row>
    <row r="56" spans="2:8" x14ac:dyDescent="0.2">
      <c r="B56" s="9">
        <v>8</v>
      </c>
      <c r="C56" s="9">
        <v>41.259729088206626</v>
      </c>
      <c r="D56" s="9">
        <v>-1.9397290882066258</v>
      </c>
      <c r="E56" s="9">
        <v>-0.4403982292546309</v>
      </c>
      <c r="G56" s="9">
        <v>75</v>
      </c>
      <c r="H56" s="9">
        <v>58.85</v>
      </c>
    </row>
    <row r="57" spans="2:8" x14ac:dyDescent="0.2">
      <c r="B57" s="9">
        <v>9</v>
      </c>
      <c r="C57" s="9">
        <v>47.055357418870187</v>
      </c>
      <c r="D57" s="9">
        <v>0.79464258112981412</v>
      </c>
      <c r="E57" s="9">
        <v>0.18041652710557321</v>
      </c>
      <c r="G57" s="9">
        <v>85</v>
      </c>
      <c r="H57" s="9">
        <v>69.48</v>
      </c>
    </row>
    <row r="58" spans="2:8" ht="17" thickBot="1" x14ac:dyDescent="0.25">
      <c r="B58" s="10">
        <v>10</v>
      </c>
      <c r="C58" s="10">
        <v>46.865333593869657</v>
      </c>
      <c r="D58" s="10">
        <v>-0.27533359386965373</v>
      </c>
      <c r="E58" s="10">
        <v>-6.2512042496932749E-2</v>
      </c>
      <c r="G58" s="10">
        <v>95</v>
      </c>
      <c r="H58" s="10">
        <v>71.94</v>
      </c>
    </row>
    <row r="63" spans="2:8" x14ac:dyDescent="0.2">
      <c r="B63" t="s">
        <v>20</v>
      </c>
    </row>
    <row r="64" spans="2:8" ht="17" thickBot="1" x14ac:dyDescent="0.25"/>
    <row r="65" spans="2:10" x14ac:dyDescent="0.2">
      <c r="B65" s="12" t="s">
        <v>21</v>
      </c>
      <c r="C65" s="12"/>
    </row>
    <row r="66" spans="2:10" x14ac:dyDescent="0.2">
      <c r="B66" s="9" t="s">
        <v>22</v>
      </c>
      <c r="C66" s="9">
        <v>0.83789965270305644</v>
      </c>
    </row>
    <row r="67" spans="2:10" x14ac:dyDescent="0.2">
      <c r="B67" s="9" t="s">
        <v>23</v>
      </c>
      <c r="C67" s="9">
        <v>0.70207582799990265</v>
      </c>
    </row>
    <row r="68" spans="2:10" x14ac:dyDescent="0.2">
      <c r="B68" s="9" t="s">
        <v>24</v>
      </c>
      <c r="C68" s="9">
        <v>0.66483530649989042</v>
      </c>
    </row>
    <row r="69" spans="2:10" x14ac:dyDescent="0.2">
      <c r="B69" s="9" t="s">
        <v>25</v>
      </c>
      <c r="C69" s="9">
        <v>4.6670603791205698</v>
      </c>
    </row>
    <row r="70" spans="2:10" ht="17" thickBot="1" x14ac:dyDescent="0.25">
      <c r="B70" s="10" t="s">
        <v>26</v>
      </c>
      <c r="C70" s="10">
        <v>10</v>
      </c>
    </row>
    <row r="72" spans="2:10" ht="17" thickBot="1" x14ac:dyDescent="0.25">
      <c r="B72" t="s">
        <v>27</v>
      </c>
    </row>
    <row r="73" spans="2:10" x14ac:dyDescent="0.2">
      <c r="B73" s="11"/>
      <c r="C73" s="11" t="s">
        <v>32</v>
      </c>
      <c r="D73" s="11" t="s">
        <v>33</v>
      </c>
      <c r="E73" s="11" t="s">
        <v>34</v>
      </c>
      <c r="F73" s="11" t="s">
        <v>35</v>
      </c>
      <c r="G73" s="11" t="s">
        <v>36</v>
      </c>
    </row>
    <row r="74" spans="2:10" x14ac:dyDescent="0.2">
      <c r="B74" s="9" t="s">
        <v>28</v>
      </c>
      <c r="C74" s="9">
        <v>1</v>
      </c>
      <c r="D74" s="9">
        <v>410.63418934114372</v>
      </c>
      <c r="E74" s="9">
        <v>410.63418934114372</v>
      </c>
      <c r="F74" s="9">
        <v>18.852470366175538</v>
      </c>
      <c r="G74" s="9">
        <v>2.4719154233048893E-3</v>
      </c>
    </row>
    <row r="75" spans="2:10" x14ac:dyDescent="0.2">
      <c r="B75" s="9" t="s">
        <v>29</v>
      </c>
      <c r="C75" s="9">
        <v>8</v>
      </c>
      <c r="D75" s="9">
        <v>174.2516206588563</v>
      </c>
      <c r="E75" s="9">
        <v>21.781452582357037</v>
      </c>
      <c r="F75" s="9"/>
      <c r="G75" s="9"/>
    </row>
    <row r="76" spans="2:10" ht="17" thickBot="1" x14ac:dyDescent="0.25">
      <c r="B76" s="10" t="s">
        <v>30</v>
      </c>
      <c r="C76" s="10">
        <v>9</v>
      </c>
      <c r="D76" s="10">
        <v>584.88580999999999</v>
      </c>
      <c r="E76" s="10"/>
      <c r="F76" s="10"/>
      <c r="G76" s="10"/>
    </row>
    <row r="77" spans="2:10" ht="17" thickBot="1" x14ac:dyDescent="0.25"/>
    <row r="78" spans="2:10" x14ac:dyDescent="0.2">
      <c r="B78" s="11"/>
      <c r="C78" s="11" t="s">
        <v>37</v>
      </c>
      <c r="D78" s="11" t="s">
        <v>25</v>
      </c>
      <c r="E78" s="11" t="s">
        <v>38</v>
      </c>
      <c r="F78" s="11" t="s">
        <v>39</v>
      </c>
      <c r="G78" s="11" t="s">
        <v>40</v>
      </c>
      <c r="H78" s="11" t="s">
        <v>41</v>
      </c>
      <c r="I78" s="11" t="s">
        <v>42</v>
      </c>
      <c r="J78" s="11" t="s">
        <v>43</v>
      </c>
    </row>
    <row r="79" spans="2:10" x14ac:dyDescent="0.2">
      <c r="B79" s="9" t="s">
        <v>31</v>
      </c>
      <c r="C79" s="9">
        <v>14.454149189648927</v>
      </c>
      <c r="D79" s="9">
        <v>5.5883532553574113</v>
      </c>
      <c r="E79" s="9">
        <v>2.5864773626814133</v>
      </c>
      <c r="F79" s="9">
        <v>3.2289462615500662E-2</v>
      </c>
      <c r="G79" s="9">
        <v>1.5673834738130665</v>
      </c>
      <c r="H79" s="9">
        <v>27.340914905484787</v>
      </c>
      <c r="I79" s="9">
        <v>1.5673834738130665</v>
      </c>
      <c r="J79" s="9">
        <v>27.340914905484787</v>
      </c>
    </row>
    <row r="80" spans="2:10" ht="17" thickBot="1" x14ac:dyDescent="0.25">
      <c r="B80" s="10" t="s">
        <v>44</v>
      </c>
      <c r="C80" s="10">
        <v>4.0916108361562022</v>
      </c>
      <c r="D80" s="10">
        <v>0.94234555579340529</v>
      </c>
      <c r="E80" s="10">
        <v>4.3419431555670487</v>
      </c>
      <c r="F80" s="10">
        <v>2.4719154233048867E-3</v>
      </c>
      <c r="G80" s="10">
        <v>1.9185580877053403</v>
      </c>
      <c r="H80" s="10">
        <v>6.2646635846070637</v>
      </c>
      <c r="I80" s="10">
        <v>1.9185580877053403</v>
      </c>
      <c r="J80" s="10">
        <v>6.2646635846070637</v>
      </c>
    </row>
    <row r="84" spans="2:8" x14ac:dyDescent="0.2">
      <c r="B84" t="s">
        <v>45</v>
      </c>
      <c r="G84" t="s">
        <v>49</v>
      </c>
    </row>
    <row r="85" spans="2:8" ht="17" thickBot="1" x14ac:dyDescent="0.25"/>
    <row r="86" spans="2:8" x14ac:dyDescent="0.2">
      <c r="B86" s="11" t="s">
        <v>46</v>
      </c>
      <c r="C86" s="11" t="s">
        <v>47</v>
      </c>
      <c r="D86" s="11" t="s">
        <v>48</v>
      </c>
      <c r="E86" s="11" t="s">
        <v>59</v>
      </c>
      <c r="G86" s="11" t="s">
        <v>50</v>
      </c>
      <c r="H86" s="11" t="s">
        <v>51</v>
      </c>
    </row>
    <row r="87" spans="2:8" x14ac:dyDescent="0.2">
      <c r="B87" s="9">
        <v>1</v>
      </c>
      <c r="C87" s="9">
        <v>46.826359201144896</v>
      </c>
      <c r="D87" s="9">
        <v>-6.6963592011448938</v>
      </c>
      <c r="E87" s="9">
        <v>-1.5218490706400691</v>
      </c>
      <c r="G87" s="9">
        <v>5</v>
      </c>
      <c r="H87" s="9">
        <v>29.42</v>
      </c>
    </row>
    <row r="88" spans="2:8" x14ac:dyDescent="0.2">
      <c r="B88" s="9">
        <v>2</v>
      </c>
      <c r="C88" s="9">
        <v>46.432104865466904</v>
      </c>
      <c r="D88" s="9">
        <v>-0.22210486546690333</v>
      </c>
      <c r="E88" s="9">
        <v>-5.0476695311932183E-2</v>
      </c>
      <c r="G88" s="9">
        <v>15</v>
      </c>
      <c r="H88" s="9">
        <v>29.48</v>
      </c>
    </row>
    <row r="89" spans="2:8" x14ac:dyDescent="0.2">
      <c r="B89" s="9">
        <v>3</v>
      </c>
      <c r="C89" s="9">
        <v>44.489394527612106</v>
      </c>
      <c r="D89" s="9">
        <v>7.6506054723878947</v>
      </c>
      <c r="E89" s="9">
        <v>1.7387159915191974</v>
      </c>
      <c r="G89" s="9">
        <v>25</v>
      </c>
      <c r="H89" s="9">
        <v>30.14</v>
      </c>
    </row>
    <row r="90" spans="2:8" x14ac:dyDescent="0.2">
      <c r="B90" s="9">
        <v>4</v>
      </c>
      <c r="C90" s="9">
        <v>42.575072928371739</v>
      </c>
      <c r="D90" s="9">
        <v>-0.65507292837173736</v>
      </c>
      <c r="E90" s="9">
        <v>-0.14887524657780465</v>
      </c>
      <c r="G90" s="9">
        <v>35</v>
      </c>
      <c r="H90" s="9">
        <v>31.6</v>
      </c>
    </row>
    <row r="91" spans="2:8" x14ac:dyDescent="0.2">
      <c r="B91" s="9">
        <v>5</v>
      </c>
      <c r="C91" s="9">
        <v>38.326256057851673</v>
      </c>
      <c r="D91" s="9">
        <v>5.3237439421483259</v>
      </c>
      <c r="E91" s="9">
        <v>1.209901459482478</v>
      </c>
      <c r="G91" s="9">
        <v>45</v>
      </c>
      <c r="H91" s="9">
        <v>33.880000000000003</v>
      </c>
    </row>
    <row r="92" spans="2:8" x14ac:dyDescent="0.2">
      <c r="B92" s="9">
        <v>6</v>
      </c>
      <c r="C92" s="9">
        <v>32.492999020003396</v>
      </c>
      <c r="D92" s="9">
        <v>1.387000979996607</v>
      </c>
      <c r="E92" s="9">
        <v>0.3152169841820629</v>
      </c>
      <c r="G92" s="9">
        <v>55</v>
      </c>
      <c r="H92" s="9">
        <v>40.130000000000003</v>
      </c>
    </row>
    <row r="93" spans="2:8" x14ac:dyDescent="0.2">
      <c r="B93" s="9">
        <v>7</v>
      </c>
      <c r="C93" s="9">
        <v>29.377733629374383</v>
      </c>
      <c r="D93" s="9">
        <v>2.2222663706256185</v>
      </c>
      <c r="E93" s="9">
        <v>0.50504369751745926</v>
      </c>
      <c r="G93" s="9">
        <v>65</v>
      </c>
      <c r="H93" s="9">
        <v>41.92</v>
      </c>
    </row>
    <row r="94" spans="2:8" x14ac:dyDescent="0.2">
      <c r="B94" s="9">
        <v>8</v>
      </c>
      <c r="C94" s="9">
        <v>30.206063050537825</v>
      </c>
      <c r="D94" s="9">
        <v>-0.72606305053782449</v>
      </c>
      <c r="E94" s="9">
        <v>-0.16500882725917154</v>
      </c>
      <c r="G94" s="9">
        <v>75</v>
      </c>
      <c r="H94" s="9">
        <v>43.65</v>
      </c>
    </row>
    <row r="95" spans="2:8" x14ac:dyDescent="0.2">
      <c r="B95" s="9">
        <v>9</v>
      </c>
      <c r="C95" s="9">
        <v>33.98394184993316</v>
      </c>
      <c r="D95" s="9">
        <v>-4.5639418499331583</v>
      </c>
      <c r="E95" s="9">
        <v>-1.0372249238942532</v>
      </c>
      <c r="G95" s="9">
        <v>85</v>
      </c>
      <c r="H95" s="9">
        <v>46.21</v>
      </c>
    </row>
    <row r="96" spans="2:8" ht="17" thickBot="1" x14ac:dyDescent="0.25">
      <c r="B96" s="10">
        <v>10</v>
      </c>
      <c r="C96" s="10">
        <v>33.860074869704057</v>
      </c>
      <c r="D96" s="10">
        <v>-3.7200748697040567</v>
      </c>
      <c r="E96" s="10">
        <v>-0.84544336901799588</v>
      </c>
      <c r="G96" s="10">
        <v>95</v>
      </c>
      <c r="H96" s="10">
        <v>52.14</v>
      </c>
    </row>
  </sheetData>
  <sortState xmlns:xlrd2="http://schemas.microsoft.com/office/spreadsheetml/2017/richdata2" ref="H87:H96">
    <sortCondition ref="H87"/>
  </sortState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C36E7-D211-7E4F-984C-4B19AA302B6C}">
  <dimension ref="A1:O83"/>
  <sheetViews>
    <sheetView workbookViewId="0">
      <selection activeCell="C4" sqref="C4"/>
    </sheetView>
  </sheetViews>
  <sheetFormatPr baseColWidth="10" defaultRowHeight="16" x14ac:dyDescent="0.2"/>
  <cols>
    <col min="2" max="2" width="11.83203125" bestFit="1" customWidth="1"/>
  </cols>
  <sheetData>
    <row r="1" spans="2:15" x14ac:dyDescent="0.2">
      <c r="C1" t="s">
        <v>56</v>
      </c>
      <c r="D1">
        <v>2019</v>
      </c>
      <c r="E1">
        <v>2018</v>
      </c>
      <c r="F1">
        <v>2017</v>
      </c>
      <c r="G1">
        <v>2016</v>
      </c>
      <c r="H1">
        <v>2015</v>
      </c>
      <c r="I1">
        <v>2014</v>
      </c>
    </row>
    <row r="2" spans="2:15" x14ac:dyDescent="0.2">
      <c r="B2" t="s">
        <v>15</v>
      </c>
      <c r="C2">
        <v>2900</v>
      </c>
      <c r="D2">
        <v>2898</v>
      </c>
      <c r="E2">
        <v>2897</v>
      </c>
      <c r="F2">
        <v>2896</v>
      </c>
      <c r="G2">
        <v>2895</v>
      </c>
      <c r="H2">
        <v>2876</v>
      </c>
      <c r="I2">
        <v>2725</v>
      </c>
    </row>
    <row r="3" spans="2:15" x14ac:dyDescent="0.2">
      <c r="B3" t="s">
        <v>60</v>
      </c>
      <c r="C3">
        <f>D3*0.9</f>
        <v>518237.10000000003</v>
      </c>
      <c r="D3">
        <v>575819</v>
      </c>
      <c r="E3" s="4">
        <v>555253</v>
      </c>
      <c r="F3" s="4">
        <v>535835</v>
      </c>
      <c r="G3" s="4">
        <v>482009</v>
      </c>
      <c r="H3" s="4">
        <v>461440</v>
      </c>
      <c r="I3" s="4">
        <v>438657</v>
      </c>
      <c r="J3" s="4"/>
      <c r="K3" s="4"/>
      <c r="L3" s="4"/>
      <c r="M3" s="4"/>
      <c r="N3" s="4"/>
      <c r="O3" s="4"/>
    </row>
    <row r="4" spans="2:15" x14ac:dyDescent="0.2">
      <c r="B4" t="s">
        <v>52</v>
      </c>
      <c r="D4">
        <f>(D3-E3)/E3*100</f>
        <v>3.7038971423837421</v>
      </c>
      <c r="E4">
        <f>(E3-F3)/F3*100</f>
        <v>3.6238767531049669</v>
      </c>
      <c r="F4">
        <f>(F3-G3)/G3*100</f>
        <v>11.167011404351371</v>
      </c>
      <c r="G4">
        <f>(G3-H3)/H3*100</f>
        <v>4.4575676144244101</v>
      </c>
      <c r="H4">
        <f>(H3-I3)/I3*100</f>
        <v>5.1938074623224981</v>
      </c>
      <c r="K4">
        <f>MEDIAN(E4:H4)</f>
        <v>4.8256875383734545</v>
      </c>
      <c r="L4">
        <f>AVERAGE(E4:H4)</f>
        <v>6.1105658085508114</v>
      </c>
    </row>
    <row r="5" spans="2:15" x14ac:dyDescent="0.2">
      <c r="B5" t="s">
        <v>61</v>
      </c>
      <c r="C5">
        <f>C3/C2</f>
        <v>178.70244827586208</v>
      </c>
      <c r="D5">
        <v>198.69530710835059</v>
      </c>
      <c r="E5">
        <v>191.66482568173973</v>
      </c>
      <c r="F5">
        <v>185.02589779005524</v>
      </c>
      <c r="G5">
        <v>166.49706390328151</v>
      </c>
      <c r="H5">
        <v>160.4450625869263</v>
      </c>
      <c r="I5">
        <v>160.97504587155964</v>
      </c>
    </row>
    <row r="6" spans="2:15" x14ac:dyDescent="0.2">
      <c r="B6" t="s">
        <v>52</v>
      </c>
      <c r="D6">
        <f>(D5-E5)/E5*100</f>
        <v>3.6681124987873397</v>
      </c>
      <c r="E6">
        <f>(E5-F5)/F5*100</f>
        <v>3.5881073790100091</v>
      </c>
      <c r="F6">
        <f>(F5-G5)/G5*100</f>
        <v>11.128625005385778</v>
      </c>
      <c r="G6">
        <f>(G5-H5)/H5*100</f>
        <v>3.7720084487338768</v>
      </c>
      <c r="H6">
        <f>(H5-I5)/I5*100</f>
        <v>-0.32923319373129062</v>
      </c>
    </row>
    <row r="8" spans="2:15" x14ac:dyDescent="0.2">
      <c r="B8" t="s">
        <v>63</v>
      </c>
      <c r="C8">
        <f>C5*K10</f>
        <v>119.31094830991283</v>
      </c>
      <c r="D8">
        <v>137.64699999999999</v>
      </c>
      <c r="E8">
        <v>128.453</v>
      </c>
      <c r="F8">
        <v>123.062</v>
      </c>
      <c r="G8">
        <v>106.824</v>
      </c>
      <c r="H8">
        <v>115.015</v>
      </c>
      <c r="I8">
        <v>98.257999999999996</v>
      </c>
    </row>
    <row r="9" spans="2:15" x14ac:dyDescent="0.2">
      <c r="B9" t="s">
        <v>62</v>
      </c>
      <c r="C9">
        <f>C5*0.48</f>
        <v>85.777175172413791</v>
      </c>
      <c r="D9">
        <v>102.751</v>
      </c>
      <c r="E9">
        <v>92.408000000000001</v>
      </c>
      <c r="F9">
        <v>87.016999999999996</v>
      </c>
      <c r="G9">
        <v>67.674999999999997</v>
      </c>
      <c r="H9">
        <v>77.944000000000003</v>
      </c>
      <c r="I9">
        <v>73.353999999999999</v>
      </c>
    </row>
    <row r="10" spans="2:15" x14ac:dyDescent="0.2">
      <c r="B10" t="s">
        <v>64</v>
      </c>
      <c r="D10">
        <f t="shared" ref="D10:I10" si="0">D8/D5</f>
        <v>0.69275415712229016</v>
      </c>
      <c r="E10">
        <f t="shared" si="0"/>
        <v>0.67019600254298495</v>
      </c>
      <c r="F10">
        <f t="shared" si="0"/>
        <v>0.66510689298011516</v>
      </c>
      <c r="G10">
        <f t="shared" si="0"/>
        <v>0.64159689964295274</v>
      </c>
      <c r="H10">
        <f t="shared" si="0"/>
        <v>0.71684973127600549</v>
      </c>
      <c r="I10">
        <f t="shared" si="0"/>
        <v>0.61039274421700773</v>
      </c>
      <c r="K10">
        <f>MEDIAN(D10:I10)</f>
        <v>0.66765144776155005</v>
      </c>
      <c r="L10">
        <f>AVERAGE(D10:I10)</f>
        <v>0.66614940463022598</v>
      </c>
    </row>
    <row r="11" spans="2:15" x14ac:dyDescent="0.2">
      <c r="B11" t="s">
        <v>65</v>
      </c>
      <c r="D11">
        <f t="shared" ref="D11:I11" si="1">D9/D5</f>
        <v>0.51712846918910282</v>
      </c>
      <c r="E11">
        <f t="shared" si="1"/>
        <v>0.48213332660967162</v>
      </c>
      <c r="F11">
        <f t="shared" si="1"/>
        <v>0.47029632629447499</v>
      </c>
      <c r="G11">
        <f t="shared" si="1"/>
        <v>0.40646362412320103</v>
      </c>
      <c r="H11">
        <f t="shared" si="1"/>
        <v>0.48579868238557555</v>
      </c>
      <c r="I11">
        <f t="shared" si="1"/>
        <v>0.45568553562350533</v>
      </c>
      <c r="K11">
        <f>MEDIAN(D11:I11)</f>
        <v>0.4762148264520733</v>
      </c>
      <c r="L11">
        <f>AVERAGE(D11:I11)</f>
        <v>0.46958432737092193</v>
      </c>
    </row>
    <row r="12" spans="2:15" x14ac:dyDescent="0.2">
      <c r="F12" s="19"/>
      <c r="G12" s="19"/>
    </row>
    <row r="13" spans="2:15" x14ac:dyDescent="0.2">
      <c r="F13" s="19"/>
      <c r="G13" s="19"/>
    </row>
    <row r="14" spans="2:15" x14ac:dyDescent="0.2">
      <c r="C14">
        <v>198.69530710835059</v>
      </c>
      <c r="D14">
        <v>137.64699999999999</v>
      </c>
      <c r="E14">
        <v>102.751</v>
      </c>
      <c r="F14" s="19"/>
      <c r="G14" s="19"/>
    </row>
    <row r="15" spans="2:15" x14ac:dyDescent="0.2">
      <c r="C15">
        <v>191.66482568173973</v>
      </c>
      <c r="D15">
        <v>128.453</v>
      </c>
      <c r="E15">
        <v>92.408000000000001</v>
      </c>
      <c r="F15" s="19"/>
      <c r="G15" s="19"/>
    </row>
    <row r="16" spans="2:15" x14ac:dyDescent="0.2">
      <c r="C16">
        <v>185.02589779005524</v>
      </c>
      <c r="D16">
        <v>123.062</v>
      </c>
      <c r="E16">
        <v>87.016999999999996</v>
      </c>
      <c r="F16" s="19"/>
      <c r="G16" s="19"/>
    </row>
    <row r="17" spans="1:7" x14ac:dyDescent="0.2">
      <c r="C17">
        <v>166.49706390328151</v>
      </c>
      <c r="D17">
        <v>106.824</v>
      </c>
      <c r="E17">
        <v>67.674999999999997</v>
      </c>
      <c r="F17" s="19"/>
      <c r="G17" s="19"/>
    </row>
    <row r="18" spans="1:7" x14ac:dyDescent="0.2">
      <c r="C18">
        <v>160.4450625869263</v>
      </c>
      <c r="D18">
        <v>115.015</v>
      </c>
      <c r="E18">
        <v>77.944000000000003</v>
      </c>
    </row>
    <row r="19" spans="1:7" x14ac:dyDescent="0.2">
      <c r="C19">
        <v>160.97504587155964</v>
      </c>
      <c r="D19">
        <v>98.257999999999996</v>
      </c>
      <c r="E19">
        <v>73.353999999999999</v>
      </c>
    </row>
    <row r="21" spans="1:7" x14ac:dyDescent="0.2">
      <c r="A21" t="s">
        <v>20</v>
      </c>
    </row>
    <row r="22" spans="1:7" ht="17" thickBot="1" x14ac:dyDescent="0.25"/>
    <row r="23" spans="1:7" x14ac:dyDescent="0.2">
      <c r="A23" s="12" t="s">
        <v>21</v>
      </c>
      <c r="B23" s="12"/>
    </row>
    <row r="24" spans="1:7" x14ac:dyDescent="0.2">
      <c r="A24" s="9" t="s">
        <v>22</v>
      </c>
      <c r="B24" s="9">
        <v>0.91524154975442362</v>
      </c>
    </row>
    <row r="25" spans="1:7" x14ac:dyDescent="0.2">
      <c r="A25" s="9" t="s">
        <v>23</v>
      </c>
      <c r="B25" s="9">
        <v>0.83766709439687903</v>
      </c>
    </row>
    <row r="26" spans="1:7" x14ac:dyDescent="0.2">
      <c r="A26" s="9" t="s">
        <v>24</v>
      </c>
      <c r="B26" s="9">
        <v>0.79708386799609876</v>
      </c>
    </row>
    <row r="27" spans="1:7" x14ac:dyDescent="0.2">
      <c r="A27" s="9" t="s">
        <v>25</v>
      </c>
      <c r="B27" s="9">
        <v>6.5097287662004319</v>
      </c>
    </row>
    <row r="28" spans="1:7" ht="17" thickBot="1" x14ac:dyDescent="0.25">
      <c r="A28" s="10" t="s">
        <v>26</v>
      </c>
      <c r="B28" s="10">
        <v>6</v>
      </c>
    </row>
    <row r="30" spans="1:7" ht="17" thickBot="1" x14ac:dyDescent="0.25">
      <c r="A30" t="s">
        <v>27</v>
      </c>
    </row>
    <row r="31" spans="1:7" x14ac:dyDescent="0.2">
      <c r="A31" s="11"/>
      <c r="B31" s="11" t="s">
        <v>32</v>
      </c>
      <c r="C31" s="11" t="s">
        <v>33</v>
      </c>
      <c r="D31" s="11" t="s">
        <v>34</v>
      </c>
      <c r="E31" s="11" t="s">
        <v>35</v>
      </c>
      <c r="F31" s="11" t="s">
        <v>36</v>
      </c>
    </row>
    <row r="32" spans="1:7" x14ac:dyDescent="0.2">
      <c r="A32" s="9" t="s">
        <v>28</v>
      </c>
      <c r="B32" s="9">
        <v>1</v>
      </c>
      <c r="C32" s="9">
        <v>874.68297239534377</v>
      </c>
      <c r="D32" s="9">
        <v>874.68297239534377</v>
      </c>
      <c r="E32" s="9">
        <v>20.640722009740795</v>
      </c>
      <c r="F32" s="9">
        <v>1.0471540195406928E-2</v>
      </c>
    </row>
    <row r="33" spans="1:9" x14ac:dyDescent="0.2">
      <c r="A33" s="9" t="s">
        <v>29</v>
      </c>
      <c r="B33" s="9">
        <v>4</v>
      </c>
      <c r="C33" s="9">
        <v>169.50627443798959</v>
      </c>
      <c r="D33" s="9">
        <v>42.376568609497397</v>
      </c>
      <c r="E33" s="9"/>
      <c r="F33" s="9"/>
    </row>
    <row r="34" spans="1:9" ht="17" thickBot="1" x14ac:dyDescent="0.25">
      <c r="A34" s="10" t="s">
        <v>30</v>
      </c>
      <c r="B34" s="10">
        <v>5</v>
      </c>
      <c r="C34" s="10">
        <v>1044.1892468333333</v>
      </c>
      <c r="D34" s="10"/>
      <c r="E34" s="10"/>
      <c r="F34" s="10"/>
    </row>
    <row r="35" spans="1:9" ht="17" thickBot="1" x14ac:dyDescent="0.25"/>
    <row r="36" spans="1:9" x14ac:dyDescent="0.2">
      <c r="A36" s="11"/>
      <c r="B36" s="11" t="s">
        <v>37</v>
      </c>
      <c r="C36" s="11" t="s">
        <v>25</v>
      </c>
      <c r="D36" s="11" t="s">
        <v>38</v>
      </c>
      <c r="E36" s="11" t="s">
        <v>39</v>
      </c>
      <c r="F36" s="11" t="s">
        <v>40</v>
      </c>
      <c r="G36" s="11" t="s">
        <v>41</v>
      </c>
      <c r="H36" s="11" t="s">
        <v>42</v>
      </c>
      <c r="I36" s="11" t="s">
        <v>43</v>
      </c>
    </row>
    <row r="37" spans="1:9" x14ac:dyDescent="0.2">
      <c r="A37" s="9" t="s">
        <v>31</v>
      </c>
      <c r="B37" s="9">
        <v>-22.317074962474592</v>
      </c>
      <c r="C37" s="9">
        <v>31.045178831015541</v>
      </c>
      <c r="D37" s="9">
        <v>-0.71885799350522095</v>
      </c>
      <c r="E37" s="9">
        <v>0.51198344102066684</v>
      </c>
      <c r="F37" s="9">
        <v>-108.51230976783785</v>
      </c>
      <c r="G37" s="9">
        <v>63.878159842888664</v>
      </c>
      <c r="H37" s="9">
        <v>-108.51230976783785</v>
      </c>
      <c r="I37" s="9">
        <v>63.878159842888664</v>
      </c>
    </row>
    <row r="38" spans="1:9" ht="17" thickBot="1" x14ac:dyDescent="0.25">
      <c r="A38" s="10" t="s">
        <v>44</v>
      </c>
      <c r="B38" s="10">
        <v>0.79296427156620586</v>
      </c>
      <c r="C38" s="10">
        <v>0.17453847514953641</v>
      </c>
      <c r="D38" s="10">
        <v>4.5432061377116488</v>
      </c>
      <c r="E38" s="10">
        <v>1.0471540195406928E-2</v>
      </c>
      <c r="F38" s="10">
        <v>0.30836777656858877</v>
      </c>
      <c r="G38" s="10">
        <v>1.2775607665638229</v>
      </c>
      <c r="H38" s="10">
        <v>0.30836777656858877</v>
      </c>
      <c r="I38" s="10">
        <v>1.2775607665638229</v>
      </c>
    </row>
    <row r="42" spans="1:9" x14ac:dyDescent="0.2">
      <c r="A42" t="s">
        <v>45</v>
      </c>
      <c r="F42" t="s">
        <v>49</v>
      </c>
    </row>
    <row r="43" spans="1:9" ht="17" thickBot="1" x14ac:dyDescent="0.25"/>
    <row r="44" spans="1:9" x14ac:dyDescent="0.2">
      <c r="A44" s="11" t="s">
        <v>46</v>
      </c>
      <c r="B44" s="11" t="s">
        <v>47</v>
      </c>
      <c r="C44" s="11" t="s">
        <v>48</v>
      </c>
      <c r="D44" s="11" t="s">
        <v>59</v>
      </c>
      <c r="F44" s="11" t="s">
        <v>50</v>
      </c>
      <c r="G44" s="11" t="s">
        <v>51</v>
      </c>
    </row>
    <row r="45" spans="1:9" x14ac:dyDescent="0.2">
      <c r="A45" s="9">
        <v>1</v>
      </c>
      <c r="B45" s="9">
        <v>135.2412045023222</v>
      </c>
      <c r="C45" s="9">
        <v>2.4057954976777864</v>
      </c>
      <c r="D45" s="9">
        <v>0.41319096893113433</v>
      </c>
      <c r="F45" s="9">
        <v>8.3333333333333339</v>
      </c>
      <c r="G45" s="9">
        <v>98.257999999999996</v>
      </c>
    </row>
    <row r="46" spans="1:9" x14ac:dyDescent="0.2">
      <c r="A46" s="9">
        <v>2</v>
      </c>
      <c r="B46" s="9">
        <v>129.66628391910996</v>
      </c>
      <c r="C46" s="9">
        <v>-1.2132839191099549</v>
      </c>
      <c r="D46" s="9">
        <v>-0.20837929018052759</v>
      </c>
      <c r="F46" s="9">
        <v>25</v>
      </c>
      <c r="G46" s="9">
        <v>106.824</v>
      </c>
    </row>
    <row r="47" spans="1:9" x14ac:dyDescent="0.2">
      <c r="A47" s="9">
        <v>3</v>
      </c>
      <c r="B47" s="9">
        <v>124.40185129949982</v>
      </c>
      <c r="C47" s="9">
        <v>-1.3398512994998271</v>
      </c>
      <c r="D47" s="9">
        <v>-0.23011700587117809</v>
      </c>
      <c r="F47" s="9">
        <v>41.666666666666671</v>
      </c>
      <c r="G47" s="9">
        <v>115.015</v>
      </c>
    </row>
    <row r="48" spans="1:9" x14ac:dyDescent="0.2">
      <c r="A48" s="9">
        <v>4</v>
      </c>
      <c r="B48" s="9">
        <v>109.70914803350307</v>
      </c>
      <c r="C48" s="9">
        <v>-2.8851480335030715</v>
      </c>
      <c r="D48" s="9">
        <v>-0.49551888871003025</v>
      </c>
      <c r="F48" s="9">
        <v>58.333333333333336</v>
      </c>
      <c r="G48" s="9">
        <v>123.062</v>
      </c>
    </row>
    <row r="49" spans="1:7" x14ac:dyDescent="0.2">
      <c r="A49" s="9">
        <v>5</v>
      </c>
      <c r="B49" s="9">
        <v>104.91012721816173</v>
      </c>
      <c r="C49" s="9">
        <v>10.104872781838267</v>
      </c>
      <c r="D49" s="9">
        <v>1.7354933865674729</v>
      </c>
      <c r="F49" s="9">
        <v>75</v>
      </c>
      <c r="G49" s="9">
        <v>128.453</v>
      </c>
    </row>
    <row r="50" spans="1:7" ht="17" thickBot="1" x14ac:dyDescent="0.25">
      <c r="A50" s="10">
        <v>6</v>
      </c>
      <c r="B50" s="10">
        <v>105.33038502740328</v>
      </c>
      <c r="C50" s="10">
        <v>-7.0723850274032856</v>
      </c>
      <c r="D50" s="10">
        <v>-1.214669170736886</v>
      </c>
      <c r="F50" s="10">
        <v>91.666666666666671</v>
      </c>
      <c r="G50" s="10">
        <v>137.64699999999999</v>
      </c>
    </row>
    <row r="54" spans="1:7" x14ac:dyDescent="0.2">
      <c r="A54" t="s">
        <v>20</v>
      </c>
    </row>
    <row r="55" spans="1:7" ht="17" thickBot="1" x14ac:dyDescent="0.25"/>
    <row r="56" spans="1:7" x14ac:dyDescent="0.2">
      <c r="A56" s="12" t="s">
        <v>21</v>
      </c>
      <c r="B56" s="12"/>
    </row>
    <row r="57" spans="1:7" x14ac:dyDescent="0.2">
      <c r="A57" s="9" t="s">
        <v>22</v>
      </c>
      <c r="B57" s="9">
        <v>0.91898614642600007</v>
      </c>
    </row>
    <row r="58" spans="1:7" x14ac:dyDescent="0.2">
      <c r="A58" s="9" t="s">
        <v>23</v>
      </c>
      <c r="B58" s="9">
        <v>0.84453553732290965</v>
      </c>
    </row>
    <row r="59" spans="1:7" x14ac:dyDescent="0.2">
      <c r="A59" s="9" t="s">
        <v>24</v>
      </c>
      <c r="B59" s="9">
        <v>0.80566942165363709</v>
      </c>
    </row>
    <row r="60" spans="1:7" x14ac:dyDescent="0.2">
      <c r="A60" s="9" t="s">
        <v>25</v>
      </c>
      <c r="B60" s="9">
        <v>5.7360704289576896</v>
      </c>
    </row>
    <row r="61" spans="1:7" ht="17" thickBot="1" x14ac:dyDescent="0.25">
      <c r="A61" s="10" t="s">
        <v>26</v>
      </c>
      <c r="B61" s="10">
        <v>6</v>
      </c>
    </row>
    <row r="63" spans="1:7" ht="17" thickBot="1" x14ac:dyDescent="0.25">
      <c r="A63" t="s">
        <v>27</v>
      </c>
    </row>
    <row r="64" spans="1:7" x14ac:dyDescent="0.2">
      <c r="A64" s="11"/>
      <c r="B64" s="11" t="s">
        <v>32</v>
      </c>
      <c r="C64" s="11" t="s">
        <v>33</v>
      </c>
      <c r="D64" s="11" t="s">
        <v>34</v>
      </c>
      <c r="E64" s="11" t="s">
        <v>35</v>
      </c>
      <c r="F64" s="11" t="s">
        <v>36</v>
      </c>
    </row>
    <row r="65" spans="1:9" x14ac:dyDescent="0.2">
      <c r="A65" s="9" t="s">
        <v>28</v>
      </c>
      <c r="B65" s="9">
        <v>1</v>
      </c>
      <c r="C65" s="9">
        <v>714.950114969482</v>
      </c>
      <c r="D65" s="9">
        <v>714.950114969482</v>
      </c>
      <c r="E65" s="9">
        <v>21.729352748018425</v>
      </c>
      <c r="F65" s="9">
        <v>9.5790098430959241E-3</v>
      </c>
    </row>
    <row r="66" spans="1:9" x14ac:dyDescent="0.2">
      <c r="A66" s="9" t="s">
        <v>29</v>
      </c>
      <c r="B66" s="9">
        <v>4</v>
      </c>
      <c r="C66" s="9">
        <v>131.6100158638514</v>
      </c>
      <c r="D66" s="9">
        <v>32.90250396596285</v>
      </c>
      <c r="E66" s="9"/>
      <c r="F66" s="9"/>
    </row>
    <row r="67" spans="1:9" ht="17" thickBot="1" x14ac:dyDescent="0.25">
      <c r="A67" s="10" t="s">
        <v>30</v>
      </c>
      <c r="B67" s="10">
        <v>5</v>
      </c>
      <c r="C67" s="10">
        <v>846.56013083333346</v>
      </c>
      <c r="D67" s="10"/>
      <c r="E67" s="10"/>
      <c r="F67" s="10"/>
    </row>
    <row r="68" spans="1:9" ht="17" thickBot="1" x14ac:dyDescent="0.25"/>
    <row r="69" spans="1:9" x14ac:dyDescent="0.2">
      <c r="A69" s="11"/>
      <c r="B69" s="11" t="s">
        <v>37</v>
      </c>
      <c r="C69" s="11" t="s">
        <v>25</v>
      </c>
      <c r="D69" s="11" t="s">
        <v>38</v>
      </c>
      <c r="E69" s="11" t="s">
        <v>39</v>
      </c>
      <c r="F69" s="11" t="s">
        <v>40</v>
      </c>
      <c r="G69" s="11" t="s">
        <v>41</v>
      </c>
      <c r="H69" s="11" t="s">
        <v>42</v>
      </c>
      <c r="I69" s="11" t="s">
        <v>43</v>
      </c>
    </row>
    <row r="70" spans="1:9" x14ac:dyDescent="0.2">
      <c r="A70" s="9" t="s">
        <v>31</v>
      </c>
      <c r="B70" s="9">
        <v>-43.524393260034302</v>
      </c>
      <c r="C70" s="9">
        <v>27.355568664995367</v>
      </c>
      <c r="D70" s="9">
        <v>-1.5910615419129936</v>
      </c>
      <c r="E70" s="9">
        <v>0.18680610752516502</v>
      </c>
      <c r="F70" s="9">
        <v>-119.47562797986282</v>
      </c>
      <c r="G70" s="9">
        <v>32.426841459794218</v>
      </c>
      <c r="H70" s="9">
        <v>-119.47562797986282</v>
      </c>
      <c r="I70" s="9">
        <v>32.426841459794218</v>
      </c>
    </row>
    <row r="71" spans="1:9" ht="17" thickBot="1" x14ac:dyDescent="0.25">
      <c r="A71" s="10" t="s">
        <v>44</v>
      </c>
      <c r="B71" s="10">
        <v>0.71691250195721368</v>
      </c>
      <c r="C71" s="10">
        <v>0.15379519208524223</v>
      </c>
      <c r="D71" s="10">
        <v>4.6614753831827143</v>
      </c>
      <c r="E71" s="10">
        <v>9.5790098430959189E-3</v>
      </c>
      <c r="F71" s="10">
        <v>0.28990859368918848</v>
      </c>
      <c r="G71" s="10">
        <v>1.1439164102252388</v>
      </c>
      <c r="H71" s="10">
        <v>0.28990859368918848</v>
      </c>
      <c r="I71" s="10">
        <v>1.1439164102252388</v>
      </c>
    </row>
    <row r="75" spans="1:9" x14ac:dyDescent="0.2">
      <c r="A75" t="s">
        <v>45</v>
      </c>
      <c r="F75" t="s">
        <v>49</v>
      </c>
    </row>
    <row r="76" spans="1:9" ht="17" thickBot="1" x14ac:dyDescent="0.25"/>
    <row r="77" spans="1:9" x14ac:dyDescent="0.2">
      <c r="A77" s="11" t="s">
        <v>46</v>
      </c>
      <c r="B77" s="11" t="s">
        <v>47</v>
      </c>
      <c r="C77" s="11" t="s">
        <v>48</v>
      </c>
      <c r="D77" s="11" t="s">
        <v>59</v>
      </c>
      <c r="F77" s="11" t="s">
        <v>50</v>
      </c>
      <c r="G77" s="11" t="s">
        <v>51</v>
      </c>
    </row>
    <row r="78" spans="1:9" x14ac:dyDescent="0.2">
      <c r="A78" s="9">
        <v>1</v>
      </c>
      <c r="B78" s="9">
        <v>98.922756486170258</v>
      </c>
      <c r="C78" s="9">
        <v>3.8282435138297473</v>
      </c>
      <c r="D78" s="9">
        <v>0.74617395631432815</v>
      </c>
      <c r="F78" s="9">
        <v>8.3333333333333339</v>
      </c>
      <c r="G78" s="9">
        <v>67.674999999999997</v>
      </c>
    </row>
    <row r="79" spans="1:9" x14ac:dyDescent="0.2">
      <c r="A79" s="9">
        <v>2</v>
      </c>
      <c r="B79" s="9">
        <v>93.882516456654955</v>
      </c>
      <c r="C79" s="9">
        <v>-1.4745164566549533</v>
      </c>
      <c r="D79" s="9">
        <v>-0.28740224443354001</v>
      </c>
      <c r="F79" s="9">
        <v>25</v>
      </c>
      <c r="G79" s="9">
        <v>73.353999999999999</v>
      </c>
    </row>
    <row r="80" spans="1:9" x14ac:dyDescent="0.2">
      <c r="A80" s="9">
        <v>3</v>
      </c>
      <c r="B80" s="9">
        <v>89.122986051513905</v>
      </c>
      <c r="C80" s="9">
        <v>-2.1059860515139093</v>
      </c>
      <c r="D80" s="9">
        <v>-0.41048379976979965</v>
      </c>
      <c r="F80" s="9">
        <v>41.666666666666671</v>
      </c>
      <c r="G80" s="9">
        <v>77.944000000000003</v>
      </c>
    </row>
    <row r="81" spans="1:7" x14ac:dyDescent="0.2">
      <c r="A81" s="9">
        <v>4</v>
      </c>
      <c r="B81" s="9">
        <v>75.839433391397336</v>
      </c>
      <c r="C81" s="9">
        <v>-8.1644333913973384</v>
      </c>
      <c r="D81" s="9">
        <v>-1.5913531996373134</v>
      </c>
      <c r="F81" s="9">
        <v>58.333333333333336</v>
      </c>
      <c r="G81" s="9">
        <v>87.016999999999996</v>
      </c>
    </row>
    <row r="82" spans="1:7" x14ac:dyDescent="0.2">
      <c r="A82" s="9">
        <v>5</v>
      </c>
      <c r="B82" s="9">
        <v>71.500677985840767</v>
      </c>
      <c r="C82" s="9">
        <v>6.4433220141592358</v>
      </c>
      <c r="D82" s="9">
        <v>1.2558864298323267</v>
      </c>
      <c r="F82" s="9">
        <v>75</v>
      </c>
      <c r="G82" s="9">
        <v>92.408000000000001</v>
      </c>
    </row>
    <row r="83" spans="1:7" ht="17" thickBot="1" x14ac:dyDescent="0.25">
      <c r="A83" s="10">
        <v>6</v>
      </c>
      <c r="B83" s="10">
        <v>71.880629628422767</v>
      </c>
      <c r="C83" s="10">
        <v>1.4733703715772322</v>
      </c>
      <c r="D83" s="10">
        <v>0.28717885769400092</v>
      </c>
      <c r="F83" s="10">
        <v>91.666666666666671</v>
      </c>
      <c r="G83" s="10">
        <v>102.751</v>
      </c>
    </row>
  </sheetData>
  <sortState xmlns:xlrd2="http://schemas.microsoft.com/office/spreadsheetml/2017/richdata2" ref="G78:G83">
    <sortCondition ref="G78"/>
  </sortState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509FD-CC92-004F-8FEA-E3D9284EB809}">
  <dimension ref="A1:O87"/>
  <sheetViews>
    <sheetView workbookViewId="0">
      <selection activeCell="H17" sqref="H17"/>
    </sheetView>
  </sheetViews>
  <sheetFormatPr baseColWidth="10" defaultRowHeight="16" x14ac:dyDescent="0.2"/>
  <cols>
    <col min="2" max="2" width="11.83203125" bestFit="1" customWidth="1"/>
    <col min="9" max="9" width="10.83203125" style="21"/>
  </cols>
  <sheetData>
    <row r="1" spans="2:15" x14ac:dyDescent="0.2">
      <c r="C1" t="s">
        <v>56</v>
      </c>
      <c r="D1">
        <v>2019</v>
      </c>
      <c r="E1">
        <v>2018</v>
      </c>
      <c r="F1">
        <v>2017</v>
      </c>
      <c r="G1">
        <v>2016</v>
      </c>
      <c r="H1">
        <v>2015</v>
      </c>
      <c r="I1" s="21">
        <v>2014</v>
      </c>
      <c r="J1">
        <v>2013</v>
      </c>
    </row>
    <row r="2" spans="2:15" x14ac:dyDescent="0.2">
      <c r="B2" t="s">
        <v>16</v>
      </c>
      <c r="C2">
        <f>D2*1.15</f>
        <v>76.72630375</v>
      </c>
      <c r="D2">
        <v>66.718525</v>
      </c>
      <c r="E2">
        <v>56.196360000000006</v>
      </c>
      <c r="F2">
        <v>47.18544</v>
      </c>
      <c r="G2">
        <v>33.660352000000003</v>
      </c>
      <c r="H2">
        <v>27.068580000000001</v>
      </c>
      <c r="I2" s="21">
        <v>21.47</v>
      </c>
      <c r="J2">
        <v>17.489999999999998</v>
      </c>
      <c r="K2" s="20"/>
    </row>
    <row r="3" spans="2:15" x14ac:dyDescent="0.2">
      <c r="B3" t="s">
        <v>52</v>
      </c>
      <c r="D3">
        <f t="shared" ref="D3:I3" si="0">(D2-E2)/E2</f>
        <v>0.18723926247180409</v>
      </c>
      <c r="E3">
        <f t="shared" si="0"/>
        <v>0.19096823087799977</v>
      </c>
      <c r="F3">
        <f t="shared" si="0"/>
        <v>0.40181065248515507</v>
      </c>
      <c r="G3">
        <f t="shared" si="0"/>
        <v>0.24352115995741197</v>
      </c>
      <c r="H3">
        <f t="shared" si="0"/>
        <v>0.26076292501164428</v>
      </c>
      <c r="I3">
        <f t="shared" si="0"/>
        <v>0.22755860491709554</v>
      </c>
      <c r="M3" s="4"/>
      <c r="N3" s="4"/>
      <c r="O3" s="4"/>
    </row>
    <row r="8" spans="2:15" x14ac:dyDescent="0.2">
      <c r="B8" t="s">
        <v>63</v>
      </c>
      <c r="C8">
        <f>C2*L10</f>
        <v>26.847626012006863</v>
      </c>
      <c r="D8">
        <v>21.799999</v>
      </c>
      <c r="E8">
        <v>26.75</v>
      </c>
      <c r="F8">
        <v>16.700001</v>
      </c>
      <c r="G8">
        <v>8.76</v>
      </c>
      <c r="H8">
        <v>8.57</v>
      </c>
      <c r="I8" s="21">
        <v>8.49</v>
      </c>
      <c r="J8">
        <v>6.12</v>
      </c>
    </row>
    <row r="9" spans="2:15" x14ac:dyDescent="0.2">
      <c r="B9" t="s">
        <v>62</v>
      </c>
      <c r="C9">
        <f>C2*L11</f>
        <v>13.494205830051925</v>
      </c>
      <c r="D9">
        <v>9.9</v>
      </c>
      <c r="E9">
        <v>10.48</v>
      </c>
      <c r="F9">
        <v>8.0500000000000007</v>
      </c>
      <c r="G9">
        <v>5.92</v>
      </c>
      <c r="H9">
        <v>5.81</v>
      </c>
      <c r="I9" s="21">
        <v>5.32</v>
      </c>
      <c r="J9">
        <v>2.2000000000000002</v>
      </c>
    </row>
    <row r="10" spans="2:15" x14ac:dyDescent="0.2">
      <c r="B10" t="s">
        <v>72</v>
      </c>
      <c r="D10">
        <f>D8/D2</f>
        <v>0.32674581759713661</v>
      </c>
      <c r="E10">
        <f t="shared" ref="E10:J10" si="1">E8/E2</f>
        <v>0.47600947819396128</v>
      </c>
      <c r="F10">
        <f t="shared" si="1"/>
        <v>0.35392275668087447</v>
      </c>
      <c r="G10">
        <f t="shared" si="1"/>
        <v>0.26024683283169464</v>
      </c>
      <c r="H10">
        <f t="shared" si="1"/>
        <v>0.31660323519002476</v>
      </c>
      <c r="I10">
        <f t="shared" si="1"/>
        <v>0.39543549138332562</v>
      </c>
      <c r="J10">
        <f t="shared" si="1"/>
        <v>0.34991423670668959</v>
      </c>
      <c r="L10">
        <f>MEDIAN(D10:J10)</f>
        <v>0.34991423670668959</v>
      </c>
    </row>
    <row r="11" spans="2:15" x14ac:dyDescent="0.2">
      <c r="B11" t="s">
        <v>73</v>
      </c>
      <c r="D11">
        <f>D9/D2</f>
        <v>0.14838457534845084</v>
      </c>
      <c r="E11">
        <f t="shared" ref="E11:J11" si="2">E9/E2</f>
        <v>0.18648894697094259</v>
      </c>
      <c r="F11">
        <f t="shared" si="2"/>
        <v>0.17060347429206976</v>
      </c>
      <c r="G11">
        <f t="shared" si="2"/>
        <v>0.17587457195931877</v>
      </c>
      <c r="H11">
        <f t="shared" si="2"/>
        <v>0.21463999958623611</v>
      </c>
      <c r="I11">
        <f t="shared" si="2"/>
        <v>0.24778761061946905</v>
      </c>
      <c r="J11">
        <f t="shared" si="2"/>
        <v>0.12578616352201261</v>
      </c>
      <c r="L11">
        <f>MEDIAN(D11:J11)</f>
        <v>0.17587457195931877</v>
      </c>
    </row>
    <row r="12" spans="2:15" x14ac:dyDescent="0.2">
      <c r="F12" s="19"/>
      <c r="G12" s="19"/>
    </row>
    <row r="13" spans="2:15" x14ac:dyDescent="0.2">
      <c r="F13" s="19"/>
      <c r="G13" s="19"/>
    </row>
    <row r="14" spans="2:15" x14ac:dyDescent="0.2">
      <c r="C14">
        <v>66.718525</v>
      </c>
      <c r="D14">
        <v>21.799999</v>
      </c>
      <c r="E14">
        <v>9.9</v>
      </c>
      <c r="F14" s="19"/>
      <c r="G14" s="19"/>
    </row>
    <row r="15" spans="2:15" x14ac:dyDescent="0.2">
      <c r="C15">
        <v>56.196360000000006</v>
      </c>
      <c r="D15">
        <v>26.75</v>
      </c>
      <c r="E15">
        <v>10.48</v>
      </c>
      <c r="F15" s="19"/>
      <c r="G15" s="19"/>
    </row>
    <row r="16" spans="2:15" x14ac:dyDescent="0.2">
      <c r="C16">
        <v>47.18544</v>
      </c>
      <c r="D16">
        <v>16.700001</v>
      </c>
      <c r="E16">
        <v>8.0500000000000007</v>
      </c>
      <c r="F16" s="19"/>
      <c r="G16" s="19"/>
    </row>
    <row r="17" spans="1:9" x14ac:dyDescent="0.2">
      <c r="C17">
        <v>33.660352000000003</v>
      </c>
      <c r="D17">
        <v>8.76</v>
      </c>
      <c r="E17">
        <v>5.92</v>
      </c>
      <c r="F17" s="19"/>
      <c r="G17" s="19"/>
    </row>
    <row r="18" spans="1:9" x14ac:dyDescent="0.2">
      <c r="C18">
        <v>27.068580000000001</v>
      </c>
      <c r="D18">
        <v>8.57</v>
      </c>
      <c r="E18">
        <v>5.81</v>
      </c>
    </row>
    <row r="19" spans="1:9" x14ac:dyDescent="0.2">
      <c r="C19">
        <v>21.47</v>
      </c>
      <c r="D19" s="21">
        <v>8.49</v>
      </c>
      <c r="E19" s="21">
        <v>5.32</v>
      </c>
    </row>
    <row r="20" spans="1:9" x14ac:dyDescent="0.2">
      <c r="C20">
        <v>17.489999999999998</v>
      </c>
      <c r="D20">
        <v>6.12</v>
      </c>
      <c r="E20">
        <v>2.2000000000000002</v>
      </c>
    </row>
    <row r="22" spans="1:9" x14ac:dyDescent="0.2">
      <c r="A22" t="s">
        <v>20</v>
      </c>
      <c r="I22"/>
    </row>
    <row r="23" spans="1:9" ht="17" thickBot="1" x14ac:dyDescent="0.25">
      <c r="I23"/>
    </row>
    <row r="24" spans="1:9" x14ac:dyDescent="0.2">
      <c r="A24" s="12" t="s">
        <v>21</v>
      </c>
      <c r="B24" s="12"/>
      <c r="I24"/>
    </row>
    <row r="25" spans="1:9" x14ac:dyDescent="0.2">
      <c r="A25" s="9" t="s">
        <v>22</v>
      </c>
      <c r="B25" s="9">
        <v>0.92001661412679403</v>
      </c>
      <c r="I25"/>
    </row>
    <row r="26" spans="1:9" x14ac:dyDescent="0.2">
      <c r="A26" s="9" t="s">
        <v>23</v>
      </c>
      <c r="B26" s="9">
        <v>0.84643057026933022</v>
      </c>
      <c r="I26"/>
    </row>
    <row r="27" spans="1:9" x14ac:dyDescent="0.2">
      <c r="A27" s="9" t="s">
        <v>24</v>
      </c>
      <c r="B27" s="9">
        <v>0.81571668432319622</v>
      </c>
      <c r="I27"/>
    </row>
    <row r="28" spans="1:9" x14ac:dyDescent="0.2">
      <c r="A28" s="9" t="s">
        <v>25</v>
      </c>
      <c r="B28" s="9">
        <v>3.416305968497078</v>
      </c>
      <c r="I28"/>
    </row>
    <row r="29" spans="1:9" ht="17" thickBot="1" x14ac:dyDescent="0.25">
      <c r="A29" s="10" t="s">
        <v>26</v>
      </c>
      <c r="B29" s="10">
        <v>7</v>
      </c>
      <c r="I29"/>
    </row>
    <row r="30" spans="1:9" x14ac:dyDescent="0.2">
      <c r="I30"/>
    </row>
    <row r="31" spans="1:9" ht="17" thickBot="1" x14ac:dyDescent="0.25">
      <c r="A31" t="s">
        <v>27</v>
      </c>
      <c r="I31"/>
    </row>
    <row r="32" spans="1:9" x14ac:dyDescent="0.2">
      <c r="A32" s="11"/>
      <c r="B32" s="11" t="s">
        <v>32</v>
      </c>
      <c r="C32" s="11" t="s">
        <v>33</v>
      </c>
      <c r="D32" s="11" t="s">
        <v>34</v>
      </c>
      <c r="E32" s="11" t="s">
        <v>35</v>
      </c>
      <c r="F32" s="11" t="s">
        <v>36</v>
      </c>
      <c r="I32"/>
    </row>
    <row r="33" spans="1:9" x14ac:dyDescent="0.2">
      <c r="A33" s="9" t="s">
        <v>28</v>
      </c>
      <c r="B33" s="9">
        <v>1</v>
      </c>
      <c r="C33" s="9">
        <v>321.64002887662963</v>
      </c>
      <c r="D33" s="9">
        <v>321.64002887662963</v>
      </c>
      <c r="E33" s="9">
        <v>27.558563307612747</v>
      </c>
      <c r="F33" s="9">
        <v>3.3272550616761658E-3</v>
      </c>
      <c r="I33"/>
    </row>
    <row r="34" spans="1:9" x14ac:dyDescent="0.2">
      <c r="A34" s="9" t="s">
        <v>29</v>
      </c>
      <c r="B34" s="9">
        <v>5</v>
      </c>
      <c r="C34" s="9">
        <v>58.355732351943786</v>
      </c>
      <c r="D34" s="9">
        <v>11.671146470388758</v>
      </c>
      <c r="E34" s="9"/>
      <c r="F34" s="9"/>
      <c r="I34"/>
    </row>
    <row r="35" spans="1:9" ht="17" thickBot="1" x14ac:dyDescent="0.25">
      <c r="A35" s="10" t="s">
        <v>30</v>
      </c>
      <c r="B35" s="10">
        <v>6</v>
      </c>
      <c r="C35" s="10">
        <v>379.99576122857343</v>
      </c>
      <c r="D35" s="10"/>
      <c r="E35" s="10"/>
      <c r="F35" s="10"/>
      <c r="I35"/>
    </row>
    <row r="36" spans="1:9" ht="17" thickBot="1" x14ac:dyDescent="0.25">
      <c r="I36"/>
    </row>
    <row r="37" spans="1:9" x14ac:dyDescent="0.2">
      <c r="A37" s="11"/>
      <c r="B37" s="11" t="s">
        <v>37</v>
      </c>
      <c r="C37" s="11" t="s">
        <v>25</v>
      </c>
      <c r="D37" s="11" t="s">
        <v>38</v>
      </c>
      <c r="E37" s="11" t="s">
        <v>39</v>
      </c>
      <c r="F37" s="11" t="s">
        <v>40</v>
      </c>
      <c r="G37" s="11" t="s">
        <v>41</v>
      </c>
      <c r="H37" s="11" t="s">
        <v>42</v>
      </c>
      <c r="I37" s="11" t="s">
        <v>43</v>
      </c>
    </row>
    <row r="38" spans="1:9" x14ac:dyDescent="0.2">
      <c r="A38" s="9" t="s">
        <v>31</v>
      </c>
      <c r="B38" s="9">
        <v>-1.3066068804654236</v>
      </c>
      <c r="C38" s="9">
        <v>3.1687322796733066</v>
      </c>
      <c r="D38" s="9">
        <v>-0.4123437277573142</v>
      </c>
      <c r="E38" s="9">
        <v>0.69717127345305041</v>
      </c>
      <c r="F38" s="9">
        <v>-9.4520925205880779</v>
      </c>
      <c r="G38" s="9">
        <v>6.8388787596572307</v>
      </c>
      <c r="H38" s="9">
        <v>-9.4520925205880779</v>
      </c>
      <c r="I38" s="9">
        <v>6.8388787596572307</v>
      </c>
    </row>
    <row r="39" spans="1:9" ht="17" thickBot="1" x14ac:dyDescent="0.25">
      <c r="A39" s="10" t="s">
        <v>44</v>
      </c>
      <c r="B39" s="10">
        <v>0.39414559847821506</v>
      </c>
      <c r="C39" s="10">
        <v>7.5080714090730111E-2</v>
      </c>
      <c r="D39" s="10">
        <v>5.2496250635271799</v>
      </c>
      <c r="E39" s="10">
        <v>3.3272550616761688E-3</v>
      </c>
      <c r="F39" s="10">
        <v>0.20114447862998072</v>
      </c>
      <c r="G39" s="10">
        <v>0.58714671832644938</v>
      </c>
      <c r="H39" s="10">
        <v>0.20114447862998072</v>
      </c>
      <c r="I39" s="10">
        <v>0.58714671832644938</v>
      </c>
    </row>
    <row r="40" spans="1:9" x14ac:dyDescent="0.2">
      <c r="I40"/>
    </row>
    <row r="41" spans="1:9" x14ac:dyDescent="0.2">
      <c r="I41"/>
    </row>
    <row r="42" spans="1:9" x14ac:dyDescent="0.2">
      <c r="I42"/>
    </row>
    <row r="43" spans="1:9" x14ac:dyDescent="0.2">
      <c r="A43" t="s">
        <v>45</v>
      </c>
      <c r="I43"/>
    </row>
    <row r="44" spans="1:9" ht="17" thickBot="1" x14ac:dyDescent="0.25">
      <c r="I44"/>
    </row>
    <row r="45" spans="1:9" x14ac:dyDescent="0.2">
      <c r="A45" s="11" t="s">
        <v>46</v>
      </c>
      <c r="B45" s="11" t="s">
        <v>47</v>
      </c>
      <c r="C45" s="11" t="s">
        <v>48</v>
      </c>
      <c r="D45" s="11" t="s">
        <v>59</v>
      </c>
      <c r="I45"/>
    </row>
    <row r="46" spans="1:9" x14ac:dyDescent="0.2">
      <c r="A46" s="9">
        <v>1</v>
      </c>
      <c r="B46" s="9">
        <v>24.990206085243329</v>
      </c>
      <c r="C46" s="9">
        <v>-3.1902070852433297</v>
      </c>
      <c r="D46" s="9">
        <v>-1.0229460708809301</v>
      </c>
      <c r="I46"/>
    </row>
    <row r="47" spans="1:9" x14ac:dyDescent="0.2">
      <c r="A47" s="9">
        <v>2</v>
      </c>
      <c r="B47" s="9">
        <v>20.842941064031805</v>
      </c>
      <c r="C47" s="9">
        <v>5.9070589359681946</v>
      </c>
      <c r="D47" s="9">
        <v>1.8941098704725181</v>
      </c>
      <c r="I47"/>
    </row>
    <row r="48" spans="1:9" x14ac:dyDescent="0.2">
      <c r="A48" s="9">
        <v>3</v>
      </c>
      <c r="B48" s="9">
        <v>17.291326607792485</v>
      </c>
      <c r="C48" s="9">
        <v>-0.59132560779248422</v>
      </c>
      <c r="D48" s="9">
        <v>-0.18960969960245136</v>
      </c>
      <c r="I48"/>
    </row>
    <row r="49" spans="1:9" x14ac:dyDescent="0.2">
      <c r="A49" s="9">
        <v>4</v>
      </c>
      <c r="B49" s="9">
        <v>11.960472703561962</v>
      </c>
      <c r="C49" s="9">
        <v>-3.200472703561962</v>
      </c>
      <c r="D49" s="9">
        <v>-1.026237761245729</v>
      </c>
      <c r="I49"/>
    </row>
    <row r="50" spans="1:9" x14ac:dyDescent="0.2">
      <c r="A50" s="9">
        <v>5</v>
      </c>
      <c r="B50" s="9">
        <v>9.3623547835900194</v>
      </c>
      <c r="C50" s="9">
        <v>-0.7923547835900191</v>
      </c>
      <c r="D50" s="9">
        <v>-0.2540700935579851</v>
      </c>
      <c r="I50"/>
    </row>
    <row r="51" spans="1:9" x14ac:dyDescent="0.2">
      <c r="A51" s="9">
        <v>6</v>
      </c>
      <c r="B51" s="9">
        <v>7.1556991188618539</v>
      </c>
      <c r="C51" s="9">
        <v>1.3343008811381463</v>
      </c>
      <c r="D51" s="9">
        <v>0.42784615771396611</v>
      </c>
      <c r="I51"/>
    </row>
    <row r="52" spans="1:9" ht="17" thickBot="1" x14ac:dyDescent="0.25">
      <c r="A52" s="10">
        <v>7</v>
      </c>
      <c r="B52" s="10">
        <v>5.5869996369185575</v>
      </c>
      <c r="C52" s="10">
        <v>0.53300036308144261</v>
      </c>
      <c r="D52" s="10">
        <v>0.17090759710060766</v>
      </c>
      <c r="I52"/>
    </row>
    <row r="57" spans="1:9" x14ac:dyDescent="0.2">
      <c r="A57" t="s">
        <v>20</v>
      </c>
      <c r="I57"/>
    </row>
    <row r="58" spans="1:9" ht="17" thickBot="1" x14ac:dyDescent="0.25">
      <c r="I58"/>
    </row>
    <row r="59" spans="1:9" x14ac:dyDescent="0.2">
      <c r="A59" s="12" t="s">
        <v>21</v>
      </c>
      <c r="B59" s="12"/>
      <c r="I59"/>
    </row>
    <row r="60" spans="1:9" x14ac:dyDescent="0.2">
      <c r="A60" s="9" t="s">
        <v>22</v>
      </c>
      <c r="B60" s="9">
        <v>0.93684520578204544</v>
      </c>
      <c r="I60"/>
    </row>
    <row r="61" spans="1:9" x14ac:dyDescent="0.2">
      <c r="A61" s="9" t="s">
        <v>23</v>
      </c>
      <c r="B61" s="9">
        <v>0.8776789395968031</v>
      </c>
      <c r="I61"/>
    </row>
    <row r="62" spans="1:9" x14ac:dyDescent="0.2">
      <c r="A62" s="9" t="s">
        <v>24</v>
      </c>
      <c r="B62" s="9">
        <v>0.85321472751616378</v>
      </c>
      <c r="I62"/>
    </row>
    <row r="63" spans="1:9" x14ac:dyDescent="0.2">
      <c r="A63" s="9" t="s">
        <v>25</v>
      </c>
      <c r="B63" s="9">
        <v>1.1039835984902227</v>
      </c>
      <c r="I63"/>
    </row>
    <row r="64" spans="1:9" ht="17" thickBot="1" x14ac:dyDescent="0.25">
      <c r="A64" s="10" t="s">
        <v>26</v>
      </c>
      <c r="B64" s="10">
        <v>7</v>
      </c>
      <c r="I64"/>
    </row>
    <row r="65" spans="1:9" x14ac:dyDescent="0.2">
      <c r="I65"/>
    </row>
    <row r="66" spans="1:9" ht="17" thickBot="1" x14ac:dyDescent="0.25">
      <c r="A66" t="s">
        <v>27</v>
      </c>
      <c r="I66"/>
    </row>
    <row r="67" spans="1:9" x14ac:dyDescent="0.2">
      <c r="A67" s="11"/>
      <c r="B67" s="11" t="s">
        <v>32</v>
      </c>
      <c r="C67" s="11" t="s">
        <v>33</v>
      </c>
      <c r="D67" s="11" t="s">
        <v>34</v>
      </c>
      <c r="E67" s="11" t="s">
        <v>35</v>
      </c>
      <c r="F67" s="11" t="s">
        <v>36</v>
      </c>
      <c r="I67"/>
    </row>
    <row r="68" spans="1:9" x14ac:dyDescent="0.2">
      <c r="A68" s="9" t="s">
        <v>28</v>
      </c>
      <c r="B68" s="9">
        <v>1</v>
      </c>
      <c r="C68" s="9">
        <v>43.724986785608614</v>
      </c>
      <c r="D68" s="9">
        <v>43.724986785608614</v>
      </c>
      <c r="E68" s="9">
        <v>35.876035439186928</v>
      </c>
      <c r="F68" s="9">
        <v>1.8604399561418963E-3</v>
      </c>
      <c r="I68"/>
    </row>
    <row r="69" spans="1:9" x14ac:dyDescent="0.2">
      <c r="A69" s="9" t="s">
        <v>29</v>
      </c>
      <c r="B69" s="9">
        <v>5</v>
      </c>
      <c r="C69" s="9">
        <v>6.0938989286771053</v>
      </c>
      <c r="D69" s="9">
        <v>1.218779785735421</v>
      </c>
      <c r="E69" s="9"/>
      <c r="F69" s="9"/>
      <c r="I69"/>
    </row>
    <row r="70" spans="1:9" ht="17" thickBot="1" x14ac:dyDescent="0.25">
      <c r="A70" s="10" t="s">
        <v>30</v>
      </c>
      <c r="B70" s="10">
        <v>6</v>
      </c>
      <c r="C70" s="10">
        <v>49.81888571428572</v>
      </c>
      <c r="D70" s="10"/>
      <c r="E70" s="10"/>
      <c r="F70" s="10"/>
      <c r="I70"/>
    </row>
    <row r="71" spans="1:9" ht="17" thickBot="1" x14ac:dyDescent="0.25">
      <c r="I71"/>
    </row>
    <row r="72" spans="1:9" x14ac:dyDescent="0.2">
      <c r="A72" s="11"/>
      <c r="B72" s="11" t="s">
        <v>37</v>
      </c>
      <c r="C72" s="11" t="s">
        <v>25</v>
      </c>
      <c r="D72" s="11" t="s">
        <v>38</v>
      </c>
      <c r="E72" s="11" t="s">
        <v>39</v>
      </c>
      <c r="F72" s="11" t="s">
        <v>40</v>
      </c>
      <c r="G72" s="11" t="s">
        <v>41</v>
      </c>
      <c r="H72" s="11" t="s">
        <v>42</v>
      </c>
      <c r="I72" s="11" t="s">
        <v>43</v>
      </c>
    </row>
    <row r="73" spans="1:9" x14ac:dyDescent="0.2">
      <c r="A73" s="9" t="s">
        <v>31</v>
      </c>
      <c r="B73" s="9">
        <v>1.2104605851611536</v>
      </c>
      <c r="C73" s="9">
        <v>1.0239798475383122</v>
      </c>
      <c r="D73" s="9">
        <v>1.1821136793572145</v>
      </c>
      <c r="E73" s="9">
        <v>0.29031016601693926</v>
      </c>
      <c r="F73" s="9">
        <v>-1.4217634109784747</v>
      </c>
      <c r="G73" s="9">
        <v>3.8426845813007819</v>
      </c>
      <c r="H73" s="9">
        <v>-1.4217634109784747</v>
      </c>
      <c r="I73" s="9">
        <v>3.8426845813007819</v>
      </c>
    </row>
    <row r="74" spans="1:9" ht="17" thickBot="1" x14ac:dyDescent="0.25">
      <c r="A74" s="10" t="s">
        <v>44</v>
      </c>
      <c r="B74" s="10">
        <v>0.14532371058745283</v>
      </c>
      <c r="C74" s="10">
        <v>2.4262427804604497E-2</v>
      </c>
      <c r="D74" s="10">
        <v>5.9896607115250626</v>
      </c>
      <c r="E74" s="10">
        <v>1.8604399561418963E-3</v>
      </c>
      <c r="F74" s="10">
        <v>8.2955154384499033E-2</v>
      </c>
      <c r="G74" s="10">
        <v>0.20769226679040664</v>
      </c>
      <c r="H74" s="10">
        <v>8.2955154384499033E-2</v>
      </c>
      <c r="I74" s="10">
        <v>0.20769226679040664</v>
      </c>
    </row>
    <row r="75" spans="1:9" x14ac:dyDescent="0.2">
      <c r="I75"/>
    </row>
    <row r="76" spans="1:9" x14ac:dyDescent="0.2">
      <c r="I76"/>
    </row>
    <row r="77" spans="1:9" x14ac:dyDescent="0.2">
      <c r="I77"/>
    </row>
    <row r="78" spans="1:9" x14ac:dyDescent="0.2">
      <c r="A78" t="s">
        <v>45</v>
      </c>
      <c r="I78"/>
    </row>
    <row r="79" spans="1:9" ht="17" thickBot="1" x14ac:dyDescent="0.25">
      <c r="I79"/>
    </row>
    <row r="80" spans="1:9" x14ac:dyDescent="0.2">
      <c r="A80" s="11" t="s">
        <v>46</v>
      </c>
      <c r="B80" s="11" t="s">
        <v>47</v>
      </c>
      <c r="C80" s="11" t="s">
        <v>48</v>
      </c>
      <c r="D80" s="11" t="s">
        <v>59</v>
      </c>
      <c r="I80"/>
    </row>
    <row r="81" spans="1:9" x14ac:dyDescent="0.2">
      <c r="A81" s="9">
        <v>1</v>
      </c>
      <c r="B81" s="9">
        <v>10.906244203082888</v>
      </c>
      <c r="C81" s="9">
        <v>-1.006244203082888</v>
      </c>
      <c r="D81" s="9">
        <v>-0.9984616603743659</v>
      </c>
      <c r="I81"/>
    </row>
    <row r="82" spans="1:9" x14ac:dyDescent="0.2">
      <c r="A82" s="9">
        <v>2</v>
      </c>
      <c r="B82" s="9">
        <v>9.3771241418694657</v>
      </c>
      <c r="C82" s="9">
        <v>1.1028758581305347</v>
      </c>
      <c r="D82" s="9">
        <v>1.0943459421898494</v>
      </c>
      <c r="I82"/>
    </row>
    <row r="83" spans="1:9" x14ac:dyDescent="0.2">
      <c r="A83" s="9">
        <v>3</v>
      </c>
      <c r="B83" s="9">
        <v>8.0676238116627736</v>
      </c>
      <c r="C83" s="9">
        <v>-1.7623811662772937E-2</v>
      </c>
      <c r="D83" s="9">
        <v>-1.7487504724027589E-2</v>
      </c>
      <c r="I83"/>
    </row>
    <row r="84" spans="1:9" x14ac:dyDescent="0.2">
      <c r="A84" s="9">
        <v>4</v>
      </c>
      <c r="B84" s="9">
        <v>6.1021078374809434</v>
      </c>
      <c r="C84" s="9">
        <v>-0.1821078374809435</v>
      </c>
      <c r="D84" s="9">
        <v>-0.18069937021384283</v>
      </c>
      <c r="I84"/>
    </row>
    <row r="85" spans="1:9" x14ac:dyDescent="0.2">
      <c r="A85" s="9">
        <v>5</v>
      </c>
      <c r="B85" s="9">
        <v>5.1441670710944676</v>
      </c>
      <c r="C85" s="9">
        <v>0.66583292890553203</v>
      </c>
      <c r="D85" s="9">
        <v>0.66068321158038212</v>
      </c>
      <c r="I85"/>
    </row>
    <row r="86" spans="1:9" x14ac:dyDescent="0.2">
      <c r="A86" s="9">
        <v>6</v>
      </c>
      <c r="B86" s="9">
        <v>4.3305606514737658</v>
      </c>
      <c r="C86" s="9">
        <v>0.9894393485262345</v>
      </c>
      <c r="D86" s="9">
        <v>0.98178677873869613</v>
      </c>
      <c r="I86"/>
    </row>
    <row r="87" spans="1:9" ht="17" thickBot="1" x14ac:dyDescent="0.25">
      <c r="A87" s="10">
        <v>7</v>
      </c>
      <c r="B87" s="10">
        <v>3.7521722833357036</v>
      </c>
      <c r="C87" s="10">
        <v>-1.5521722833357035</v>
      </c>
      <c r="D87" s="10">
        <v>-1.540167397196698</v>
      </c>
      <c r="I87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D0B14-90E5-2544-B359-B91272A3F9AC}">
  <dimension ref="A1:P93"/>
  <sheetViews>
    <sheetView workbookViewId="0">
      <selection activeCell="C6" sqref="C6"/>
    </sheetView>
  </sheetViews>
  <sheetFormatPr baseColWidth="10" defaultRowHeight="16" x14ac:dyDescent="0.2"/>
  <cols>
    <col min="2" max="2" width="11.83203125" bestFit="1" customWidth="1"/>
    <col min="3" max="4" width="13.6640625" bestFit="1" customWidth="1"/>
    <col min="5" max="9" width="12.1640625" bestFit="1" customWidth="1"/>
    <col min="12" max="12" width="13.1640625" bestFit="1" customWidth="1"/>
  </cols>
  <sheetData>
    <row r="1" spans="2:16" x14ac:dyDescent="0.2">
      <c r="C1" t="s">
        <v>56</v>
      </c>
      <c r="D1" t="s">
        <v>3</v>
      </c>
      <c r="E1">
        <v>2018</v>
      </c>
      <c r="F1">
        <v>2017</v>
      </c>
      <c r="G1">
        <v>2016</v>
      </c>
      <c r="H1">
        <v>2015</v>
      </c>
      <c r="I1">
        <v>2014</v>
      </c>
      <c r="J1">
        <v>2013</v>
      </c>
      <c r="K1">
        <v>2012</v>
      </c>
      <c r="L1">
        <v>2011</v>
      </c>
      <c r="M1">
        <v>2010</v>
      </c>
    </row>
    <row r="2" spans="2:16" x14ac:dyDescent="0.2">
      <c r="B2" t="s">
        <v>15</v>
      </c>
      <c r="D2">
        <v>21854.487130000001</v>
      </c>
      <c r="E2">
        <v>21645.912431000001</v>
      </c>
      <c r="F2">
        <v>21279.888782000002</v>
      </c>
      <c r="G2">
        <v>21606.742782000001</v>
      </c>
      <c r="H2">
        <v>22588.019781999999</v>
      </c>
      <c r="I2">
        <v>20351.819781999999</v>
      </c>
      <c r="J2">
        <v>18457.534177000001</v>
      </c>
      <c r="K2">
        <v>18229.660154000001</v>
      </c>
      <c r="L2">
        <v>16699.138042999999</v>
      </c>
      <c r="M2">
        <v>16699.138042999999</v>
      </c>
    </row>
    <row r="3" spans="2:16" x14ac:dyDescent="0.2">
      <c r="B3" t="s">
        <v>66</v>
      </c>
      <c r="D3">
        <v>552200</v>
      </c>
      <c r="E3" s="4">
        <f>379079*E7</f>
        <v>431581.44150000002</v>
      </c>
      <c r="F3" s="4">
        <f>226900*F7</f>
        <v>271735.44</v>
      </c>
      <c r="G3" s="4">
        <f>153086.977*G7</f>
        <v>170967.5359136</v>
      </c>
      <c r="H3" s="4">
        <f>113222.64*H7</f>
        <v>135131.22083999999</v>
      </c>
      <c r="I3" s="4">
        <f>83548.803*I7</f>
        <v>104410.9391091</v>
      </c>
      <c r="J3" s="4">
        <f>62724.729*J7</f>
        <v>80344.105376099993</v>
      </c>
      <c r="K3" s="4">
        <f>41890.984*K7</f>
        <v>52116.573194399993</v>
      </c>
      <c r="L3" s="4">
        <f>34748.305*L7</f>
        <v>42823.811082</v>
      </c>
      <c r="M3" s="4">
        <f>25804.105*M7</f>
        <v>30441.1026685</v>
      </c>
      <c r="N3" s="4"/>
      <c r="O3" s="4"/>
    </row>
    <row r="4" spans="2:16" x14ac:dyDescent="0.2">
      <c r="B4" t="s">
        <v>52</v>
      </c>
      <c r="D4">
        <f>(D3-E3)/E3</f>
        <v>0.27948041065153162</v>
      </c>
      <c r="E4">
        <f>(E3-F3)/F3</f>
        <v>0.58824127430709816</v>
      </c>
      <c r="F4">
        <f t="shared" ref="F4:L4" si="0">(F3-G3)/G3</f>
        <v>0.58939788508927204</v>
      </c>
      <c r="G4">
        <f t="shared" si="0"/>
        <v>0.26519641316666143</v>
      </c>
      <c r="H4">
        <f t="shared" si="0"/>
        <v>0.29422474304919405</v>
      </c>
      <c r="I4">
        <f t="shared" si="0"/>
        <v>0.29954697510589473</v>
      </c>
      <c r="J4">
        <f t="shared" si="0"/>
        <v>0.54162295123296966</v>
      </c>
      <c r="K4">
        <f t="shared" si="0"/>
        <v>0.21699988575528698</v>
      </c>
      <c r="L4">
        <f t="shared" si="0"/>
        <v>0.40677594857013649</v>
      </c>
      <c r="O4">
        <f>MEDIAN(E4:L4)</f>
        <v>0.35316146183801561</v>
      </c>
      <c r="P4">
        <f>AVERAGE(E4:L4)</f>
        <v>0.40025075953456413</v>
      </c>
    </row>
    <row r="5" spans="2:16" x14ac:dyDescent="0.2">
      <c r="B5" t="s">
        <v>67</v>
      </c>
      <c r="C5">
        <f>D5*0.8</f>
        <v>20.21369787230509</v>
      </c>
      <c r="D5">
        <f>D3/D2</f>
        <v>25.267122340381363</v>
      </c>
      <c r="E5">
        <v>19.938242052661845</v>
      </c>
      <c r="F5">
        <v>12.769589295497285</v>
      </c>
      <c r="G5">
        <v>7.9126936271036872</v>
      </c>
      <c r="H5">
        <v>5.9824288336989913</v>
      </c>
      <c r="I5">
        <v>5.1302999057335112</v>
      </c>
      <c r="J5">
        <v>4.3529165166719324</v>
      </c>
      <c r="K5">
        <v>2.8588889070959689</v>
      </c>
      <c r="L5">
        <v>2.5644324258970377</v>
      </c>
      <c r="M5">
        <v>1.8229146073357003</v>
      </c>
    </row>
    <row r="6" spans="2:16" x14ac:dyDescent="0.2">
      <c r="B6" t="s">
        <v>52</v>
      </c>
      <c r="D6">
        <f>(D5-E5)/E5</f>
        <v>0.26726931459878067</v>
      </c>
      <c r="E6">
        <f>(E5-F5)/F5</f>
        <v>0.5613847549264811</v>
      </c>
      <c r="F6">
        <f t="shared" ref="F6:L6" si="1">(F5-G5)/G5</f>
        <v>0.61381065630508758</v>
      </c>
      <c r="G6">
        <f t="shared" si="1"/>
        <v>0.32265570507609287</v>
      </c>
      <c r="H6">
        <f t="shared" si="1"/>
        <v>0.16609729326216569</v>
      </c>
      <c r="I6">
        <f t="shared" si="1"/>
        <v>0.1785890875885521</v>
      </c>
      <c r="J6">
        <f t="shared" si="1"/>
        <v>0.52259029928294132</v>
      </c>
      <c r="K6">
        <f t="shared" si="1"/>
        <v>0.11482325610351399</v>
      </c>
      <c r="L6">
        <f t="shared" si="1"/>
        <v>0.40677594857013649</v>
      </c>
    </row>
    <row r="7" spans="2:16" x14ac:dyDescent="0.2">
      <c r="B7" t="s">
        <v>70</v>
      </c>
      <c r="D7">
        <v>1.1185</v>
      </c>
      <c r="E7">
        <v>1.1385000000000001</v>
      </c>
      <c r="F7">
        <v>1.1976</v>
      </c>
      <c r="G7">
        <v>1.1168</v>
      </c>
      <c r="H7">
        <v>1.1935</v>
      </c>
      <c r="I7">
        <v>1.2497</v>
      </c>
      <c r="J7">
        <v>1.2808999999999999</v>
      </c>
      <c r="K7">
        <v>1.2441</v>
      </c>
      <c r="L7">
        <v>1.2323999999999999</v>
      </c>
      <c r="M7">
        <v>1.1797</v>
      </c>
    </row>
    <row r="9" spans="2:16" x14ac:dyDescent="0.2">
      <c r="B9" t="s">
        <v>63</v>
      </c>
      <c r="C9">
        <f>C5*0.77</f>
        <v>15.56454736167492</v>
      </c>
      <c r="D9">
        <v>12.821999999999999</v>
      </c>
      <c r="E9">
        <v>16.244</v>
      </c>
      <c r="F9">
        <v>13.106999999999999</v>
      </c>
      <c r="G9">
        <v>3.7480000000000002</v>
      </c>
      <c r="H9">
        <v>3.1850000000000001</v>
      </c>
      <c r="I9">
        <v>3.0779999999999998</v>
      </c>
      <c r="J9">
        <v>3.6869999999999998</v>
      </c>
      <c r="K9">
        <v>2.2869999999999999</v>
      </c>
      <c r="L9">
        <v>2.58</v>
      </c>
      <c r="M9">
        <v>2.0529999999999999</v>
      </c>
    </row>
    <row r="10" spans="2:16" x14ac:dyDescent="0.2">
      <c r="B10" t="s">
        <v>62</v>
      </c>
      <c r="C10">
        <f>C5*0.36</f>
        <v>7.2769312340298322</v>
      </c>
      <c r="D10">
        <v>7.9989999999999997</v>
      </c>
      <c r="E10">
        <v>7.29</v>
      </c>
      <c r="F10">
        <v>3.2290000000000001</v>
      </c>
      <c r="G10">
        <v>2.2050000000000001</v>
      </c>
      <c r="H10">
        <v>1.754</v>
      </c>
      <c r="I10">
        <v>1.8080000000000001</v>
      </c>
      <c r="J10">
        <v>2.0779999999999998</v>
      </c>
      <c r="K10">
        <v>1.5569999999999999</v>
      </c>
      <c r="L10">
        <v>1.1850000000000001</v>
      </c>
      <c r="M10">
        <v>1.167</v>
      </c>
    </row>
    <row r="11" spans="2:16" x14ac:dyDescent="0.2">
      <c r="B11" t="s">
        <v>68</v>
      </c>
      <c r="D11">
        <f>D9/D5</f>
        <v>0.50745786668029702</v>
      </c>
      <c r="E11">
        <f t="shared" ref="E11:M11" si="2">E9/E5</f>
        <v>0.81471575864590096</v>
      </c>
      <c r="F11">
        <f t="shared" si="2"/>
        <v>1.0264229879829956</v>
      </c>
      <c r="G11">
        <f t="shared" si="2"/>
        <v>0.47366929349593617</v>
      </c>
      <c r="H11">
        <f t="shared" si="2"/>
        <v>0.53239245940694035</v>
      </c>
      <c r="I11">
        <f t="shared" si="2"/>
        <v>0.59996492535652624</v>
      </c>
      <c r="J11">
        <f t="shared" si="2"/>
        <v>0.84701831194753396</v>
      </c>
      <c r="K11">
        <f t="shared" si="2"/>
        <v>0.79996112976740741</v>
      </c>
      <c r="L11">
        <f t="shared" si="2"/>
        <v>1.0060705729446222</v>
      </c>
      <c r="M11">
        <f t="shared" si="2"/>
        <v>1.1262184151349708</v>
      </c>
      <c r="O11">
        <f>MEDIAN(D11:M11)</f>
        <v>0.80733844420665424</v>
      </c>
      <c r="P11">
        <f>AVERAGE(D11:M11)</f>
        <v>0.77338917213631297</v>
      </c>
    </row>
    <row r="12" spans="2:16" x14ac:dyDescent="0.2">
      <c r="B12" t="s">
        <v>69</v>
      </c>
      <c r="D12">
        <f>D10/D5</f>
        <v>0.31657740411602681</v>
      </c>
      <c r="E12">
        <f t="shared" ref="E12:M12" si="3">E10/E5</f>
        <v>0.36562902490326382</v>
      </c>
      <c r="F12">
        <f t="shared" si="3"/>
        <v>0.25286639415557283</v>
      </c>
      <c r="G12">
        <f t="shared" si="3"/>
        <v>0.27866616653109372</v>
      </c>
      <c r="H12">
        <f t="shared" si="3"/>
        <v>0.29319195409726012</v>
      </c>
      <c r="I12">
        <f t="shared" si="3"/>
        <v>0.35241604452391151</v>
      </c>
      <c r="J12">
        <f t="shared" si="3"/>
        <v>0.47738108278464214</v>
      </c>
      <c r="K12">
        <f t="shared" si="3"/>
        <v>0.54461717492254191</v>
      </c>
      <c r="L12">
        <f t="shared" si="3"/>
        <v>0.46209055385247183</v>
      </c>
      <c r="M12">
        <f t="shared" si="3"/>
        <v>0.64018358035192935</v>
      </c>
      <c r="O12">
        <f>MEDIAN(D12:M12)</f>
        <v>0.35902253471358769</v>
      </c>
      <c r="P12">
        <f>AVERAGE(D12:M12)</f>
        <v>0.39836193802387143</v>
      </c>
    </row>
    <row r="13" spans="2:16" x14ac:dyDescent="0.2">
      <c r="F13" s="19"/>
      <c r="G13" s="19"/>
    </row>
    <row r="14" spans="2:16" x14ac:dyDescent="0.2">
      <c r="F14" s="19"/>
      <c r="G14" s="19"/>
    </row>
    <row r="15" spans="2:16" x14ac:dyDescent="0.2">
      <c r="C15">
        <v>19.938242052661845</v>
      </c>
      <c r="D15">
        <v>12.821999999999999</v>
      </c>
      <c r="E15">
        <v>7.9989999999999997</v>
      </c>
      <c r="F15" s="19"/>
      <c r="G15">
        <v>19.938242052661845</v>
      </c>
      <c r="H15">
        <v>16.244</v>
      </c>
      <c r="I15">
        <v>7.29</v>
      </c>
    </row>
    <row r="16" spans="2:16" x14ac:dyDescent="0.2">
      <c r="C16">
        <v>12.769589295497285</v>
      </c>
      <c r="D16">
        <v>16.244</v>
      </c>
      <c r="E16">
        <v>7.29</v>
      </c>
      <c r="F16" s="19"/>
      <c r="G16">
        <v>12.769589295497285</v>
      </c>
      <c r="H16">
        <v>13.106999999999999</v>
      </c>
      <c r="I16">
        <v>3.2290000000000001</v>
      </c>
    </row>
    <row r="17" spans="1:9" x14ac:dyDescent="0.2">
      <c r="C17">
        <v>7.9126936271036872</v>
      </c>
      <c r="D17">
        <v>13.106999999999999</v>
      </c>
      <c r="E17">
        <v>3.2290000000000001</v>
      </c>
      <c r="F17" s="19"/>
      <c r="G17">
        <v>7.9126936271036872</v>
      </c>
      <c r="H17">
        <v>3.7480000000000002</v>
      </c>
      <c r="I17">
        <v>2.2050000000000001</v>
      </c>
    </row>
    <row r="18" spans="1:9" x14ac:dyDescent="0.2">
      <c r="C18">
        <v>5.9824288336989913</v>
      </c>
      <c r="D18">
        <v>3.7480000000000002</v>
      </c>
      <c r="E18">
        <v>2.2050000000000001</v>
      </c>
      <c r="F18" s="19"/>
      <c r="G18">
        <v>5.9824288336989913</v>
      </c>
      <c r="H18">
        <v>3.1850000000000001</v>
      </c>
      <c r="I18">
        <v>1.754</v>
      </c>
    </row>
    <row r="19" spans="1:9" x14ac:dyDescent="0.2">
      <c r="C19">
        <v>5.1302999057335112</v>
      </c>
      <c r="D19">
        <v>3.1850000000000001</v>
      </c>
      <c r="E19">
        <v>1.754</v>
      </c>
      <c r="G19">
        <v>5.1302999057335112</v>
      </c>
      <c r="H19">
        <v>3.0779999999999998</v>
      </c>
      <c r="I19">
        <v>1.8080000000000001</v>
      </c>
    </row>
    <row r="20" spans="1:9" x14ac:dyDescent="0.2">
      <c r="C20">
        <v>4.3529165166719324</v>
      </c>
      <c r="D20">
        <v>3.0779999999999998</v>
      </c>
      <c r="E20">
        <v>1.8080000000000001</v>
      </c>
      <c r="G20">
        <v>4.3529165166719324</v>
      </c>
      <c r="H20">
        <v>3.6869999999999998</v>
      </c>
      <c r="I20">
        <v>2.0779999999999998</v>
      </c>
    </row>
    <row r="21" spans="1:9" x14ac:dyDescent="0.2">
      <c r="C21">
        <v>2.8588889070959689</v>
      </c>
      <c r="D21">
        <v>3.6869999999999998</v>
      </c>
      <c r="E21">
        <v>2.0779999999999998</v>
      </c>
      <c r="G21">
        <v>2.8588889070959689</v>
      </c>
      <c r="H21">
        <v>2.2869999999999999</v>
      </c>
      <c r="I21">
        <v>1.5569999999999999</v>
      </c>
    </row>
    <row r="22" spans="1:9" x14ac:dyDescent="0.2">
      <c r="C22">
        <v>2.5644324258970377</v>
      </c>
      <c r="D22">
        <v>2.2869999999999999</v>
      </c>
      <c r="E22">
        <v>1.5569999999999999</v>
      </c>
      <c r="G22">
        <v>2.5644324258970377</v>
      </c>
      <c r="H22">
        <v>2.58</v>
      </c>
      <c r="I22">
        <v>1.1850000000000001</v>
      </c>
    </row>
    <row r="23" spans="1:9" x14ac:dyDescent="0.2">
      <c r="C23">
        <v>1.8229146073357003</v>
      </c>
      <c r="D23">
        <v>2.58</v>
      </c>
      <c r="E23">
        <v>1.1850000000000001</v>
      </c>
      <c r="G23">
        <v>1.8229146073357003</v>
      </c>
      <c r="H23">
        <v>2.0529999999999999</v>
      </c>
      <c r="I23">
        <v>1.167</v>
      </c>
    </row>
    <row r="24" spans="1:9" x14ac:dyDescent="0.2">
      <c r="H24" s="19"/>
    </row>
    <row r="25" spans="1:9" x14ac:dyDescent="0.2">
      <c r="H25" s="19"/>
    </row>
    <row r="26" spans="1:9" x14ac:dyDescent="0.2">
      <c r="A26" t="s">
        <v>20</v>
      </c>
    </row>
    <row r="27" spans="1:9" ht="17" thickBot="1" x14ac:dyDescent="0.25"/>
    <row r="28" spans="1:9" x14ac:dyDescent="0.2">
      <c r="A28" s="12" t="s">
        <v>21</v>
      </c>
      <c r="B28" s="12"/>
    </row>
    <row r="29" spans="1:9" x14ac:dyDescent="0.2">
      <c r="A29" s="9" t="s">
        <v>22</v>
      </c>
      <c r="B29" s="9">
        <v>0.95745012591674306</v>
      </c>
    </row>
    <row r="30" spans="1:9" x14ac:dyDescent="0.2">
      <c r="A30" s="9" t="s">
        <v>23</v>
      </c>
      <c r="B30" s="9">
        <v>0.91671074361798721</v>
      </c>
    </row>
    <row r="31" spans="1:9" x14ac:dyDescent="0.2">
      <c r="A31" s="9" t="s">
        <v>24</v>
      </c>
      <c r="B31" s="9">
        <v>0.90481227842055678</v>
      </c>
    </row>
    <row r="32" spans="1:9" x14ac:dyDescent="0.2">
      <c r="A32" s="9" t="s">
        <v>25</v>
      </c>
      <c r="B32" s="9">
        <v>1.6237511733505103</v>
      </c>
    </row>
    <row r="33" spans="1:9" ht="17" thickBot="1" x14ac:dyDescent="0.25">
      <c r="A33" s="10" t="s">
        <v>26</v>
      </c>
      <c r="B33" s="10">
        <v>9</v>
      </c>
    </row>
    <row r="35" spans="1:9" ht="17" thickBot="1" x14ac:dyDescent="0.25">
      <c r="A35" t="s">
        <v>27</v>
      </c>
    </row>
    <row r="36" spans="1:9" x14ac:dyDescent="0.2">
      <c r="A36" s="11"/>
      <c r="B36" s="11" t="s">
        <v>32</v>
      </c>
      <c r="C36" s="11" t="s">
        <v>33</v>
      </c>
      <c r="D36" s="11" t="s">
        <v>34</v>
      </c>
      <c r="E36" s="11" t="s">
        <v>35</v>
      </c>
      <c r="F36" s="11" t="s">
        <v>36</v>
      </c>
    </row>
    <row r="37" spans="1:9" x14ac:dyDescent="0.2">
      <c r="A37" s="9" t="s">
        <v>28</v>
      </c>
      <c r="B37" s="9">
        <v>1</v>
      </c>
      <c r="C37" s="9">
        <v>203.13292977818881</v>
      </c>
      <c r="D37" s="9">
        <v>203.13292977818881</v>
      </c>
      <c r="E37" s="9">
        <v>77.04445307920561</v>
      </c>
      <c r="F37" s="9">
        <v>5.0185336274380122E-5</v>
      </c>
    </row>
    <row r="38" spans="1:9" x14ac:dyDescent="0.2">
      <c r="A38" s="9" t="s">
        <v>29</v>
      </c>
      <c r="B38" s="9">
        <v>7</v>
      </c>
      <c r="C38" s="9">
        <v>18.455975110700116</v>
      </c>
      <c r="D38" s="9">
        <v>2.6365678729571593</v>
      </c>
      <c r="E38" s="9"/>
      <c r="F38" s="9"/>
    </row>
    <row r="39" spans="1:9" ht="17" thickBot="1" x14ac:dyDescent="0.25">
      <c r="A39" s="10" t="s">
        <v>30</v>
      </c>
      <c r="B39" s="10">
        <v>8</v>
      </c>
      <c r="C39" s="10">
        <v>221.58890488888892</v>
      </c>
      <c r="D39" s="10"/>
      <c r="E39" s="10"/>
      <c r="F39" s="10"/>
    </row>
    <row r="40" spans="1:9" ht="17" thickBot="1" x14ac:dyDescent="0.25"/>
    <row r="41" spans="1:9" x14ac:dyDescent="0.2">
      <c r="A41" s="11"/>
      <c r="B41" s="11" t="s">
        <v>37</v>
      </c>
      <c r="C41" s="11" t="s">
        <v>25</v>
      </c>
      <c r="D41" s="11" t="s">
        <v>38</v>
      </c>
      <c r="E41" s="11" t="s">
        <v>39</v>
      </c>
      <c r="F41" s="11" t="s">
        <v>40</v>
      </c>
      <c r="G41" s="11" t="s">
        <v>41</v>
      </c>
      <c r="H41" s="11" t="s">
        <v>42</v>
      </c>
      <c r="I41" s="11" t="s">
        <v>43</v>
      </c>
    </row>
    <row r="42" spans="1:9" x14ac:dyDescent="0.2">
      <c r="A42" s="9" t="s">
        <v>31</v>
      </c>
      <c r="B42" s="9">
        <v>-0.47753987242762008</v>
      </c>
      <c r="C42" s="9">
        <v>0.87455381445170088</v>
      </c>
      <c r="D42" s="9">
        <v>-0.5460382935120035</v>
      </c>
      <c r="E42" s="9">
        <v>0.6019996397879116</v>
      </c>
      <c r="F42" s="9">
        <v>-2.5455310314030886</v>
      </c>
      <c r="G42" s="9">
        <v>1.5904512865478484</v>
      </c>
      <c r="H42" s="9">
        <v>-2.5455310314030886</v>
      </c>
      <c r="I42" s="9">
        <v>1.5904512865478484</v>
      </c>
    </row>
    <row r="43" spans="1:9" ht="17" thickBot="1" x14ac:dyDescent="0.25">
      <c r="A43" s="10" t="s">
        <v>44</v>
      </c>
      <c r="B43" s="10">
        <v>0.85685768364349812</v>
      </c>
      <c r="C43" s="10">
        <v>9.7619821055611858E-2</v>
      </c>
      <c r="D43" s="10">
        <v>8.7774969711874924</v>
      </c>
      <c r="E43" s="10">
        <v>5.0185336274380122E-5</v>
      </c>
      <c r="F43" s="10">
        <v>0.62602348733925028</v>
      </c>
      <c r="G43" s="10">
        <v>1.087691879947746</v>
      </c>
      <c r="H43" s="10">
        <v>0.62602348733925028</v>
      </c>
      <c r="I43" s="10">
        <v>1.087691879947746</v>
      </c>
    </row>
    <row r="47" spans="1:9" x14ac:dyDescent="0.2">
      <c r="A47" t="s">
        <v>45</v>
      </c>
    </row>
    <row r="48" spans="1:9" ht="17" thickBot="1" x14ac:dyDescent="0.25"/>
    <row r="49" spans="1:4" x14ac:dyDescent="0.2">
      <c r="A49" s="11" t="s">
        <v>46</v>
      </c>
      <c r="B49" s="11" t="s">
        <v>47</v>
      </c>
      <c r="C49" s="11" t="s">
        <v>48</v>
      </c>
      <c r="D49" s="11" t="s">
        <v>59</v>
      </c>
    </row>
    <row r="50" spans="1:4" x14ac:dyDescent="0.2">
      <c r="A50" s="9">
        <v>1</v>
      </c>
      <c r="B50" s="9">
        <v>16.606696028739595</v>
      </c>
      <c r="C50" s="9">
        <v>-0.36269602873959528</v>
      </c>
      <c r="D50" s="9">
        <v>-0.23879173772082349</v>
      </c>
    </row>
    <row r="51" spans="1:4" x14ac:dyDescent="0.2">
      <c r="A51" s="9">
        <v>2</v>
      </c>
      <c r="B51" s="9">
        <v>10.464180832390992</v>
      </c>
      <c r="C51" s="9">
        <v>2.6428191676090069</v>
      </c>
      <c r="D51" s="9">
        <v>1.7399787466886043</v>
      </c>
    </row>
    <row r="52" spans="1:4" x14ac:dyDescent="0.2">
      <c r="A52" s="9">
        <v>3</v>
      </c>
      <c r="B52" s="9">
        <v>6.3025124602731148</v>
      </c>
      <c r="C52" s="9">
        <v>-2.5545124602731146</v>
      </c>
      <c r="D52" s="9">
        <v>-1.6818393946520767</v>
      </c>
    </row>
    <row r="53" spans="1:4" x14ac:dyDescent="0.2">
      <c r="A53" s="9">
        <v>4</v>
      </c>
      <c r="B53" s="9">
        <v>4.6485502405777712</v>
      </c>
      <c r="C53" s="9">
        <v>-1.4635502405777712</v>
      </c>
      <c r="D53" s="9">
        <v>-0.96357191007518295</v>
      </c>
    </row>
    <row r="54" spans="1:4" x14ac:dyDescent="0.2">
      <c r="A54" s="9">
        <v>5</v>
      </c>
      <c r="B54" s="9">
        <v>3.9183970211956529</v>
      </c>
      <c r="C54" s="9">
        <v>-0.84039702119565307</v>
      </c>
      <c r="D54" s="9">
        <v>-0.55330042009033342</v>
      </c>
    </row>
    <row r="55" spans="1:4" x14ac:dyDescent="0.2">
      <c r="A55" s="9">
        <v>6</v>
      </c>
      <c r="B55" s="9">
        <v>3.2522900911414165</v>
      </c>
      <c r="C55" s="9">
        <v>0.43470990885858329</v>
      </c>
      <c r="D55" s="9">
        <v>0.2862042214841311</v>
      </c>
    </row>
    <row r="56" spans="1:4" x14ac:dyDescent="0.2">
      <c r="A56" s="9">
        <v>7</v>
      </c>
      <c r="B56" s="9">
        <v>1.9721210543007239</v>
      </c>
      <c r="C56" s="9">
        <v>0.31487894569927599</v>
      </c>
      <c r="D56" s="9">
        <v>0.20730993630265365</v>
      </c>
    </row>
    <row r="57" spans="1:4" x14ac:dyDescent="0.2">
      <c r="A57" s="9">
        <v>8</v>
      </c>
      <c r="B57" s="9">
        <v>1.7198137558867921</v>
      </c>
      <c r="C57" s="9">
        <v>0.86018624411320799</v>
      </c>
      <c r="D57" s="9">
        <v>0.56632924465466428</v>
      </c>
    </row>
    <row r="58" spans="1:4" ht="17" thickBot="1" x14ac:dyDescent="0.25">
      <c r="A58" s="10">
        <v>9</v>
      </c>
      <c r="B58" s="10">
        <v>1.0844385154939451</v>
      </c>
      <c r="C58" s="10">
        <v>0.96856148450605484</v>
      </c>
      <c r="D58" s="10">
        <v>0.63768131340835965</v>
      </c>
    </row>
    <row r="61" spans="1:4" x14ac:dyDescent="0.2">
      <c r="A61" t="s">
        <v>20</v>
      </c>
    </row>
    <row r="62" spans="1:4" ht="17" thickBot="1" x14ac:dyDescent="0.25"/>
    <row r="63" spans="1:4" x14ac:dyDescent="0.2">
      <c r="A63" s="12" t="s">
        <v>21</v>
      </c>
      <c r="B63" s="12"/>
    </row>
    <row r="64" spans="1:4" x14ac:dyDescent="0.2">
      <c r="A64" s="9" t="s">
        <v>22</v>
      </c>
      <c r="B64" s="9">
        <v>0.95434750660618461</v>
      </c>
    </row>
    <row r="65" spans="1:9" x14ac:dyDescent="0.2">
      <c r="A65" s="9" t="s">
        <v>23</v>
      </c>
      <c r="B65" s="9">
        <v>0.91077916336544151</v>
      </c>
    </row>
    <row r="66" spans="1:9" x14ac:dyDescent="0.2">
      <c r="A66" s="9" t="s">
        <v>24</v>
      </c>
      <c r="B66" s="9">
        <v>0.89803332956050463</v>
      </c>
    </row>
    <row r="67" spans="1:9" x14ac:dyDescent="0.2">
      <c r="A67" s="9" t="s">
        <v>25</v>
      </c>
      <c r="B67" s="9">
        <v>0.60970546288609895</v>
      </c>
    </row>
    <row r="68" spans="1:9" ht="17" thickBot="1" x14ac:dyDescent="0.25">
      <c r="A68" s="10" t="s">
        <v>26</v>
      </c>
      <c r="B68" s="10">
        <v>9</v>
      </c>
    </row>
    <row r="70" spans="1:9" ht="17" thickBot="1" x14ac:dyDescent="0.25">
      <c r="A70" t="s">
        <v>27</v>
      </c>
    </row>
    <row r="71" spans="1:9" x14ac:dyDescent="0.2">
      <c r="A71" s="11"/>
      <c r="B71" s="11" t="s">
        <v>32</v>
      </c>
      <c r="C71" s="11" t="s">
        <v>33</v>
      </c>
      <c r="D71" s="11" t="s">
        <v>34</v>
      </c>
      <c r="E71" s="11" t="s">
        <v>35</v>
      </c>
      <c r="F71" s="11" t="s">
        <v>36</v>
      </c>
    </row>
    <row r="72" spans="1:9" x14ac:dyDescent="0.2">
      <c r="A72" s="9" t="s">
        <v>28</v>
      </c>
      <c r="B72" s="9">
        <v>1</v>
      </c>
      <c r="C72" s="9">
        <v>26.563482295243489</v>
      </c>
      <c r="D72" s="9">
        <v>26.563482295243489</v>
      </c>
      <c r="E72" s="9">
        <v>71.457009192498901</v>
      </c>
      <c r="F72" s="9">
        <v>6.4007016466905339E-5</v>
      </c>
    </row>
    <row r="73" spans="1:9" x14ac:dyDescent="0.2">
      <c r="A73" s="9" t="s">
        <v>29</v>
      </c>
      <c r="B73" s="9">
        <v>7</v>
      </c>
      <c r="C73" s="9">
        <v>2.6021852603120657</v>
      </c>
      <c r="D73" s="9">
        <v>0.37174075147315222</v>
      </c>
      <c r="E73" s="9"/>
      <c r="F73" s="9"/>
    </row>
    <row r="74" spans="1:9" ht="17" thickBot="1" x14ac:dyDescent="0.25">
      <c r="A74" s="10" t="s">
        <v>30</v>
      </c>
      <c r="B74" s="10">
        <v>8</v>
      </c>
      <c r="C74" s="10">
        <v>29.165667555555554</v>
      </c>
      <c r="D74" s="10"/>
      <c r="E74" s="10"/>
      <c r="F74" s="10"/>
    </row>
    <row r="75" spans="1:9" ht="17" thickBot="1" x14ac:dyDescent="0.25"/>
    <row r="76" spans="1:9" x14ac:dyDescent="0.2">
      <c r="A76" s="11"/>
      <c r="B76" s="11" t="s">
        <v>37</v>
      </c>
      <c r="C76" s="11" t="s">
        <v>25</v>
      </c>
      <c r="D76" s="11" t="s">
        <v>38</v>
      </c>
      <c r="E76" s="11" t="s">
        <v>39</v>
      </c>
      <c r="F76" s="11" t="s">
        <v>40</v>
      </c>
      <c r="G76" s="11" t="s">
        <v>41</v>
      </c>
      <c r="H76" s="11" t="s">
        <v>42</v>
      </c>
      <c r="I76" s="11" t="s">
        <v>43</v>
      </c>
    </row>
    <row r="77" spans="1:9" x14ac:dyDescent="0.2">
      <c r="A77" s="9" t="s">
        <v>31</v>
      </c>
      <c r="B77" s="9">
        <v>0.29433591261728376</v>
      </c>
      <c r="C77" s="9">
        <v>0.32838790019705461</v>
      </c>
      <c r="D77" s="9">
        <v>0.89630559603646365</v>
      </c>
      <c r="E77" s="9">
        <v>0.39986239506526627</v>
      </c>
      <c r="F77" s="9">
        <v>-0.48217808011830265</v>
      </c>
      <c r="G77" s="9">
        <v>1.0708499053528702</v>
      </c>
      <c r="H77" s="9">
        <v>-0.48217808011830265</v>
      </c>
      <c r="I77" s="9">
        <v>1.0708499053528702</v>
      </c>
    </row>
    <row r="78" spans="1:9" ht="17" thickBot="1" x14ac:dyDescent="0.25">
      <c r="A78" s="10" t="s">
        <v>44</v>
      </c>
      <c r="B78" s="10">
        <v>0.30985680116500369</v>
      </c>
      <c r="C78" s="10">
        <v>3.6655455072439148E-2</v>
      </c>
      <c r="D78" s="10">
        <v>8.453224780667961</v>
      </c>
      <c r="E78" s="10">
        <v>6.4007016466905339E-5</v>
      </c>
      <c r="F78" s="10">
        <v>0.22318042314754433</v>
      </c>
      <c r="G78" s="10">
        <v>0.39653317918246306</v>
      </c>
      <c r="H78" s="10">
        <v>0.22318042314754433</v>
      </c>
      <c r="I78" s="10">
        <v>0.39653317918246306</v>
      </c>
    </row>
    <row r="82" spans="1:4" x14ac:dyDescent="0.2">
      <c r="A82" t="s">
        <v>45</v>
      </c>
    </row>
    <row r="83" spans="1:4" ht="17" thickBot="1" x14ac:dyDescent="0.25"/>
    <row r="84" spans="1:4" x14ac:dyDescent="0.2">
      <c r="A84" s="11" t="s">
        <v>46</v>
      </c>
      <c r="B84" s="11" t="s">
        <v>47</v>
      </c>
      <c r="C84" s="11" t="s">
        <v>48</v>
      </c>
      <c r="D84" s="11" t="s">
        <v>59</v>
      </c>
    </row>
    <row r="85" spans="1:4" x14ac:dyDescent="0.2">
      <c r="A85" s="9">
        <v>1</v>
      </c>
      <c r="B85" s="9">
        <v>6.4723358159086395</v>
      </c>
      <c r="C85" s="9">
        <v>0.81766418409136055</v>
      </c>
      <c r="D85" s="9">
        <v>1.4336754948734347</v>
      </c>
    </row>
    <row r="86" spans="1:4" x14ac:dyDescent="0.2">
      <c r="A86" s="9">
        <v>2</v>
      </c>
      <c r="B86" s="9">
        <v>4.2510800039109462</v>
      </c>
      <c r="C86" s="9">
        <v>-1.0220800039109461</v>
      </c>
      <c r="D86" s="9">
        <v>-1.792093971971678</v>
      </c>
    </row>
    <row r="87" spans="1:4" x14ac:dyDescent="0.2">
      <c r="A87" s="9">
        <v>3</v>
      </c>
      <c r="B87" s="9">
        <v>2.7461378485103429</v>
      </c>
      <c r="C87" s="9">
        <v>-0.54113784851034286</v>
      </c>
      <c r="D87" s="9">
        <v>-0.94881992858712128</v>
      </c>
    </row>
    <row r="88" spans="1:4" x14ac:dyDescent="0.2">
      <c r="A88" s="9">
        <v>4</v>
      </c>
      <c r="B88" s="9">
        <v>2.1480321742245367</v>
      </c>
      <c r="C88" s="9">
        <v>-0.39403217422453674</v>
      </c>
      <c r="D88" s="9">
        <v>-0.69088787716094735</v>
      </c>
    </row>
    <row r="89" spans="1:4" x14ac:dyDescent="0.2">
      <c r="A89" s="9">
        <v>5</v>
      </c>
      <c r="B89" s="9">
        <v>1.8839942304249895</v>
      </c>
      <c r="C89" s="9">
        <v>-7.5994230424989428E-2</v>
      </c>
      <c r="D89" s="9">
        <v>-0.13324671427689566</v>
      </c>
    </row>
    <row r="90" spans="1:4" x14ac:dyDescent="0.2">
      <c r="A90" s="9">
        <v>6</v>
      </c>
      <c r="B90" s="9">
        <v>1.6431167002115592</v>
      </c>
      <c r="C90" s="9">
        <v>0.43488329978844065</v>
      </c>
      <c r="D90" s="9">
        <v>0.76251539711163507</v>
      </c>
    </row>
    <row r="91" spans="1:4" x14ac:dyDescent="0.2">
      <c r="A91" s="9">
        <v>7</v>
      </c>
      <c r="B91" s="9">
        <v>1.1801820842561541</v>
      </c>
      <c r="C91" s="9">
        <v>0.37681791574384582</v>
      </c>
      <c r="D91" s="9">
        <v>0.66070475183106714</v>
      </c>
    </row>
    <row r="92" spans="1:4" x14ac:dyDescent="0.2">
      <c r="A92" s="9">
        <v>8</v>
      </c>
      <c r="B92" s="9">
        <v>1.0889427409095502</v>
      </c>
      <c r="C92" s="9">
        <v>9.605725909044982E-2</v>
      </c>
      <c r="D92" s="9">
        <v>0.16842481441904392</v>
      </c>
    </row>
    <row r="93" spans="1:4" ht="17" thickBot="1" x14ac:dyDescent="0.25">
      <c r="A93" s="10">
        <v>9</v>
      </c>
      <c r="B93" s="10">
        <v>0.85917840164328263</v>
      </c>
      <c r="C93" s="10">
        <v>0.30782159835671741</v>
      </c>
      <c r="D93" s="10">
        <v>0.53972803376145995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35197-2E2A-0344-B099-E0E93C8EFF95}">
  <dimension ref="B1:N25"/>
  <sheetViews>
    <sheetView workbookViewId="0">
      <selection activeCell="K29" sqref="K29"/>
    </sheetView>
  </sheetViews>
  <sheetFormatPr baseColWidth="10" defaultRowHeight="16" x14ac:dyDescent="0.2"/>
  <cols>
    <col min="2" max="2" width="11.83203125" bestFit="1" customWidth="1"/>
    <col min="3" max="4" width="13.6640625" bestFit="1" customWidth="1"/>
    <col min="5" max="9" width="12.1640625" bestFit="1" customWidth="1"/>
  </cols>
  <sheetData>
    <row r="1" spans="2:14" x14ac:dyDescent="0.2">
      <c r="C1" t="s">
        <v>56</v>
      </c>
      <c r="D1" t="s">
        <v>3</v>
      </c>
      <c r="E1">
        <v>2018</v>
      </c>
      <c r="F1">
        <v>2017</v>
      </c>
      <c r="G1">
        <v>2016</v>
      </c>
      <c r="H1">
        <v>2015</v>
      </c>
      <c r="I1">
        <v>2014</v>
      </c>
      <c r="J1">
        <v>2013</v>
      </c>
      <c r="K1">
        <v>2012</v>
      </c>
    </row>
    <row r="2" spans="2:14" x14ac:dyDescent="0.2">
      <c r="B2" t="s">
        <v>15</v>
      </c>
      <c r="D2">
        <v>4500</v>
      </c>
      <c r="E2">
        <v>4406.1337089999997</v>
      </c>
      <c r="F2">
        <v>4396.454009</v>
      </c>
      <c r="G2">
        <v>3857.7383490000002</v>
      </c>
      <c r="H2">
        <v>3399.4490000000001</v>
      </c>
      <c r="I2">
        <v>3382.1959999999999</v>
      </c>
      <c r="J2">
        <v>3320.3110000000001</v>
      </c>
      <c r="K2">
        <v>3015.076</v>
      </c>
    </row>
    <row r="3" spans="2:14" x14ac:dyDescent="0.2">
      <c r="B3" t="s">
        <v>66</v>
      </c>
      <c r="D3">
        <f>E3*1.29</f>
        <v>183209.53040329504</v>
      </c>
      <c r="E3" s="4">
        <f>124745.623*E7</f>
        <v>142022.89178550002</v>
      </c>
      <c r="F3" s="4">
        <f>65873.515*F7</f>
        <v>78890.121564000001</v>
      </c>
      <c r="G3" s="4">
        <f>35343.492*G7</f>
        <v>39471.611865599996</v>
      </c>
      <c r="H3" s="4">
        <f>23010.943*H7</f>
        <v>27463.560470500001</v>
      </c>
      <c r="I3" s="4">
        <f>25071.959*I7</f>
        <v>31332.427162299999</v>
      </c>
      <c r="J3" s="4">
        <f>30836.714*J7</f>
        <v>39498.746962599995</v>
      </c>
      <c r="K3" s="4">
        <f>20842.592*K7</f>
        <v>25930.268707200001</v>
      </c>
      <c r="L3" s="4"/>
      <c r="M3" s="4"/>
    </row>
    <row r="4" spans="2:14" x14ac:dyDescent="0.2">
      <c r="B4" t="s">
        <v>52</v>
      </c>
      <c r="D4">
        <f t="shared" ref="D4:J4" si="0">(D3-E3)/E3</f>
        <v>0.29000000000000009</v>
      </c>
      <c r="E4">
        <f t="shared" si="0"/>
        <v>0.80026204764158271</v>
      </c>
      <c r="F4">
        <f t="shared" si="0"/>
        <v>0.99865467446881051</v>
      </c>
      <c r="G4">
        <f t="shared" si="0"/>
        <v>0.43723578404913854</v>
      </c>
      <c r="H4">
        <f t="shared" si="0"/>
        <v>-0.12347803991562838</v>
      </c>
      <c r="I4">
        <f t="shared" si="0"/>
        <v>-0.20674883200807367</v>
      </c>
      <c r="J4">
        <f t="shared" si="0"/>
        <v>0.52326793866322197</v>
      </c>
      <c r="M4">
        <f>MEDIAN(E4:K4)</f>
        <v>0.48025186135618025</v>
      </c>
      <c r="N4">
        <f>AVERAGE(E4:K4)</f>
        <v>0.40486559548317524</v>
      </c>
    </row>
    <row r="5" spans="2:14" x14ac:dyDescent="0.2">
      <c r="B5" t="s">
        <v>67</v>
      </c>
      <c r="C5">
        <f>D5*1.2</f>
        <v>48.855874774212012</v>
      </c>
      <c r="D5">
        <f t="shared" ref="D5:K5" si="1">D3/D2</f>
        <v>40.71322897851001</v>
      </c>
      <c r="E5">
        <f t="shared" si="1"/>
        <v>32.23299635583075</v>
      </c>
      <c r="F5">
        <f t="shared" si="1"/>
        <v>17.944034306398677</v>
      </c>
      <c r="G5">
        <f t="shared" si="1"/>
        <v>10.231801199226432</v>
      </c>
      <c r="H5">
        <f t="shared" si="1"/>
        <v>8.078827030645261</v>
      </c>
      <c r="I5">
        <f t="shared" si="1"/>
        <v>9.2639300508604467</v>
      </c>
      <c r="J5">
        <f t="shared" si="1"/>
        <v>11.89609857709112</v>
      </c>
      <c r="K5">
        <f t="shared" si="1"/>
        <v>8.6002040105125044</v>
      </c>
    </row>
    <row r="6" spans="2:14" x14ac:dyDescent="0.2">
      <c r="B6" t="s">
        <v>52</v>
      </c>
      <c r="E6">
        <f t="shared" ref="E6:J6" si="2">(E5-F5)/F5</f>
        <v>0.79630710716690734</v>
      </c>
      <c r="F6">
        <f t="shared" si="2"/>
        <v>0.75375126597996489</v>
      </c>
      <c r="G6">
        <f t="shared" si="2"/>
        <v>0.26649588614960251</v>
      </c>
      <c r="H6">
        <f t="shared" si="2"/>
        <v>-0.12792659418937558</v>
      </c>
      <c r="I6">
        <f t="shared" si="2"/>
        <v>-0.22126317373492221</v>
      </c>
      <c r="J6">
        <f t="shared" si="2"/>
        <v>0.38323446310690557</v>
      </c>
    </row>
    <row r="7" spans="2:14" x14ac:dyDescent="0.2">
      <c r="B7" t="s">
        <v>70</v>
      </c>
      <c r="D7">
        <v>1.1185</v>
      </c>
      <c r="E7">
        <v>1.1385000000000001</v>
      </c>
      <c r="F7">
        <v>1.1976</v>
      </c>
      <c r="G7">
        <v>1.1168</v>
      </c>
      <c r="H7">
        <v>1.1935</v>
      </c>
      <c r="I7">
        <v>1.2497</v>
      </c>
      <c r="J7">
        <v>1.2808999999999999</v>
      </c>
      <c r="K7">
        <v>1.2441</v>
      </c>
    </row>
    <row r="9" spans="2:14" x14ac:dyDescent="0.2">
      <c r="B9" t="s">
        <v>63</v>
      </c>
      <c r="C9">
        <f>C5*1</f>
        <v>48.855874774212012</v>
      </c>
      <c r="D9">
        <v>47.5</v>
      </c>
      <c r="E9">
        <v>38.137</v>
      </c>
      <c r="F9">
        <v>41.573</v>
      </c>
      <c r="G9">
        <v>6.4489999999999998</v>
      </c>
      <c r="H9">
        <v>9.3059999999999992</v>
      </c>
      <c r="I9">
        <v>6.8630000000000004</v>
      </c>
      <c r="J9">
        <v>5.7949999999999999</v>
      </c>
      <c r="K9">
        <v>4.7249999999999996</v>
      </c>
    </row>
    <row r="10" spans="2:14" x14ac:dyDescent="0.2">
      <c r="B10" t="s">
        <v>62</v>
      </c>
      <c r="C10">
        <f>C5*0.35</f>
        <v>17.099556170974203</v>
      </c>
      <c r="D10">
        <v>22.024000000000001</v>
      </c>
      <c r="E10">
        <v>18.553000000000001</v>
      </c>
      <c r="F10">
        <v>5.891</v>
      </c>
      <c r="G10">
        <v>3.839</v>
      </c>
      <c r="H10">
        <v>3.3879999999999999</v>
      </c>
      <c r="I10">
        <v>2.8780000000000001</v>
      </c>
      <c r="J10">
        <v>3.355</v>
      </c>
      <c r="K10">
        <v>1.2569999999999999</v>
      </c>
    </row>
    <row r="11" spans="2:14" x14ac:dyDescent="0.2">
      <c r="B11" t="s">
        <v>68</v>
      </c>
      <c r="D11">
        <f>D9/D5</f>
        <v>1.1666969481853751</v>
      </c>
      <c r="E11">
        <f t="shared" ref="E11:J11" si="3">E9/E5</f>
        <v>1.1831664539961781</v>
      </c>
      <c r="F11">
        <f t="shared" si="3"/>
        <v>2.3168145629979904</v>
      </c>
      <c r="G11">
        <f t="shared" si="3"/>
        <v>0.63028980669479506</v>
      </c>
      <c r="H11">
        <f t="shared" si="3"/>
        <v>1.1518998939697218</v>
      </c>
      <c r="I11">
        <f t="shared" si="3"/>
        <v>0.74083029149842894</v>
      </c>
      <c r="J11">
        <f t="shared" si="3"/>
        <v>0.48713449728465646</v>
      </c>
      <c r="K11">
        <f>K9/K5</f>
        <v>0.54940557156834546</v>
      </c>
      <c r="M11">
        <f>MEDIAN(D11:K11)</f>
        <v>0.94636509273407543</v>
      </c>
      <c r="N11">
        <f>AVERAGE(D11:K11)</f>
        <v>1.0282797532744363</v>
      </c>
    </row>
    <row r="12" spans="2:14" x14ac:dyDescent="0.2">
      <c r="B12" t="s">
        <v>69</v>
      </c>
      <c r="D12">
        <f>D10/D5</f>
        <v>0.54095439130178313</v>
      </c>
      <c r="E12">
        <f t="shared" ref="E12:K12" si="4">E10/E5</f>
        <v>0.57559029868608158</v>
      </c>
      <c r="F12">
        <f t="shared" si="4"/>
        <v>0.32829852525969166</v>
      </c>
      <c r="G12">
        <f t="shared" si="4"/>
        <v>0.37520275514053625</v>
      </c>
      <c r="H12">
        <f t="shared" si="4"/>
        <v>0.41936781009772384</v>
      </c>
      <c r="I12">
        <f t="shared" si="4"/>
        <v>0.31066728528813614</v>
      </c>
      <c r="J12">
        <f t="shared" si="4"/>
        <v>0.28202523527006429</v>
      </c>
      <c r="K12">
        <f t="shared" si="4"/>
        <v>0.14615932348389635</v>
      </c>
      <c r="M12">
        <f>MEDIAN(D12:K12)</f>
        <v>0.35175064020011393</v>
      </c>
      <c r="N12">
        <f>AVERAGE(D12:K12)</f>
        <v>0.37228320306598922</v>
      </c>
    </row>
    <row r="13" spans="2:14" x14ac:dyDescent="0.2">
      <c r="F13" s="19"/>
      <c r="G13" s="19"/>
    </row>
    <row r="14" spans="2:14" x14ac:dyDescent="0.2">
      <c r="F14" s="19"/>
      <c r="G14" s="19"/>
    </row>
    <row r="15" spans="2:14" ht="17" x14ac:dyDescent="0.25">
      <c r="C15">
        <v>19.938242052661845</v>
      </c>
      <c r="D15">
        <v>12.821999999999999</v>
      </c>
      <c r="E15">
        <v>7.9989999999999997</v>
      </c>
      <c r="F15" s="19"/>
      <c r="G15">
        <v>19.938242052661845</v>
      </c>
      <c r="H15">
        <v>16.244</v>
      </c>
      <c r="I15">
        <v>7.29</v>
      </c>
      <c r="K15" s="13">
        <v>37.049999999999997</v>
      </c>
    </row>
    <row r="16" spans="2:14" ht="17" x14ac:dyDescent="0.25">
      <c r="C16">
        <v>12.769589295497285</v>
      </c>
      <c r="D16">
        <v>16.244</v>
      </c>
      <c r="E16">
        <v>7.29</v>
      </c>
      <c r="F16" s="19"/>
      <c r="G16">
        <v>12.769589295497285</v>
      </c>
      <c r="H16">
        <v>13.106999999999999</v>
      </c>
      <c r="I16">
        <v>3.2290000000000001</v>
      </c>
      <c r="K16" s="13">
        <v>22.024000000000001</v>
      </c>
    </row>
    <row r="17" spans="3:11" ht="17" x14ac:dyDescent="0.25">
      <c r="C17">
        <v>7.9126936271036872</v>
      </c>
      <c r="D17">
        <v>13.106999999999999</v>
      </c>
      <c r="E17">
        <v>3.2290000000000001</v>
      </c>
      <c r="F17" s="19"/>
      <c r="G17">
        <v>7.9126936271036872</v>
      </c>
      <c r="H17">
        <v>3.7480000000000002</v>
      </c>
      <c r="I17">
        <v>2.2050000000000001</v>
      </c>
      <c r="K17" s="13">
        <v>18.553000000000001</v>
      </c>
    </row>
    <row r="18" spans="3:11" ht="17" x14ac:dyDescent="0.25">
      <c r="C18">
        <v>5.9824288336989913</v>
      </c>
      <c r="D18">
        <v>3.7480000000000002</v>
      </c>
      <c r="E18">
        <v>2.2050000000000001</v>
      </c>
      <c r="F18" s="19"/>
      <c r="G18">
        <v>5.9824288336989913</v>
      </c>
      <c r="H18">
        <v>3.1850000000000001</v>
      </c>
      <c r="I18">
        <v>1.754</v>
      </c>
      <c r="K18" s="13">
        <v>5.891</v>
      </c>
    </row>
    <row r="19" spans="3:11" ht="17" x14ac:dyDescent="0.25">
      <c r="C19">
        <v>5.1302999057335112</v>
      </c>
      <c r="D19">
        <v>3.1850000000000001</v>
      </c>
      <c r="E19">
        <v>1.754</v>
      </c>
      <c r="G19">
        <v>5.1302999057335112</v>
      </c>
      <c r="H19">
        <v>3.0779999999999998</v>
      </c>
      <c r="I19">
        <v>1.8080000000000001</v>
      </c>
      <c r="K19" s="13">
        <v>3.839</v>
      </c>
    </row>
    <row r="20" spans="3:11" ht="17" x14ac:dyDescent="0.25">
      <c r="C20">
        <v>4.3529165166719324</v>
      </c>
      <c r="D20">
        <v>3.0779999999999998</v>
      </c>
      <c r="E20">
        <v>1.8080000000000001</v>
      </c>
      <c r="G20">
        <v>4.3529165166719324</v>
      </c>
      <c r="H20">
        <v>3.6869999999999998</v>
      </c>
      <c r="I20">
        <v>2.0779999999999998</v>
      </c>
      <c r="K20" s="13">
        <v>3.3879999999999999</v>
      </c>
    </row>
    <row r="21" spans="3:11" ht="17" x14ac:dyDescent="0.25">
      <c r="C21">
        <v>2.8588889070959689</v>
      </c>
      <c r="D21">
        <v>3.6869999999999998</v>
      </c>
      <c r="E21">
        <v>2.0779999999999998</v>
      </c>
      <c r="G21">
        <v>2.8588889070959689</v>
      </c>
      <c r="H21">
        <v>2.2869999999999999</v>
      </c>
      <c r="I21">
        <v>1.5569999999999999</v>
      </c>
      <c r="K21" s="13">
        <v>2.8780000000000001</v>
      </c>
    </row>
    <row r="22" spans="3:11" ht="17" x14ac:dyDescent="0.25">
      <c r="C22">
        <v>2.5644324258970377</v>
      </c>
      <c r="D22">
        <v>2.2869999999999999</v>
      </c>
      <c r="E22">
        <v>1.5569999999999999</v>
      </c>
      <c r="G22">
        <v>2.5644324258970377</v>
      </c>
      <c r="H22">
        <v>2.58</v>
      </c>
      <c r="I22">
        <v>1.1850000000000001</v>
      </c>
      <c r="K22" s="13">
        <v>3.355</v>
      </c>
    </row>
    <row r="23" spans="3:11" ht="17" x14ac:dyDescent="0.25">
      <c r="C23">
        <v>1.8229146073357003</v>
      </c>
      <c r="D23">
        <v>2.58</v>
      </c>
      <c r="E23">
        <v>1.1850000000000001</v>
      </c>
      <c r="G23">
        <v>1.8229146073357003</v>
      </c>
      <c r="H23">
        <v>2.0529999999999999</v>
      </c>
      <c r="I23">
        <v>1.167</v>
      </c>
      <c r="K23" s="13">
        <v>1.2569999999999999</v>
      </c>
    </row>
    <row r="24" spans="3:11" ht="17" x14ac:dyDescent="0.25">
      <c r="H24" s="19"/>
      <c r="K24" s="13">
        <v>0.90200000000000002</v>
      </c>
    </row>
    <row r="25" spans="3:11" ht="17" x14ac:dyDescent="0.25">
      <c r="K25" s="13">
        <v>2.113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780C8-8017-4548-AAA4-C405A39CD1B0}">
  <dimension ref="B1:M27"/>
  <sheetViews>
    <sheetView workbookViewId="0">
      <selection activeCell="E8" sqref="E8:M8"/>
    </sheetView>
  </sheetViews>
  <sheetFormatPr baseColWidth="10" defaultRowHeight="16" x14ac:dyDescent="0.2"/>
  <cols>
    <col min="1" max="1" width="0.83203125" customWidth="1"/>
    <col min="3" max="4" width="50" customWidth="1"/>
    <col min="5" max="5" width="15.6640625" bestFit="1" customWidth="1"/>
    <col min="6" max="6" width="15.83203125" customWidth="1"/>
    <col min="7" max="9" width="15.6640625" bestFit="1" customWidth="1"/>
    <col min="10" max="13" width="14.6640625" bestFit="1" customWidth="1"/>
  </cols>
  <sheetData>
    <row r="1" spans="2:13" ht="6" customHeight="1" x14ac:dyDescent="0.2"/>
    <row r="2" spans="2:13" x14ac:dyDescent="0.2">
      <c r="B2">
        <v>1336</v>
      </c>
    </row>
    <row r="3" spans="2:13" ht="34" x14ac:dyDescent="0.2">
      <c r="B3" s="2" t="s">
        <v>0</v>
      </c>
      <c r="C3" s="6" t="s">
        <v>4</v>
      </c>
      <c r="D3" s="6"/>
    </row>
    <row r="5" spans="2:13" x14ac:dyDescent="0.2">
      <c r="D5">
        <v>2020</v>
      </c>
      <c r="E5" t="s">
        <v>3</v>
      </c>
      <c r="F5">
        <v>2018</v>
      </c>
      <c r="G5">
        <v>2017</v>
      </c>
      <c r="H5">
        <v>2016</v>
      </c>
      <c r="I5">
        <v>2015</v>
      </c>
      <c r="J5">
        <v>2014</v>
      </c>
      <c r="K5">
        <v>2013</v>
      </c>
      <c r="L5">
        <v>2012</v>
      </c>
      <c r="M5">
        <v>2011</v>
      </c>
    </row>
    <row r="6" spans="2:13" x14ac:dyDescent="0.2">
      <c r="C6" s="5" t="s">
        <v>7</v>
      </c>
      <c r="D6" s="5"/>
      <c r="E6">
        <v>3119546600</v>
      </c>
      <c r="F6">
        <v>3119546600</v>
      </c>
      <c r="G6">
        <v>3119546600</v>
      </c>
      <c r="H6">
        <v>3119546600</v>
      </c>
      <c r="I6">
        <v>3119546600</v>
      </c>
      <c r="J6">
        <v>3119546600</v>
      </c>
      <c r="K6">
        <v>3119546600</v>
      </c>
      <c r="L6">
        <v>3119546600</v>
      </c>
      <c r="M6">
        <v>3116960000</v>
      </c>
    </row>
    <row r="7" spans="2:13" x14ac:dyDescent="0.2">
      <c r="C7" s="5"/>
      <c r="D7" s="5"/>
    </row>
    <row r="8" spans="2:13" x14ac:dyDescent="0.2">
      <c r="C8" s="5" t="s">
        <v>8</v>
      </c>
      <c r="D8" s="5"/>
      <c r="E8">
        <v>1.1185</v>
      </c>
      <c r="F8">
        <v>1.1385000000000001</v>
      </c>
      <c r="G8">
        <v>1.1976</v>
      </c>
      <c r="H8">
        <v>1.1168</v>
      </c>
      <c r="I8">
        <v>1.1935</v>
      </c>
      <c r="J8">
        <v>1.2497</v>
      </c>
      <c r="K8">
        <v>1.2808999999999999</v>
      </c>
      <c r="L8">
        <v>1.2441</v>
      </c>
      <c r="M8">
        <v>1.2323999999999999</v>
      </c>
    </row>
    <row r="9" spans="2:13" x14ac:dyDescent="0.2">
      <c r="C9" s="5"/>
      <c r="D9" s="5"/>
    </row>
    <row r="10" spans="2:13" s="3" customFormat="1" x14ac:dyDescent="0.2">
      <c r="C10" s="5" t="s">
        <v>1</v>
      </c>
      <c r="D10" s="5"/>
      <c r="E10" s="3">
        <v>191403000000</v>
      </c>
      <c r="F10" s="3">
        <v>173151000000</v>
      </c>
      <c r="G10" s="3">
        <v>153474000000</v>
      </c>
      <c r="H10" s="3">
        <v>129450000000</v>
      </c>
      <c r="I10" s="3">
        <v>110650000000</v>
      </c>
      <c r="J10" s="3">
        <v>85260000000</v>
      </c>
      <c r="K10" s="3">
        <v>64407000000</v>
      </c>
      <c r="L10" s="3">
        <v>56870000000</v>
      </c>
      <c r="M10" s="3">
        <v>48991000000</v>
      </c>
    </row>
    <row r="11" spans="2:13" x14ac:dyDescent="0.2">
      <c r="C11" s="7" t="s">
        <v>9</v>
      </c>
      <c r="D11" s="7"/>
      <c r="E11">
        <f>ROUND((E10-F10)/F10 * 100,1)</f>
        <v>10.5</v>
      </c>
      <c r="F11">
        <f>ROUND((F10-G10)/G10 * 100,1)</f>
        <v>12.8</v>
      </c>
      <c r="G11">
        <f t="shared" ref="G11:L11" si="0">ROUND((G10-H10)/H10 * 100,1)</f>
        <v>18.600000000000001</v>
      </c>
      <c r="H11">
        <f t="shared" si="0"/>
        <v>17</v>
      </c>
      <c r="I11">
        <f t="shared" si="0"/>
        <v>29.8</v>
      </c>
      <c r="J11">
        <f t="shared" si="0"/>
        <v>32.4</v>
      </c>
      <c r="K11">
        <f t="shared" si="0"/>
        <v>13.3</v>
      </c>
      <c r="L11">
        <f t="shared" si="0"/>
        <v>16.100000000000001</v>
      </c>
    </row>
    <row r="13" spans="2:13" x14ac:dyDescent="0.2">
      <c r="C13" s="1" t="s">
        <v>2</v>
      </c>
      <c r="D13" s="1"/>
      <c r="E13">
        <v>11780000000</v>
      </c>
      <c r="F13">
        <v>12210000000</v>
      </c>
      <c r="G13">
        <v>12063000000</v>
      </c>
      <c r="H13">
        <v>10449000000</v>
      </c>
      <c r="I13">
        <v>7663000000</v>
      </c>
      <c r="J13">
        <v>4912000000</v>
      </c>
      <c r="K13">
        <v>4236000000</v>
      </c>
      <c r="L13">
        <v>4172000000</v>
      </c>
      <c r="M13">
        <v>4360000000</v>
      </c>
    </row>
    <row r="14" spans="2:13" x14ac:dyDescent="0.2">
      <c r="C14" s="8" t="s">
        <v>9</v>
      </c>
      <c r="D14" s="8"/>
      <c r="E14">
        <f>ROUND((E13-F13)/F13*100,1)</f>
        <v>-3.5</v>
      </c>
      <c r="F14">
        <f>ROUND((F13-G13)/G13*100,1)</f>
        <v>1.2</v>
      </c>
      <c r="G14">
        <f t="shared" ref="G14:L14" si="1">ROUND((G13-H13)/H13*100,1)</f>
        <v>15.4</v>
      </c>
      <c r="H14">
        <f t="shared" si="1"/>
        <v>36.4</v>
      </c>
      <c r="I14">
        <f t="shared" si="1"/>
        <v>56</v>
      </c>
      <c r="J14">
        <f t="shared" si="1"/>
        <v>16</v>
      </c>
      <c r="K14">
        <f t="shared" si="1"/>
        <v>1.5</v>
      </c>
      <c r="L14">
        <f t="shared" si="1"/>
        <v>-4.3</v>
      </c>
    </row>
    <row r="16" spans="2:13" x14ac:dyDescent="0.2">
      <c r="C16" s="1" t="s">
        <v>6</v>
      </c>
      <c r="D16" s="1"/>
      <c r="E16">
        <v>46.95</v>
      </c>
      <c r="F16">
        <v>57.65</v>
      </c>
      <c r="G16">
        <v>57.85</v>
      </c>
      <c r="H16">
        <v>40.25</v>
      </c>
      <c r="I16">
        <v>56.55</v>
      </c>
      <c r="J16">
        <v>40.35</v>
      </c>
      <c r="K16">
        <v>33.9</v>
      </c>
      <c r="L16">
        <v>37.4</v>
      </c>
    </row>
    <row r="17" spans="3:12" x14ac:dyDescent="0.2">
      <c r="C17" s="1" t="s">
        <v>11</v>
      </c>
      <c r="D17" s="1"/>
      <c r="E17">
        <f>ROUND(E16/E8,4)</f>
        <v>41.975900000000003</v>
      </c>
      <c r="F17">
        <f>ROUND(F16/F8,4)</f>
        <v>50.636800000000001</v>
      </c>
      <c r="G17">
        <f t="shared" ref="G17:L17" si="2">ROUND(G16/G8,4)</f>
        <v>48.304900000000004</v>
      </c>
      <c r="H17">
        <f t="shared" si="2"/>
        <v>36.040500000000002</v>
      </c>
      <c r="I17">
        <f t="shared" si="2"/>
        <v>47.381700000000002</v>
      </c>
      <c r="J17">
        <f t="shared" si="2"/>
        <v>32.287700000000001</v>
      </c>
      <c r="K17">
        <f t="shared" si="2"/>
        <v>26.465800000000002</v>
      </c>
      <c r="L17">
        <f t="shared" si="2"/>
        <v>30.061900000000001</v>
      </c>
    </row>
    <row r="18" spans="3:12" x14ac:dyDescent="0.2">
      <c r="C18" s="1" t="s">
        <v>5</v>
      </c>
      <c r="D18" s="1"/>
      <c r="E18">
        <v>27.23</v>
      </c>
      <c r="F18">
        <v>30.2</v>
      </c>
      <c r="G18">
        <v>35.200000000000003</v>
      </c>
      <c r="H18">
        <v>22</v>
      </c>
      <c r="I18">
        <v>27.05</v>
      </c>
      <c r="J18">
        <v>21.1</v>
      </c>
      <c r="K18">
        <v>20.05</v>
      </c>
      <c r="L18">
        <v>21.25</v>
      </c>
    </row>
    <row r="19" spans="3:12" x14ac:dyDescent="0.2">
      <c r="C19" s="1" t="s">
        <v>10</v>
      </c>
      <c r="D19" s="1"/>
      <c r="E19">
        <f>ROUND(E18/E8,4)</f>
        <v>24.345099999999999</v>
      </c>
      <c r="F19">
        <f>ROUND(F18/F8,4)</f>
        <v>26.5261</v>
      </c>
      <c r="G19">
        <f t="shared" ref="G19:L19" si="3">ROUND(G18/G8,4)</f>
        <v>29.392099999999999</v>
      </c>
      <c r="H19">
        <f t="shared" si="3"/>
        <v>19.699100000000001</v>
      </c>
      <c r="I19">
        <f t="shared" si="3"/>
        <v>22.664400000000001</v>
      </c>
      <c r="J19">
        <f t="shared" si="3"/>
        <v>16.8841</v>
      </c>
      <c r="K19">
        <f t="shared" si="3"/>
        <v>15.6531</v>
      </c>
      <c r="L19">
        <f t="shared" si="3"/>
        <v>17.0806</v>
      </c>
    </row>
    <row r="21" spans="3:12" x14ac:dyDescent="0.2">
      <c r="C21" s="1"/>
      <c r="D21" s="1">
        <f>E10/E6*0.5*F27</f>
        <v>19.729859222169498</v>
      </c>
      <c r="E21">
        <f>E10/E6</f>
        <v>61.356031674602967</v>
      </c>
      <c r="F21">
        <f>F10/F6</f>
        <v>55.505181426044416</v>
      </c>
      <c r="G21">
        <f t="shared" ref="G21:L21" si="4">G10/G6</f>
        <v>49.197534026258815</v>
      </c>
      <c r="H21">
        <f t="shared" si="4"/>
        <v>41.496414895677468</v>
      </c>
      <c r="I21">
        <f t="shared" si="4"/>
        <v>35.469898093524229</v>
      </c>
      <c r="J21">
        <f t="shared" si="4"/>
        <v>27.330894816573664</v>
      </c>
      <c r="K21">
        <f t="shared" si="4"/>
        <v>20.64626955724912</v>
      </c>
      <c r="L21">
        <f t="shared" si="4"/>
        <v>18.230213326513539</v>
      </c>
    </row>
    <row r="22" spans="3:12" x14ac:dyDescent="0.2">
      <c r="C22" s="1"/>
      <c r="D22" s="1"/>
      <c r="E22">
        <f>E17/E21</f>
        <v>0.6841364875521283</v>
      </c>
      <c r="F22">
        <f>F17/F21</f>
        <v>0.91228960430422001</v>
      </c>
      <c r="G22">
        <f t="shared" ref="G22:L22" si="5">G17/G21</f>
        <v>0.98185612258975474</v>
      </c>
      <c r="H22">
        <f t="shared" si="5"/>
        <v>0.86852081295712635</v>
      </c>
      <c r="I22">
        <f t="shared" si="5"/>
        <v>1.3358284784204248</v>
      </c>
      <c r="J22">
        <f t="shared" si="5"/>
        <v>1.1813627111989211</v>
      </c>
      <c r="K22">
        <f t="shared" si="5"/>
        <v>1.2818683746530657</v>
      </c>
      <c r="L22">
        <f t="shared" si="5"/>
        <v>1.6490152617292071</v>
      </c>
    </row>
    <row r="23" spans="3:12" x14ac:dyDescent="0.2">
      <c r="E23">
        <f>E19/E21</f>
        <v>0.39678413573277327</v>
      </c>
      <c r="F23">
        <f>F19/F21</f>
        <v>0.47790313117602551</v>
      </c>
      <c r="G23">
        <f t="shared" ref="G23:L23" si="6">G19/G21</f>
        <v>0.59743035056009486</v>
      </c>
      <c r="H23">
        <f t="shared" si="6"/>
        <v>0.47471811840911554</v>
      </c>
      <c r="I23">
        <f t="shared" si="6"/>
        <v>0.63897561645765932</v>
      </c>
      <c r="J23">
        <f t="shared" si="6"/>
        <v>0.61776608901079055</v>
      </c>
      <c r="K23">
        <f t="shared" si="6"/>
        <v>0.75815633214495326</v>
      </c>
      <c r="L23">
        <f t="shared" si="6"/>
        <v>0.93693911826903464</v>
      </c>
    </row>
    <row r="26" spans="3:12" x14ac:dyDescent="0.2">
      <c r="F26">
        <f>AVERAGE(F22:L22)</f>
        <v>1.1729630522646743</v>
      </c>
      <c r="G26">
        <f>E10/E6*F26</f>
        <v>71.968358187890331</v>
      </c>
    </row>
    <row r="27" spans="3:12" x14ac:dyDescent="0.2">
      <c r="F27">
        <f>AVERAGE(F23:L23)</f>
        <v>0.64312696514681067</v>
      </c>
      <c r="G27">
        <f>E10/E6*F27</f>
        <v>39.459718444338996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CC3C1-A7D5-0243-B541-E3FC6CD128D0}">
  <dimension ref="B1:P23"/>
  <sheetViews>
    <sheetView workbookViewId="0">
      <selection activeCell="D9" sqref="D9"/>
    </sheetView>
  </sheetViews>
  <sheetFormatPr baseColWidth="10" defaultRowHeight="16" x14ac:dyDescent="0.2"/>
  <cols>
    <col min="2" max="2" width="11.83203125" bestFit="1" customWidth="1"/>
    <col min="3" max="4" width="13.6640625" bestFit="1" customWidth="1"/>
    <col min="5" max="9" width="12.1640625" bestFit="1" customWidth="1"/>
    <col min="12" max="12" width="13.1640625" bestFit="1" customWidth="1"/>
  </cols>
  <sheetData>
    <row r="1" spans="2:16" x14ac:dyDescent="0.2">
      <c r="C1" t="s">
        <v>56</v>
      </c>
      <c r="D1">
        <v>2019</v>
      </c>
      <c r="E1">
        <v>2018</v>
      </c>
      <c r="F1">
        <v>2017</v>
      </c>
      <c r="G1">
        <v>2016</v>
      </c>
      <c r="H1">
        <v>2015</v>
      </c>
      <c r="I1">
        <v>2014</v>
      </c>
      <c r="J1">
        <v>2013</v>
      </c>
      <c r="K1">
        <v>2012</v>
      </c>
      <c r="L1">
        <v>2011</v>
      </c>
      <c r="M1">
        <v>2010</v>
      </c>
    </row>
    <row r="2" spans="2:16" x14ac:dyDescent="0.2">
      <c r="B2" t="s">
        <v>15</v>
      </c>
      <c r="D2">
        <v>3301.4929999999999</v>
      </c>
      <c r="E2">
        <v>3301.4929999999999</v>
      </c>
      <c r="F2">
        <v>3387.0219999999999</v>
      </c>
      <c r="G2">
        <v>3399.3809999999999</v>
      </c>
      <c r="H2">
        <v>3472.5720000000001</v>
      </c>
      <c r="I2">
        <v>3472.5720000000001</v>
      </c>
      <c r="J2">
        <v>3472.5720000000001</v>
      </c>
      <c r="K2">
        <v>3472.5720000000001</v>
      </c>
      <c r="L2">
        <v>3465.951</v>
      </c>
      <c r="M2">
        <v>3547.413</v>
      </c>
    </row>
    <row r="3" spans="2:16" x14ac:dyDescent="0.2">
      <c r="B3" t="s">
        <v>66</v>
      </c>
      <c r="C3">
        <f>D3*1.1</f>
        <v>124440.95400000001</v>
      </c>
      <c r="D3">
        <f>56564.07*2</f>
        <v>113128.14</v>
      </c>
      <c r="E3" s="4">
        <f>85512.704</f>
        <v>85512.703999999998</v>
      </c>
      <c r="F3" s="4">
        <f>70425.874</f>
        <v>70425.873999999996</v>
      </c>
      <c r="G3" s="4">
        <f>59286.161</f>
        <v>59286.161</v>
      </c>
      <c r="H3" s="4">
        <f>57732.974</f>
        <v>57732.974000000002</v>
      </c>
      <c r="I3" s="4">
        <v>56080.546000000002</v>
      </c>
      <c r="J3">
        <v>41502.660000000003</v>
      </c>
      <c r="K3" s="4">
        <v>28652.242999999999</v>
      </c>
      <c r="L3" s="4">
        <v>26031.425999999999</v>
      </c>
      <c r="M3" s="4">
        <v>21789.433000000001</v>
      </c>
      <c r="N3" s="4"/>
      <c r="O3" s="4"/>
    </row>
    <row r="4" spans="2:16" x14ac:dyDescent="0.2">
      <c r="B4" t="s">
        <v>52</v>
      </c>
      <c r="C4">
        <f>(C3-D3)/D3</f>
        <v>0.10000000000000012</v>
      </c>
      <c r="D4">
        <f>(D3-E3)/E3</f>
        <v>0.32293957164540138</v>
      </c>
      <c r="E4">
        <f t="shared" ref="E4:K4" si="0">(E3-F3)/F3</f>
        <v>0.21422282952427402</v>
      </c>
      <c r="F4">
        <f t="shared" si="0"/>
        <v>0.18789735769870469</v>
      </c>
      <c r="G4">
        <f t="shared" si="0"/>
        <v>2.690294458068275E-2</v>
      </c>
      <c r="H4">
        <f t="shared" si="0"/>
        <v>2.9465262338922302E-2</v>
      </c>
      <c r="I4">
        <f t="shared" si="0"/>
        <v>0.3512518474719451</v>
      </c>
      <c r="J4">
        <f t="shared" si="0"/>
        <v>0.448496021759972</v>
      </c>
      <c r="K4">
        <f t="shared" si="0"/>
        <v>0.10067896395687272</v>
      </c>
      <c r="L4">
        <f>(L3-M3)/M3</f>
        <v>0.19468120166320979</v>
      </c>
      <c r="O4">
        <f>MEDIAN(E4:L4)</f>
        <v>0.19128927968095724</v>
      </c>
      <c r="P4">
        <f>AVERAGE(E4:L4)</f>
        <v>0.19419955362432295</v>
      </c>
    </row>
    <row r="5" spans="2:16" x14ac:dyDescent="0.2">
      <c r="B5" t="s">
        <v>67</v>
      </c>
      <c r="C5">
        <f>D5*1.1</f>
        <v>42.158867836157768</v>
      </c>
      <c r="D5">
        <v>38.32624348741615</v>
      </c>
      <c r="E5">
        <v>29.488541548929533</v>
      </c>
      <c r="F5">
        <v>24.901529043035445</v>
      </c>
      <c r="G5">
        <v>19.477306193333433</v>
      </c>
      <c r="H5">
        <v>19.842440838951646</v>
      </c>
      <c r="I5">
        <v>20.182118134973155</v>
      </c>
      <c r="J5">
        <v>15.308755929034733</v>
      </c>
      <c r="K5">
        <v>10.265087524837497</v>
      </c>
      <c r="L5">
        <v>9.2560827900913765</v>
      </c>
      <c r="M5">
        <v>7.2461238965127546</v>
      </c>
    </row>
    <row r="6" spans="2:16" x14ac:dyDescent="0.2">
      <c r="B6" t="s">
        <v>52</v>
      </c>
      <c r="D6">
        <f>(D5-E5)/E5</f>
        <v>0.2996995264693732</v>
      </c>
      <c r="E6">
        <f t="shared" ref="E6:L6" si="1">(E5-F5)/F5</f>
        <v>0.18420605810858834</v>
      </c>
      <c r="F6">
        <f t="shared" si="1"/>
        <v>0.27848937609034358</v>
      </c>
      <c r="G6">
        <f t="shared" si="1"/>
        <v>-1.8401700102410587E-2</v>
      </c>
      <c r="H6">
        <f t="shared" si="1"/>
        <v>-1.6830606864444524E-2</v>
      </c>
      <c r="I6">
        <f t="shared" si="1"/>
        <v>0.31833822607985779</v>
      </c>
      <c r="J6">
        <f t="shared" si="1"/>
        <v>0.49134197755192355</v>
      </c>
      <c r="K6">
        <f t="shared" si="1"/>
        <v>0.109009908146701</v>
      </c>
      <c r="L6">
        <f t="shared" si="1"/>
        <v>0.27738400864853113</v>
      </c>
    </row>
    <row r="7" spans="2:16" x14ac:dyDescent="0.2">
      <c r="B7" t="s">
        <v>70</v>
      </c>
      <c r="D7">
        <v>1.1185</v>
      </c>
      <c r="E7">
        <v>1.1385000000000001</v>
      </c>
      <c r="F7">
        <v>1.1976</v>
      </c>
      <c r="G7">
        <v>1.1168</v>
      </c>
      <c r="H7">
        <v>1.1935</v>
      </c>
      <c r="I7">
        <v>1.2497</v>
      </c>
      <c r="J7">
        <v>1.2808999999999999</v>
      </c>
      <c r="K7">
        <v>1.2441</v>
      </c>
      <c r="L7">
        <v>1.2323999999999999</v>
      </c>
      <c r="M7">
        <v>1.1797</v>
      </c>
    </row>
    <row r="9" spans="2:16" x14ac:dyDescent="0.2">
      <c r="B9" t="s">
        <v>63</v>
      </c>
      <c r="D9">
        <v>30.75</v>
      </c>
      <c r="E9">
        <v>23.611999999999998</v>
      </c>
      <c r="F9">
        <v>17.050999999999998</v>
      </c>
      <c r="G9">
        <v>10.973000000000001</v>
      </c>
      <c r="H9">
        <v>15.308</v>
      </c>
      <c r="I9">
        <v>14.443</v>
      </c>
      <c r="J9">
        <v>14.388</v>
      </c>
      <c r="K9">
        <v>10.834</v>
      </c>
      <c r="L9">
        <v>8.5749999999999993</v>
      </c>
      <c r="M9">
        <v>9.8759999999999994</v>
      </c>
    </row>
    <row r="10" spans="2:16" ht="17" x14ac:dyDescent="0.25">
      <c r="B10" t="s">
        <v>62</v>
      </c>
      <c r="D10" s="13">
        <v>17.381</v>
      </c>
      <c r="E10" s="13">
        <v>13.541</v>
      </c>
      <c r="F10" s="13">
        <v>8.6189999999999998</v>
      </c>
      <c r="G10" s="13">
        <v>7.4569999999999999</v>
      </c>
      <c r="H10" s="13">
        <v>7.1989999999999998</v>
      </c>
      <c r="I10" s="13">
        <v>9.2789999999999999</v>
      </c>
      <c r="J10" s="13">
        <v>8.3279999999999994</v>
      </c>
      <c r="K10" s="13">
        <v>4.133</v>
      </c>
      <c r="L10" s="13">
        <v>3.5859999999999999</v>
      </c>
      <c r="M10" s="13">
        <v>6.3360000000000003</v>
      </c>
    </row>
    <row r="11" spans="2:16" x14ac:dyDescent="0.2">
      <c r="B11" t="s">
        <v>68</v>
      </c>
      <c r="D11">
        <f>D9/D5</f>
        <v>0.80232230456126763</v>
      </c>
      <c r="E11">
        <f t="shared" ref="E11:M11" si="2">E9/E5</f>
        <v>0.80071779612502203</v>
      </c>
      <c r="F11">
        <f t="shared" si="2"/>
        <v>0.6847370685764731</v>
      </c>
      <c r="G11">
        <f t="shared" si="2"/>
        <v>0.56337359443246671</v>
      </c>
      <c r="H11">
        <f t="shared" si="2"/>
        <v>0.77147766871249401</v>
      </c>
      <c r="I11">
        <f t="shared" si="2"/>
        <v>0.71563350800984749</v>
      </c>
      <c r="J11">
        <f t="shared" si="2"/>
        <v>0.93985429428080314</v>
      </c>
      <c r="K11">
        <f t="shared" si="2"/>
        <v>1.0554220773847234</v>
      </c>
      <c r="L11">
        <f t="shared" si="2"/>
        <v>0.92641781566382753</v>
      </c>
      <c r="M11">
        <f t="shared" si="2"/>
        <v>1.3629355695605605</v>
      </c>
      <c r="O11">
        <f>MEDIAN(D11:M11)</f>
        <v>0.80152005034314477</v>
      </c>
      <c r="P11">
        <f>AVERAGE(D11:M11)</f>
        <v>0.86228916973074854</v>
      </c>
    </row>
    <row r="12" spans="2:16" x14ac:dyDescent="0.2">
      <c r="B12" t="s">
        <v>69</v>
      </c>
      <c r="D12">
        <f>D10/D5</f>
        <v>0.45350126749851682</v>
      </c>
      <c r="E12">
        <f t="shared" ref="E12:M12" si="3">E10/E5</f>
        <v>0.45919531074576164</v>
      </c>
      <c r="F12">
        <f t="shared" si="3"/>
        <v>0.34612332379688127</v>
      </c>
      <c r="G12">
        <f t="shared" si="3"/>
        <v>0.38285581825233789</v>
      </c>
      <c r="H12">
        <f t="shared" si="3"/>
        <v>0.36280818768364542</v>
      </c>
      <c r="I12">
        <f t="shared" si="3"/>
        <v>0.45976343701608913</v>
      </c>
      <c r="J12">
        <f t="shared" si="3"/>
        <v>0.54400240219422624</v>
      </c>
      <c r="K12">
        <f t="shared" si="3"/>
        <v>0.40262686411584475</v>
      </c>
      <c r="L12">
        <f t="shared" si="3"/>
        <v>0.38742090810151436</v>
      </c>
      <c r="M12">
        <f t="shared" si="3"/>
        <v>0.87439851850300854</v>
      </c>
      <c r="O12">
        <f>MEDIAN(D12:M12)</f>
        <v>0.42806406580718082</v>
      </c>
      <c r="P12">
        <f>AVERAGE(D12:M12)</f>
        <v>0.46726960379078264</v>
      </c>
    </row>
    <row r="13" spans="2:16" x14ac:dyDescent="0.2">
      <c r="F13" s="19"/>
      <c r="G13" s="19"/>
    </row>
    <row r="14" spans="2:16" x14ac:dyDescent="0.2">
      <c r="C14">
        <f>C5*0.8</f>
        <v>33.727094268926216</v>
      </c>
      <c r="G14" s="19"/>
    </row>
    <row r="15" spans="2:16" ht="17" x14ac:dyDescent="0.25">
      <c r="G15" s="13"/>
      <c r="H15">
        <v>29.488541548929533</v>
      </c>
      <c r="I15">
        <v>23.611999999999998</v>
      </c>
      <c r="J15" s="13">
        <v>13.541</v>
      </c>
    </row>
    <row r="16" spans="2:16" ht="17" x14ac:dyDescent="0.25">
      <c r="G16" s="13"/>
      <c r="H16">
        <v>24.901529043035445</v>
      </c>
      <c r="I16">
        <v>17.050999999999998</v>
      </c>
      <c r="J16" s="13">
        <v>8.6189999999999998</v>
      </c>
    </row>
    <row r="17" spans="7:10" ht="17" x14ac:dyDescent="0.25">
      <c r="G17" s="13"/>
      <c r="H17">
        <v>19.477306193333433</v>
      </c>
      <c r="I17">
        <v>10.973000000000001</v>
      </c>
      <c r="J17" s="13">
        <v>7.4569999999999999</v>
      </c>
    </row>
    <row r="18" spans="7:10" ht="17" x14ac:dyDescent="0.25">
      <c r="G18" s="13"/>
      <c r="H18">
        <v>19.842440838951646</v>
      </c>
      <c r="I18">
        <v>15.308</v>
      </c>
      <c r="J18" s="13">
        <v>7.1989999999999998</v>
      </c>
    </row>
    <row r="19" spans="7:10" ht="17" x14ac:dyDescent="0.25">
      <c r="G19" s="13"/>
      <c r="H19">
        <v>20.182118134973155</v>
      </c>
      <c r="I19">
        <v>14.443</v>
      </c>
      <c r="J19" s="13">
        <v>9.2789999999999999</v>
      </c>
    </row>
    <row r="20" spans="7:10" ht="17" x14ac:dyDescent="0.25">
      <c r="G20" s="13"/>
      <c r="H20">
        <v>15.308755929034733</v>
      </c>
      <c r="I20">
        <v>14.388</v>
      </c>
      <c r="J20" s="13">
        <v>8.3279999999999994</v>
      </c>
    </row>
    <row r="21" spans="7:10" ht="17" x14ac:dyDescent="0.25">
      <c r="G21" s="13"/>
      <c r="H21">
        <v>10.265087524837497</v>
      </c>
      <c r="I21">
        <v>10.834</v>
      </c>
      <c r="J21" s="13">
        <v>4.133</v>
      </c>
    </row>
    <row r="22" spans="7:10" ht="17" x14ac:dyDescent="0.25">
      <c r="G22" s="13"/>
      <c r="H22">
        <v>9.2560827900913765</v>
      </c>
      <c r="I22">
        <v>8.5749999999999993</v>
      </c>
      <c r="J22" s="13">
        <v>3.5859999999999999</v>
      </c>
    </row>
    <row r="23" spans="7:10" ht="17" x14ac:dyDescent="0.25">
      <c r="G23" s="13"/>
      <c r="H23">
        <v>7.2461238965127546</v>
      </c>
      <c r="I23">
        <v>9.8759999999999994</v>
      </c>
      <c r="J23" s="13">
        <v>6.3360000000000003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7C327-AF50-7F4B-A35F-C3FD7BF482D3}">
  <dimension ref="B1:P39"/>
  <sheetViews>
    <sheetView workbookViewId="0">
      <selection activeCell="C6" sqref="C6"/>
    </sheetView>
  </sheetViews>
  <sheetFormatPr baseColWidth="10" defaultRowHeight="16" x14ac:dyDescent="0.2"/>
  <cols>
    <col min="2" max="2" width="11.83203125" bestFit="1" customWidth="1"/>
    <col min="3" max="4" width="13.6640625" bestFit="1" customWidth="1"/>
    <col min="5" max="9" width="12.1640625" bestFit="1" customWidth="1"/>
    <col min="12" max="12" width="13.1640625" bestFit="1" customWidth="1"/>
  </cols>
  <sheetData>
    <row r="1" spans="2:16" x14ac:dyDescent="0.2">
      <c r="C1" t="s">
        <v>56</v>
      </c>
      <c r="D1">
        <v>2019</v>
      </c>
      <c r="E1">
        <v>2018</v>
      </c>
      <c r="F1">
        <v>2017</v>
      </c>
      <c r="G1">
        <v>2016</v>
      </c>
      <c r="H1">
        <v>2015</v>
      </c>
      <c r="I1">
        <v>2014</v>
      </c>
      <c r="J1">
        <v>2013</v>
      </c>
      <c r="K1">
        <v>2012</v>
      </c>
      <c r="L1">
        <v>2011</v>
      </c>
      <c r="M1">
        <v>2010</v>
      </c>
    </row>
    <row r="2" spans="2:16" x14ac:dyDescent="0.2">
      <c r="B2" t="s">
        <v>15</v>
      </c>
      <c r="D2">
        <v>2685</v>
      </c>
      <c r="E2">
        <v>2677.8833540000001</v>
      </c>
      <c r="F2">
        <v>2676.5713540000002</v>
      </c>
      <c r="G2">
        <v>2671.5713540000002</v>
      </c>
      <c r="H2">
        <v>2783.845354</v>
      </c>
      <c r="I2">
        <v>2783.845354</v>
      </c>
      <c r="J2">
        <v>2782.845354</v>
      </c>
      <c r="K2">
        <v>2615.5</v>
      </c>
      <c r="L2">
        <v>2615.5</v>
      </c>
      <c r="M2">
        <v>2612.5</v>
      </c>
    </row>
    <row r="3" spans="2:16" x14ac:dyDescent="0.2">
      <c r="B3" t="s">
        <v>66</v>
      </c>
      <c r="D3">
        <f>E3*1.5</f>
        <v>46508.750999999997</v>
      </c>
      <c r="E3" s="4">
        <v>31005.833999999999</v>
      </c>
      <c r="F3" s="4">
        <v>19115.255000000001</v>
      </c>
      <c r="G3" s="4">
        <v>11827.268</v>
      </c>
      <c r="H3" s="4">
        <v>9572.4240000000009</v>
      </c>
      <c r="I3" s="4">
        <v>6976.1509999999998</v>
      </c>
      <c r="J3" s="4">
        <v>5729.2669999999998</v>
      </c>
      <c r="K3" s="4">
        <v>3943.2049999999999</v>
      </c>
      <c r="L3" s="4">
        <v>3022.154</v>
      </c>
      <c r="M3" s="4">
        <v>2442.172</v>
      </c>
      <c r="N3" s="4"/>
      <c r="O3" s="4"/>
    </row>
    <row r="4" spans="2:16" x14ac:dyDescent="0.2">
      <c r="B4" t="s">
        <v>52</v>
      </c>
      <c r="E4">
        <f>(E3-F3)/F3</f>
        <v>0.62204658007439595</v>
      </c>
      <c r="F4">
        <f t="shared" ref="F4:L4" si="0">(F3-G3)/G3</f>
        <v>0.61620206796700649</v>
      </c>
      <c r="G4">
        <f t="shared" si="0"/>
        <v>0.23555621857117892</v>
      </c>
      <c r="H4">
        <f t="shared" si="0"/>
        <v>0.37216410596616978</v>
      </c>
      <c r="I4">
        <f t="shared" si="0"/>
        <v>0.2176341231784101</v>
      </c>
      <c r="J4">
        <f t="shared" si="0"/>
        <v>0.45294677806505113</v>
      </c>
      <c r="K4">
        <f t="shared" si="0"/>
        <v>0.3047664017121563</v>
      </c>
      <c r="L4">
        <f t="shared" si="0"/>
        <v>0.23748613938739777</v>
      </c>
      <c r="O4">
        <f>MEDIAN(E4:L4)</f>
        <v>0.33846525383916304</v>
      </c>
      <c r="P4">
        <f>AVERAGE(E4:L4)</f>
        <v>0.38235030186522079</v>
      </c>
    </row>
    <row r="5" spans="2:16" x14ac:dyDescent="0.2">
      <c r="B5" t="s">
        <v>67</v>
      </c>
      <c r="C5">
        <f>D5*1.4</f>
        <v>27.124042156759778</v>
      </c>
      <c r="D5">
        <f>D3/D2*D7</f>
        <v>19.374315826256986</v>
      </c>
      <c r="E5">
        <f>E3/E2*E7</f>
        <v>13.182105918195271</v>
      </c>
      <c r="F5">
        <f t="shared" ref="F5:M5" si="1">F3/F2*F7</f>
        <v>8.5528933700154965</v>
      </c>
      <c r="G5">
        <f t="shared" si="1"/>
        <v>4.9441662423215211</v>
      </c>
      <c r="H5">
        <f t="shared" si="1"/>
        <v>4.1039233833820212</v>
      </c>
      <c r="I5">
        <f t="shared" si="1"/>
        <v>3.1316739244057876</v>
      </c>
      <c r="J5">
        <f t="shared" si="1"/>
        <v>2.6370915975448055</v>
      </c>
      <c r="K5">
        <f t="shared" si="1"/>
        <v>1.8756418812846491</v>
      </c>
      <c r="L5">
        <f t="shared" si="1"/>
        <v>1.4240116955075512</v>
      </c>
      <c r="M5">
        <f t="shared" si="1"/>
        <v>1.1027867209186601</v>
      </c>
    </row>
    <row r="6" spans="2:16" x14ac:dyDescent="0.2">
      <c r="B6" t="s">
        <v>52</v>
      </c>
      <c r="E6">
        <f>(E5-F5)/F5</f>
        <v>0.54124520766372974</v>
      </c>
      <c r="F6">
        <f t="shared" ref="F6:L6" si="2">(F5-G5)/G5</f>
        <v>0.72989599273658456</v>
      </c>
      <c r="G6">
        <f t="shared" si="2"/>
        <v>0.20474136099662277</v>
      </c>
      <c r="H6">
        <f t="shared" si="2"/>
        <v>0.31045679800802084</v>
      </c>
      <c r="I6">
        <f t="shared" si="2"/>
        <v>0.1875484064798697</v>
      </c>
      <c r="J6">
        <f t="shared" si="2"/>
        <v>0.40596753775759714</v>
      </c>
      <c r="K6">
        <f t="shared" si="2"/>
        <v>0.31715342451322093</v>
      </c>
      <c r="L6">
        <f t="shared" si="2"/>
        <v>0.29128476839229567</v>
      </c>
      <c r="O6">
        <f>MEDIAN(E6:L6)</f>
        <v>0.31380511126062088</v>
      </c>
      <c r="P6">
        <f>AVERAGE(E6:L6)</f>
        <v>0.37353668706849263</v>
      </c>
    </row>
    <row r="7" spans="2:16" x14ac:dyDescent="0.2">
      <c r="B7" t="s">
        <v>70</v>
      </c>
      <c r="D7">
        <v>1.1185</v>
      </c>
      <c r="E7">
        <v>1.1385000000000001</v>
      </c>
      <c r="F7">
        <v>1.1976</v>
      </c>
      <c r="G7">
        <v>1.1168</v>
      </c>
      <c r="H7">
        <v>1.1935</v>
      </c>
      <c r="I7">
        <v>1.2497</v>
      </c>
      <c r="J7">
        <v>1.2808999999999999</v>
      </c>
      <c r="K7">
        <v>1.2441</v>
      </c>
      <c r="L7">
        <v>1.2323999999999999</v>
      </c>
      <c r="M7">
        <v>1.1797</v>
      </c>
    </row>
    <row r="9" spans="2:16" ht="17" x14ac:dyDescent="0.25">
      <c r="B9" t="s">
        <v>63</v>
      </c>
      <c r="D9" s="13">
        <v>12.84</v>
      </c>
      <c r="E9" s="13">
        <v>7.16</v>
      </c>
      <c r="F9" s="13">
        <v>4.8940000000000001</v>
      </c>
      <c r="G9" s="13">
        <v>1.6439999999999999</v>
      </c>
      <c r="H9" s="13">
        <v>1.9890000000000001</v>
      </c>
      <c r="I9" s="13">
        <v>1.1930000000000001</v>
      </c>
      <c r="J9" s="13">
        <v>1.306</v>
      </c>
      <c r="K9" s="13">
        <v>1.004</v>
      </c>
      <c r="L9" s="13">
        <v>1.1060000000000001</v>
      </c>
      <c r="M9" s="13">
        <v>1.1579999999999999</v>
      </c>
    </row>
    <row r="10" spans="2:16" ht="17" x14ac:dyDescent="0.25">
      <c r="B10" t="s">
        <v>62</v>
      </c>
      <c r="C10" s="13"/>
      <c r="D10" s="13">
        <v>4.625</v>
      </c>
      <c r="E10" s="13">
        <v>3.8919999999999999</v>
      </c>
      <c r="F10" s="13">
        <v>1.4790000000000001</v>
      </c>
      <c r="G10" s="13">
        <v>1.08</v>
      </c>
      <c r="H10" s="13">
        <v>0.92500000000000004</v>
      </c>
      <c r="I10" s="13">
        <v>0.84699999999999998</v>
      </c>
      <c r="J10" s="13">
        <v>0.91800000000000004</v>
      </c>
      <c r="K10" s="13">
        <v>0.56699999999999995</v>
      </c>
      <c r="L10" s="13">
        <v>0.44</v>
      </c>
      <c r="M10" s="13">
        <v>0.69699999999999995</v>
      </c>
    </row>
    <row r="11" spans="2:16" x14ac:dyDescent="0.2">
      <c r="B11" t="s">
        <v>68</v>
      </c>
      <c r="C11">
        <f>C5*0.5</f>
        <v>13.562021078379889</v>
      </c>
      <c r="D11">
        <f>D9/D5</f>
        <v>0.66273307997790698</v>
      </c>
      <c r="E11">
        <f t="shared" ref="E11:M11" si="3">E9/E5</f>
        <v>0.54316055753406189</v>
      </c>
      <c r="F11">
        <f t="shared" si="3"/>
        <v>0.57220402362985767</v>
      </c>
      <c r="G11">
        <f t="shared" si="3"/>
        <v>0.33251309107034877</v>
      </c>
      <c r="H11">
        <f t="shared" si="3"/>
        <v>0.48465817077727114</v>
      </c>
      <c r="I11">
        <f t="shared" si="3"/>
        <v>0.38094642954450092</v>
      </c>
      <c r="J11">
        <f t="shared" si="3"/>
        <v>0.4952425623804334</v>
      </c>
      <c r="K11">
        <f t="shared" si="3"/>
        <v>0.53528341951521607</v>
      </c>
      <c r="L11">
        <f t="shared" si="3"/>
        <v>0.77667901428702502</v>
      </c>
      <c r="M11">
        <f t="shared" si="3"/>
        <v>1.0500670510752479</v>
      </c>
      <c r="O11">
        <f>MEDIAN(D11:M11)</f>
        <v>0.53922198852463898</v>
      </c>
      <c r="P11">
        <f>AVERAGE(D11:M11)</f>
        <v>0.5833487399791869</v>
      </c>
    </row>
    <row r="12" spans="2:16" x14ac:dyDescent="0.2">
      <c r="B12" t="s">
        <v>69</v>
      </c>
      <c r="C12">
        <f>C5*0.28</f>
        <v>7.5947318038927385</v>
      </c>
      <c r="D12">
        <f>D10/D5</f>
        <v>0.23871810707926946</v>
      </c>
      <c r="E12">
        <f t="shared" ref="E12:M12" si="4">E10/E5</f>
        <v>0.29524872764281684</v>
      </c>
      <c r="F12">
        <f t="shared" si="4"/>
        <v>0.17292393766827943</v>
      </c>
      <c r="G12">
        <f t="shared" si="4"/>
        <v>0.21843925690752841</v>
      </c>
      <c r="H12">
        <f t="shared" si="4"/>
        <v>0.22539407137706174</v>
      </c>
      <c r="I12">
        <f t="shared" si="4"/>
        <v>0.27046238543519885</v>
      </c>
      <c r="J12">
        <f t="shared" si="4"/>
        <v>0.34811077508823723</v>
      </c>
      <c r="K12">
        <f t="shared" si="4"/>
        <v>0.30229651281387199</v>
      </c>
      <c r="L12">
        <f t="shared" si="4"/>
        <v>0.30898622629863559</v>
      </c>
      <c r="M12">
        <f t="shared" si="4"/>
        <v>0.63203517668346099</v>
      </c>
      <c r="O12">
        <f>MEDIAN(D12:M12)</f>
        <v>0.28285555653900785</v>
      </c>
      <c r="P12">
        <f>AVERAGE(D12:M12)</f>
        <v>0.3012615176994361</v>
      </c>
    </row>
    <row r="13" spans="2:16" x14ac:dyDescent="0.2">
      <c r="F13" s="19"/>
      <c r="G13" s="19"/>
    </row>
    <row r="14" spans="2:16" x14ac:dyDescent="0.2">
      <c r="G14" s="19"/>
    </row>
    <row r="15" spans="2:16" ht="17" x14ac:dyDescent="0.25">
      <c r="G15" s="13"/>
      <c r="H15">
        <v>29.488541548929533</v>
      </c>
      <c r="I15">
        <v>23.611999999999998</v>
      </c>
      <c r="J15" s="13">
        <v>13.541</v>
      </c>
      <c r="L15" s="13"/>
    </row>
    <row r="16" spans="2:16" ht="17" x14ac:dyDescent="0.25">
      <c r="G16" s="13"/>
      <c r="H16">
        <v>24.901529043035445</v>
      </c>
      <c r="I16">
        <v>17.050999999999998</v>
      </c>
      <c r="J16" s="13">
        <v>8.6189999999999998</v>
      </c>
      <c r="L16" s="13"/>
    </row>
    <row r="17" spans="7:12" ht="17" x14ac:dyDescent="0.25">
      <c r="G17" s="13"/>
      <c r="H17">
        <v>19.477306193333433</v>
      </c>
      <c r="I17">
        <v>10.973000000000001</v>
      </c>
      <c r="J17" s="13">
        <v>7.4569999999999999</v>
      </c>
      <c r="L17" s="13"/>
    </row>
    <row r="18" spans="7:12" ht="17" x14ac:dyDescent="0.25">
      <c r="G18" s="13"/>
      <c r="H18">
        <v>19.842440838951646</v>
      </c>
      <c r="I18">
        <v>15.308</v>
      </c>
      <c r="J18" s="13">
        <v>7.1989999999999998</v>
      </c>
      <c r="L18" s="13"/>
    </row>
    <row r="19" spans="7:12" ht="17" x14ac:dyDescent="0.25">
      <c r="G19" s="13"/>
      <c r="H19">
        <v>20.182118134973155</v>
      </c>
      <c r="I19">
        <v>14.443</v>
      </c>
      <c r="J19" s="13">
        <v>9.2789999999999999</v>
      </c>
      <c r="L19" s="13"/>
    </row>
    <row r="20" spans="7:12" ht="17" x14ac:dyDescent="0.25">
      <c r="G20" s="13"/>
      <c r="H20">
        <v>15.308755929034733</v>
      </c>
      <c r="I20">
        <v>14.388</v>
      </c>
      <c r="J20" s="13">
        <v>8.3279999999999994</v>
      </c>
      <c r="L20" s="13"/>
    </row>
    <row r="21" spans="7:12" ht="17" x14ac:dyDescent="0.25">
      <c r="G21" s="13"/>
      <c r="H21">
        <v>10.265087524837497</v>
      </c>
      <c r="I21">
        <v>10.834</v>
      </c>
      <c r="J21" s="13">
        <v>4.133</v>
      </c>
      <c r="L21" s="13"/>
    </row>
    <row r="22" spans="7:12" ht="17" x14ac:dyDescent="0.25">
      <c r="G22" s="13"/>
      <c r="H22">
        <v>9.2560827900913765</v>
      </c>
      <c r="I22">
        <v>8.5749999999999993</v>
      </c>
      <c r="J22" s="13">
        <v>3.5859999999999999</v>
      </c>
      <c r="L22" s="13"/>
    </row>
    <row r="23" spans="7:12" ht="17" x14ac:dyDescent="0.25">
      <c r="G23" s="13"/>
      <c r="H23">
        <v>7.2461238965127546</v>
      </c>
      <c r="I23">
        <v>9.8759999999999994</v>
      </c>
      <c r="J23" s="13">
        <v>6.3360000000000003</v>
      </c>
      <c r="L23" s="13"/>
    </row>
    <row r="24" spans="7:12" ht="17" x14ac:dyDescent="0.25">
      <c r="L24" s="13"/>
    </row>
    <row r="25" spans="7:12" ht="17" x14ac:dyDescent="0.25">
      <c r="L25" s="13"/>
    </row>
    <row r="26" spans="7:12" ht="17" x14ac:dyDescent="0.25">
      <c r="L26" s="13"/>
    </row>
    <row r="27" spans="7:12" ht="17" x14ac:dyDescent="0.25">
      <c r="L27" s="13"/>
    </row>
    <row r="28" spans="7:12" ht="17" x14ac:dyDescent="0.25">
      <c r="L28" s="13"/>
    </row>
    <row r="29" spans="7:12" ht="17" x14ac:dyDescent="0.25">
      <c r="L29" s="13">
        <v>9.99</v>
      </c>
    </row>
    <row r="30" spans="7:12" ht="17" x14ac:dyDescent="0.25">
      <c r="L30" s="13">
        <v>4.625</v>
      </c>
    </row>
    <row r="31" spans="7:12" ht="17" x14ac:dyDescent="0.25">
      <c r="L31" s="13">
        <v>3.8919999999999999</v>
      </c>
    </row>
    <row r="32" spans="7:12" ht="17" x14ac:dyDescent="0.25">
      <c r="L32" s="13">
        <v>1.4790000000000001</v>
      </c>
    </row>
    <row r="33" spans="12:12" ht="17" x14ac:dyDescent="0.25">
      <c r="L33" s="13">
        <v>1.08</v>
      </c>
    </row>
    <row r="34" spans="12:12" ht="17" x14ac:dyDescent="0.25">
      <c r="L34" s="13">
        <v>0.92500000000000004</v>
      </c>
    </row>
    <row r="35" spans="12:12" ht="17" x14ac:dyDescent="0.25">
      <c r="L35" s="13">
        <v>0.84699999999999998</v>
      </c>
    </row>
    <row r="36" spans="12:12" ht="17" x14ac:dyDescent="0.25">
      <c r="L36" s="13">
        <v>0.91800000000000004</v>
      </c>
    </row>
    <row r="37" spans="12:12" ht="17" x14ac:dyDescent="0.25">
      <c r="L37" s="13">
        <v>0.56699999999999995</v>
      </c>
    </row>
    <row r="38" spans="12:12" ht="17" x14ac:dyDescent="0.25">
      <c r="L38" s="13">
        <v>0.44</v>
      </c>
    </row>
    <row r="39" spans="12:12" ht="17" x14ac:dyDescent="0.25">
      <c r="L39" s="13">
        <v>0.69699999999999995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21F42-C531-BE43-B539-3C13D75ECA71}">
  <dimension ref="B1:P23"/>
  <sheetViews>
    <sheetView workbookViewId="0">
      <selection activeCell="D18" sqref="D18"/>
    </sheetView>
  </sheetViews>
  <sheetFormatPr baseColWidth="10" defaultRowHeight="16" x14ac:dyDescent="0.2"/>
  <cols>
    <col min="2" max="2" width="11.83203125" bestFit="1" customWidth="1"/>
    <col min="3" max="4" width="13.6640625" bestFit="1" customWidth="1"/>
    <col min="5" max="9" width="12.1640625" bestFit="1" customWidth="1"/>
    <col min="12" max="12" width="13.1640625" bestFit="1" customWidth="1"/>
  </cols>
  <sheetData>
    <row r="1" spans="2:16" x14ac:dyDescent="0.2">
      <c r="C1" t="s">
        <v>56</v>
      </c>
      <c r="D1">
        <v>2019</v>
      </c>
      <c r="E1">
        <v>2018</v>
      </c>
      <c r="F1">
        <v>2017</v>
      </c>
      <c r="G1">
        <v>2016</v>
      </c>
      <c r="H1">
        <v>2015</v>
      </c>
      <c r="I1">
        <v>2014</v>
      </c>
      <c r="J1">
        <v>2013</v>
      </c>
      <c r="K1">
        <v>2012</v>
      </c>
      <c r="L1">
        <v>2011</v>
      </c>
      <c r="M1">
        <v>2010</v>
      </c>
    </row>
    <row r="2" spans="2:16" x14ac:dyDescent="0.2">
      <c r="B2" t="s">
        <v>15</v>
      </c>
      <c r="D2">
        <v>3301.4929999999999</v>
      </c>
      <c r="E2">
        <v>3301.4929999999999</v>
      </c>
      <c r="F2">
        <v>3387.0219999999999</v>
      </c>
      <c r="G2">
        <v>3399.3809999999999</v>
      </c>
      <c r="H2">
        <v>3472.5720000000001</v>
      </c>
      <c r="I2">
        <v>3472.5720000000001</v>
      </c>
      <c r="J2">
        <v>3472.5720000000001</v>
      </c>
      <c r="K2">
        <v>3472.5720000000001</v>
      </c>
      <c r="L2">
        <v>3465.951</v>
      </c>
      <c r="M2">
        <v>3547.413</v>
      </c>
    </row>
    <row r="3" spans="2:16" x14ac:dyDescent="0.2">
      <c r="B3" t="s">
        <v>66</v>
      </c>
      <c r="C3">
        <f>D3*1.1</f>
        <v>124440.95400000001</v>
      </c>
      <c r="D3">
        <f>56564.07*2</f>
        <v>113128.14</v>
      </c>
      <c r="E3" s="4">
        <f>85512.704</f>
        <v>85512.703999999998</v>
      </c>
      <c r="F3" s="4">
        <f>70425.874</f>
        <v>70425.873999999996</v>
      </c>
      <c r="G3" s="4">
        <f>59286.161</f>
        <v>59286.161</v>
      </c>
      <c r="H3" s="4">
        <f>57732.974</f>
        <v>57732.974000000002</v>
      </c>
      <c r="I3" s="4">
        <v>56080.546000000002</v>
      </c>
      <c r="J3">
        <v>41502.660000000003</v>
      </c>
      <c r="K3" s="4">
        <v>28652.242999999999</v>
      </c>
      <c r="L3" s="4">
        <v>26031.425999999999</v>
      </c>
      <c r="M3" s="4">
        <v>21789.433000000001</v>
      </c>
      <c r="N3" s="4"/>
      <c r="O3" s="4"/>
    </row>
    <row r="4" spans="2:16" x14ac:dyDescent="0.2">
      <c r="B4" t="s">
        <v>52</v>
      </c>
      <c r="C4">
        <f>(C3-D3)/D3</f>
        <v>0.10000000000000012</v>
      </c>
      <c r="D4">
        <f>(D3-E3)/E3</f>
        <v>0.32293957164540138</v>
      </c>
      <c r="E4">
        <f t="shared" ref="E4:K4" si="0">(E3-F3)/F3</f>
        <v>0.21422282952427402</v>
      </c>
      <c r="F4">
        <f t="shared" si="0"/>
        <v>0.18789735769870469</v>
      </c>
      <c r="G4">
        <f t="shared" si="0"/>
        <v>2.690294458068275E-2</v>
      </c>
      <c r="H4">
        <f t="shared" si="0"/>
        <v>2.9465262338922302E-2</v>
      </c>
      <c r="I4">
        <f t="shared" si="0"/>
        <v>0.3512518474719451</v>
      </c>
      <c r="J4">
        <f t="shared" si="0"/>
        <v>0.448496021759972</v>
      </c>
      <c r="K4">
        <f t="shared" si="0"/>
        <v>0.10067896395687272</v>
      </c>
      <c r="L4">
        <f>(L3-M3)/M3</f>
        <v>0.19468120166320979</v>
      </c>
      <c r="O4">
        <f>MEDIAN(E4:L4)</f>
        <v>0.19128927968095724</v>
      </c>
      <c r="P4">
        <f>AVERAGE(E4:L4)</f>
        <v>0.19419955362432295</v>
      </c>
    </row>
    <row r="5" spans="2:16" x14ac:dyDescent="0.2">
      <c r="B5" t="s">
        <v>67</v>
      </c>
      <c r="C5">
        <f>D5*1.1</f>
        <v>42.158867836157768</v>
      </c>
      <c r="D5">
        <v>38.32624348741615</v>
      </c>
      <c r="E5">
        <v>29.488541548929533</v>
      </c>
      <c r="F5">
        <v>24.901529043035445</v>
      </c>
      <c r="G5">
        <v>19.477306193333433</v>
      </c>
      <c r="H5">
        <v>19.842440838951646</v>
      </c>
      <c r="I5">
        <v>20.182118134973155</v>
      </c>
      <c r="J5">
        <v>15.308755929034733</v>
      </c>
      <c r="K5">
        <v>10.265087524837497</v>
      </c>
      <c r="L5">
        <v>9.2560827900913765</v>
      </c>
      <c r="M5">
        <v>7.2461238965127546</v>
      </c>
    </row>
    <row r="6" spans="2:16" x14ac:dyDescent="0.2">
      <c r="B6" t="s">
        <v>52</v>
      </c>
      <c r="D6">
        <f>(D5-E5)/E5</f>
        <v>0.2996995264693732</v>
      </c>
      <c r="E6">
        <f t="shared" ref="E6:L6" si="1">(E5-F5)/F5</f>
        <v>0.18420605810858834</v>
      </c>
      <c r="F6">
        <f t="shared" si="1"/>
        <v>0.27848937609034358</v>
      </c>
      <c r="G6">
        <f t="shared" si="1"/>
        <v>-1.8401700102410587E-2</v>
      </c>
      <c r="H6">
        <f t="shared" si="1"/>
        <v>-1.6830606864444524E-2</v>
      </c>
      <c r="I6">
        <f t="shared" si="1"/>
        <v>0.31833822607985779</v>
      </c>
      <c r="J6">
        <f t="shared" si="1"/>
        <v>0.49134197755192355</v>
      </c>
      <c r="K6">
        <f t="shared" si="1"/>
        <v>0.109009908146701</v>
      </c>
      <c r="L6">
        <f t="shared" si="1"/>
        <v>0.27738400864853113</v>
      </c>
    </row>
    <row r="7" spans="2:16" x14ac:dyDescent="0.2">
      <c r="B7" t="s">
        <v>70</v>
      </c>
      <c r="D7">
        <v>1.1185</v>
      </c>
      <c r="E7">
        <v>1.1385000000000001</v>
      </c>
      <c r="F7">
        <v>1.1976</v>
      </c>
      <c r="G7">
        <v>1.1168</v>
      </c>
      <c r="H7">
        <v>1.1935</v>
      </c>
      <c r="I7">
        <v>1.2497</v>
      </c>
      <c r="J7">
        <v>1.2808999999999999</v>
      </c>
      <c r="K7">
        <v>1.2441</v>
      </c>
      <c r="L7">
        <v>1.2323999999999999</v>
      </c>
      <c r="M7">
        <v>1.1797</v>
      </c>
    </row>
    <row r="9" spans="2:16" x14ac:dyDescent="0.2">
      <c r="B9" t="s">
        <v>63</v>
      </c>
      <c r="D9">
        <v>30.75</v>
      </c>
      <c r="E9">
        <v>23.611999999999998</v>
      </c>
      <c r="F9">
        <v>17.050999999999998</v>
      </c>
      <c r="G9">
        <v>10.973000000000001</v>
      </c>
      <c r="H9">
        <v>15.308</v>
      </c>
      <c r="I9">
        <v>14.443</v>
      </c>
      <c r="J9">
        <v>14.388</v>
      </c>
      <c r="K9">
        <v>10.834</v>
      </c>
      <c r="L9">
        <v>8.5749999999999993</v>
      </c>
      <c r="M9">
        <v>9.8759999999999994</v>
      </c>
    </row>
    <row r="10" spans="2:16" ht="17" x14ac:dyDescent="0.25">
      <c r="B10" t="s">
        <v>62</v>
      </c>
      <c r="D10" s="13">
        <v>17.381</v>
      </c>
      <c r="E10" s="13">
        <v>13.541</v>
      </c>
      <c r="F10" s="13">
        <v>8.6189999999999998</v>
      </c>
      <c r="G10" s="13">
        <v>7.4569999999999999</v>
      </c>
      <c r="H10" s="13">
        <v>7.1989999999999998</v>
      </c>
      <c r="I10" s="13">
        <v>9.2789999999999999</v>
      </c>
      <c r="J10" s="13">
        <v>8.3279999999999994</v>
      </c>
      <c r="K10" s="13">
        <v>4.133</v>
      </c>
      <c r="L10" s="13">
        <v>3.5859999999999999</v>
      </c>
      <c r="M10" s="13">
        <v>6.3360000000000003</v>
      </c>
    </row>
    <row r="11" spans="2:16" x14ac:dyDescent="0.2">
      <c r="B11" t="s">
        <v>68</v>
      </c>
      <c r="D11">
        <f>D9/D5</f>
        <v>0.80232230456126763</v>
      </c>
      <c r="E11">
        <f t="shared" ref="E11:M11" si="2">E9/E5</f>
        <v>0.80071779612502203</v>
      </c>
      <c r="F11">
        <f t="shared" si="2"/>
        <v>0.6847370685764731</v>
      </c>
      <c r="G11">
        <f t="shared" si="2"/>
        <v>0.56337359443246671</v>
      </c>
      <c r="H11">
        <f t="shared" si="2"/>
        <v>0.77147766871249401</v>
      </c>
      <c r="I11">
        <f t="shared" si="2"/>
        <v>0.71563350800984749</v>
      </c>
      <c r="J11">
        <f t="shared" si="2"/>
        <v>0.93985429428080314</v>
      </c>
      <c r="K11">
        <f t="shared" si="2"/>
        <v>1.0554220773847234</v>
      </c>
      <c r="L11">
        <f t="shared" si="2"/>
        <v>0.92641781566382753</v>
      </c>
      <c r="M11">
        <f t="shared" si="2"/>
        <v>1.3629355695605605</v>
      </c>
      <c r="O11">
        <f>MEDIAN(D11:M11)</f>
        <v>0.80152005034314477</v>
      </c>
      <c r="P11">
        <f>AVERAGE(D11:M11)</f>
        <v>0.86228916973074854</v>
      </c>
    </row>
    <row r="12" spans="2:16" x14ac:dyDescent="0.2">
      <c r="B12" t="s">
        <v>69</v>
      </c>
      <c r="D12">
        <f>D10/D5</f>
        <v>0.45350126749851682</v>
      </c>
      <c r="E12">
        <f t="shared" ref="E12:M12" si="3">E10/E5</f>
        <v>0.45919531074576164</v>
      </c>
      <c r="F12">
        <f t="shared" si="3"/>
        <v>0.34612332379688127</v>
      </c>
      <c r="G12">
        <f t="shared" si="3"/>
        <v>0.38285581825233789</v>
      </c>
      <c r="H12">
        <f t="shared" si="3"/>
        <v>0.36280818768364542</v>
      </c>
      <c r="I12">
        <f t="shared" si="3"/>
        <v>0.45976343701608913</v>
      </c>
      <c r="J12">
        <f t="shared" si="3"/>
        <v>0.54400240219422624</v>
      </c>
      <c r="K12">
        <f t="shared" si="3"/>
        <v>0.40262686411584475</v>
      </c>
      <c r="L12">
        <f t="shared" si="3"/>
        <v>0.38742090810151436</v>
      </c>
      <c r="M12">
        <f t="shared" si="3"/>
        <v>0.87439851850300854</v>
      </c>
      <c r="O12">
        <f>MEDIAN(D12:M12)</f>
        <v>0.42806406580718082</v>
      </c>
      <c r="P12">
        <f>AVERAGE(D12:M12)</f>
        <v>0.46726960379078264</v>
      </c>
    </row>
    <row r="13" spans="2:16" x14ac:dyDescent="0.2">
      <c r="F13" s="19"/>
      <c r="G13" s="19"/>
    </row>
    <row r="14" spans="2:16" x14ac:dyDescent="0.2">
      <c r="C14">
        <f>C5*0.8</f>
        <v>33.727094268926216</v>
      </c>
      <c r="G14" s="19"/>
    </row>
    <row r="15" spans="2:16" ht="17" x14ac:dyDescent="0.25">
      <c r="G15" s="13"/>
      <c r="H15">
        <v>29.488541548929533</v>
      </c>
      <c r="I15">
        <v>23.611999999999998</v>
      </c>
      <c r="J15" s="13">
        <v>13.541</v>
      </c>
    </row>
    <row r="16" spans="2:16" ht="17" x14ac:dyDescent="0.25">
      <c r="G16" s="13"/>
      <c r="H16">
        <v>24.901529043035445</v>
      </c>
      <c r="I16">
        <v>17.050999999999998</v>
      </c>
      <c r="J16" s="13">
        <v>8.6189999999999998</v>
      </c>
    </row>
    <row r="17" spans="7:10" ht="17" x14ac:dyDescent="0.25">
      <c r="G17" s="13"/>
      <c r="H17">
        <v>19.477306193333433</v>
      </c>
      <c r="I17">
        <v>10.973000000000001</v>
      </c>
      <c r="J17" s="13">
        <v>7.4569999999999999</v>
      </c>
    </row>
    <row r="18" spans="7:10" ht="17" x14ac:dyDescent="0.25">
      <c r="G18" s="13"/>
      <c r="H18">
        <v>19.842440838951646</v>
      </c>
      <c r="I18">
        <v>15.308</v>
      </c>
      <c r="J18" s="13">
        <v>7.1989999999999998</v>
      </c>
    </row>
    <row r="19" spans="7:10" ht="17" x14ac:dyDescent="0.25">
      <c r="G19" s="13"/>
      <c r="H19">
        <v>20.182118134973155</v>
      </c>
      <c r="I19">
        <v>14.443</v>
      </c>
      <c r="J19" s="13">
        <v>9.2789999999999999</v>
      </c>
    </row>
    <row r="20" spans="7:10" ht="17" x14ac:dyDescent="0.25">
      <c r="G20" s="13"/>
      <c r="H20">
        <v>15.308755929034733</v>
      </c>
      <c r="I20">
        <v>14.388</v>
      </c>
      <c r="J20" s="13">
        <v>8.3279999999999994</v>
      </c>
    </row>
    <row r="21" spans="7:10" ht="17" x14ac:dyDescent="0.25">
      <c r="G21" s="13"/>
      <c r="H21">
        <v>10.265087524837497</v>
      </c>
      <c r="I21">
        <v>10.834</v>
      </c>
      <c r="J21" s="13">
        <v>4.133</v>
      </c>
    </row>
    <row r="22" spans="7:10" ht="17" x14ac:dyDescent="0.25">
      <c r="G22" s="13"/>
      <c r="H22">
        <v>9.2560827900913765</v>
      </c>
      <c r="I22">
        <v>8.5749999999999993</v>
      </c>
      <c r="J22" s="13">
        <v>3.5859999999999999</v>
      </c>
    </row>
    <row r="23" spans="7:10" ht="17" x14ac:dyDescent="0.25">
      <c r="G23" s="13"/>
      <c r="H23">
        <v>7.2461238965127546</v>
      </c>
      <c r="I23">
        <v>9.8759999999999994</v>
      </c>
      <c r="J23" s="13">
        <v>6.3360000000000003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B4DF0-D62F-234C-8AEC-9508EA3F37B6}">
  <dimension ref="B1:N34"/>
  <sheetViews>
    <sheetView topLeftCell="B1" workbookViewId="0">
      <selection activeCell="D7" sqref="D7"/>
    </sheetView>
  </sheetViews>
  <sheetFormatPr baseColWidth="10" defaultRowHeight="16" x14ac:dyDescent="0.2"/>
  <cols>
    <col min="1" max="1" width="0.83203125" customWidth="1"/>
    <col min="3" max="4" width="50" customWidth="1"/>
    <col min="5" max="5" width="15.6640625" bestFit="1" customWidth="1"/>
    <col min="6" max="6" width="15.83203125" customWidth="1"/>
    <col min="7" max="9" width="15.6640625" bestFit="1" customWidth="1"/>
    <col min="10" max="13" width="14.6640625" bestFit="1" customWidth="1"/>
  </cols>
  <sheetData>
    <row r="1" spans="2:14" ht="6" customHeight="1" x14ac:dyDescent="0.2"/>
    <row r="2" spans="2:14" x14ac:dyDescent="0.2">
      <c r="B2">
        <v>11</v>
      </c>
    </row>
    <row r="3" spans="2:14" ht="17" x14ac:dyDescent="0.2">
      <c r="B3" s="2" t="s">
        <v>0</v>
      </c>
      <c r="C3" s="6" t="s">
        <v>12</v>
      </c>
      <c r="D3" s="6"/>
    </row>
    <row r="5" spans="2:14" x14ac:dyDescent="0.2">
      <c r="D5" t="s">
        <v>56</v>
      </c>
      <c r="E5" t="s">
        <v>3</v>
      </c>
      <c r="F5">
        <v>2018</v>
      </c>
      <c r="G5">
        <v>2017</v>
      </c>
      <c r="H5">
        <v>2016</v>
      </c>
      <c r="I5">
        <v>2015</v>
      </c>
      <c r="J5">
        <v>2014</v>
      </c>
      <c r="K5">
        <v>2013</v>
      </c>
      <c r="L5">
        <v>2012</v>
      </c>
      <c r="M5">
        <v>2011</v>
      </c>
      <c r="N5">
        <v>2010</v>
      </c>
    </row>
    <row r="6" spans="2:14" x14ac:dyDescent="0.2">
      <c r="C6" s="5" t="s">
        <v>13</v>
      </c>
      <c r="D6" s="14">
        <f>E6*0.8</f>
        <v>6.56</v>
      </c>
      <c r="E6">
        <v>8.1999999999999993</v>
      </c>
      <c r="F6">
        <v>7.5</v>
      </c>
      <c r="G6">
        <v>6.7</v>
      </c>
      <c r="H6">
        <v>6.1</v>
      </c>
      <c r="I6">
        <v>8.6999999999999993</v>
      </c>
      <c r="J6">
        <v>5.6</v>
      </c>
      <c r="K6">
        <v>5.5</v>
      </c>
      <c r="L6">
        <v>5.3</v>
      </c>
      <c r="M6">
        <v>5.2</v>
      </c>
      <c r="N6">
        <v>5.2</v>
      </c>
    </row>
    <row r="7" spans="2:14" x14ac:dyDescent="0.2">
      <c r="C7" s="5" t="s">
        <v>53</v>
      </c>
      <c r="D7" s="14"/>
      <c r="E7">
        <f>(E6-F6)/F6*100</f>
        <v>9.3333333333333233</v>
      </c>
      <c r="F7">
        <f t="shared" ref="F7:M7" si="0">(F6-G6)/G6*100</f>
        <v>11.940298507462684</v>
      </c>
      <c r="G7">
        <f t="shared" si="0"/>
        <v>9.8360655737705009</v>
      </c>
      <c r="H7">
        <f t="shared" si="0"/>
        <v>-29.885057471264364</v>
      </c>
      <c r="I7">
        <f t="shared" si="0"/>
        <v>55.357142857142847</v>
      </c>
      <c r="J7">
        <f t="shared" si="0"/>
        <v>1.8181818181818119</v>
      </c>
      <c r="K7">
        <f t="shared" si="0"/>
        <v>3.7735849056603805</v>
      </c>
      <c r="L7">
        <f t="shared" si="0"/>
        <v>1.9230769230769162</v>
      </c>
      <c r="M7">
        <f t="shared" si="0"/>
        <v>0</v>
      </c>
    </row>
    <row r="8" spans="2:14" x14ac:dyDescent="0.2">
      <c r="C8" s="5"/>
      <c r="D8" s="14"/>
    </row>
    <row r="9" spans="2:14" x14ac:dyDescent="0.2">
      <c r="C9" s="5"/>
      <c r="D9" s="14"/>
    </row>
    <row r="10" spans="2:14" s="3" customFormat="1" x14ac:dyDescent="0.2">
      <c r="C10" s="5"/>
      <c r="D10" s="14"/>
      <c r="E10" s="3">
        <f>AVERAGE(E7:M7)</f>
        <v>7.1218473830404561</v>
      </c>
    </row>
    <row r="11" spans="2:14" x14ac:dyDescent="0.2">
      <c r="C11" s="7"/>
      <c r="D11" s="7"/>
      <c r="E11">
        <f>MEDIAN(E7:M7)</f>
        <v>3.7735849056603805</v>
      </c>
    </row>
    <row r="13" spans="2:14" x14ac:dyDescent="0.2">
      <c r="C13" s="1"/>
      <c r="D13" s="1"/>
    </row>
    <row r="14" spans="2:14" x14ac:dyDescent="0.2">
      <c r="C14" s="8"/>
      <c r="D14" s="8"/>
    </row>
    <row r="16" spans="2:14" ht="17" x14ac:dyDescent="0.25">
      <c r="C16" s="1" t="s">
        <v>6</v>
      </c>
      <c r="D16" s="1"/>
      <c r="E16" s="13">
        <v>207.62200000000001</v>
      </c>
      <c r="F16" s="13">
        <v>205.34899999999999</v>
      </c>
      <c r="G16" s="13">
        <v>179.97</v>
      </c>
      <c r="H16" s="13">
        <v>133.624</v>
      </c>
      <c r="I16" s="13">
        <v>135.327</v>
      </c>
      <c r="J16" s="13">
        <v>108.459</v>
      </c>
      <c r="K16" s="13">
        <v>100.18</v>
      </c>
      <c r="L16" s="13">
        <v>89.120999999999995</v>
      </c>
      <c r="M16" s="13">
        <v>90.957999999999998</v>
      </c>
      <c r="N16" s="13">
        <v>88.995000000000005</v>
      </c>
    </row>
    <row r="17" spans="3:14" ht="17" x14ac:dyDescent="0.25">
      <c r="C17" s="1" t="s">
        <v>5</v>
      </c>
      <c r="D17" s="1"/>
      <c r="E17" s="13">
        <v>155.66200000000001</v>
      </c>
      <c r="F17" s="13">
        <v>161.92699999999999</v>
      </c>
      <c r="G17" s="13">
        <v>128.54599999999999</v>
      </c>
      <c r="H17" s="13">
        <v>102.619</v>
      </c>
      <c r="I17" s="13">
        <v>103.15900000000001</v>
      </c>
      <c r="J17" s="13">
        <v>91.021000000000001</v>
      </c>
      <c r="K17" s="13">
        <v>84.132999999999996</v>
      </c>
      <c r="L17" s="13">
        <v>65.168999999999997</v>
      </c>
      <c r="M17" s="13">
        <v>59.087000000000003</v>
      </c>
      <c r="N17" s="13">
        <v>67.051000000000002</v>
      </c>
    </row>
    <row r="19" spans="3:14" x14ac:dyDescent="0.2">
      <c r="C19" s="1" t="s">
        <v>54</v>
      </c>
      <c r="D19" s="1">
        <f>D6*E22</f>
        <v>135.15244680524916</v>
      </c>
      <c r="E19">
        <f>E16/E$6</f>
        <v>25.31975609756098</v>
      </c>
      <c r="F19">
        <f>F16/F$6</f>
        <v>27.379866666666665</v>
      </c>
      <c r="G19">
        <f t="shared" ref="G19:N19" si="1">G16/G$6</f>
        <v>26.861194029850747</v>
      </c>
      <c r="H19">
        <f t="shared" si="1"/>
        <v>21.905573770491802</v>
      </c>
      <c r="I19">
        <f t="shared" si="1"/>
        <v>15.554827586206898</v>
      </c>
      <c r="J19">
        <f t="shared" si="1"/>
        <v>19.367678571428574</v>
      </c>
      <c r="K19">
        <f t="shared" si="1"/>
        <v>18.214545454545455</v>
      </c>
      <c r="L19">
        <f t="shared" si="1"/>
        <v>16.815283018867923</v>
      </c>
      <c r="M19">
        <f t="shared" si="1"/>
        <v>17.491923076923076</v>
      </c>
      <c r="N19">
        <f t="shared" si="1"/>
        <v>17.114423076923078</v>
      </c>
    </row>
    <row r="20" spans="3:14" x14ac:dyDescent="0.2">
      <c r="C20" s="1" t="s">
        <v>55</v>
      </c>
      <c r="D20" s="1">
        <f>D6*E23</f>
        <v>102.69257225959873</v>
      </c>
      <c r="E20">
        <f>E17/E$6</f>
        <v>18.983170731707318</v>
      </c>
      <c r="F20">
        <f t="shared" ref="F20:N20" si="2">F17/F$6</f>
        <v>21.590266666666665</v>
      </c>
      <c r="G20">
        <f t="shared" si="2"/>
        <v>19.18597014925373</v>
      </c>
      <c r="H20">
        <f t="shared" si="2"/>
        <v>16.822786885245904</v>
      </c>
      <c r="I20">
        <f t="shared" si="2"/>
        <v>11.857356321839083</v>
      </c>
      <c r="J20">
        <f t="shared" si="2"/>
        <v>16.25375</v>
      </c>
      <c r="K20">
        <f t="shared" si="2"/>
        <v>15.296909090909089</v>
      </c>
      <c r="L20">
        <f t="shared" si="2"/>
        <v>12.296037735849056</v>
      </c>
      <c r="M20">
        <f t="shared" si="2"/>
        <v>11.362884615384615</v>
      </c>
      <c r="N20">
        <f t="shared" si="2"/>
        <v>12.894423076923077</v>
      </c>
    </row>
    <row r="21" spans="3:14" x14ac:dyDescent="0.2">
      <c r="C21" s="1"/>
      <c r="D21" s="1"/>
    </row>
    <row r="22" spans="3:14" ht="17" x14ac:dyDescent="0.25">
      <c r="C22" s="1"/>
      <c r="D22" s="1"/>
      <c r="E22" s="13">
        <f>AVERAGE(E19:N19)</f>
        <v>20.602507134946521</v>
      </c>
      <c r="G22">
        <f>MEDIAN(E19:N19)</f>
        <v>18.791112012987014</v>
      </c>
    </row>
    <row r="23" spans="3:14" ht="17" x14ac:dyDescent="0.25">
      <c r="E23" s="13">
        <f>AVERAGE(E20:N20)</f>
        <v>15.654355527377856</v>
      </c>
      <c r="G23">
        <f>MEDIAN(E20:N20)</f>
        <v>15.775329545454545</v>
      </c>
    </row>
    <row r="24" spans="3:14" ht="17" x14ac:dyDescent="0.25">
      <c r="E24" s="13"/>
    </row>
    <row r="25" spans="3:14" ht="17" x14ac:dyDescent="0.25">
      <c r="E25" s="13"/>
    </row>
    <row r="26" spans="3:14" ht="17" x14ac:dyDescent="0.25">
      <c r="E26" s="13"/>
    </row>
    <row r="27" spans="3:14" ht="17" x14ac:dyDescent="0.25">
      <c r="E27" s="13"/>
    </row>
    <row r="28" spans="3:14" ht="17" x14ac:dyDescent="0.25">
      <c r="E28" s="13"/>
    </row>
    <row r="29" spans="3:14" ht="17" x14ac:dyDescent="0.25">
      <c r="E29" s="13"/>
    </row>
    <row r="30" spans="3:14" ht="17" x14ac:dyDescent="0.25">
      <c r="E30" s="13"/>
    </row>
    <row r="31" spans="3:14" ht="17" x14ac:dyDescent="0.25">
      <c r="E31" s="13"/>
    </row>
    <row r="32" spans="3:14" ht="17" x14ac:dyDescent="0.25">
      <c r="E32" s="13"/>
    </row>
    <row r="33" spans="5:5" ht="17" x14ac:dyDescent="0.25">
      <c r="E33" s="13"/>
    </row>
    <row r="34" spans="5:5" ht="17" x14ac:dyDescent="0.25">
      <c r="E34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01DC1-F2BB-5E4C-B384-21E0B6EB94F0}">
  <dimension ref="A1:O98"/>
  <sheetViews>
    <sheetView workbookViewId="0">
      <selection activeCell="D11" sqref="D11"/>
    </sheetView>
  </sheetViews>
  <sheetFormatPr baseColWidth="10" defaultRowHeight="16" x14ac:dyDescent="0.2"/>
  <cols>
    <col min="2" max="2" width="11.83203125" bestFit="1" customWidth="1"/>
    <col min="3" max="3" width="13.6640625" bestFit="1" customWidth="1"/>
    <col min="4" max="4" width="14.6640625" bestFit="1" customWidth="1"/>
    <col min="10" max="10" width="11.1640625" bestFit="1" customWidth="1"/>
  </cols>
  <sheetData>
    <row r="1" spans="2:15" x14ac:dyDescent="0.2">
      <c r="C1" t="s">
        <v>56</v>
      </c>
      <c r="D1">
        <v>2019</v>
      </c>
      <c r="E1">
        <v>2018</v>
      </c>
      <c r="F1">
        <v>2017</v>
      </c>
      <c r="G1">
        <v>2016</v>
      </c>
      <c r="H1">
        <v>2015</v>
      </c>
      <c r="I1">
        <v>2014</v>
      </c>
      <c r="J1">
        <v>2013</v>
      </c>
      <c r="K1">
        <v>2012</v>
      </c>
      <c r="L1">
        <v>2011</v>
      </c>
      <c r="M1">
        <v>2010</v>
      </c>
      <c r="N1">
        <v>2009</v>
      </c>
      <c r="O1">
        <v>2008</v>
      </c>
    </row>
    <row r="2" spans="2:15" x14ac:dyDescent="0.2">
      <c r="B2" t="s">
        <v>15</v>
      </c>
      <c r="C2">
        <v>525</v>
      </c>
      <c r="D2">
        <v>510</v>
      </c>
      <c r="E2">
        <v>500</v>
      </c>
      <c r="F2">
        <v>493</v>
      </c>
      <c r="G2">
        <v>484</v>
      </c>
      <c r="H2">
        <v>477</v>
      </c>
      <c r="I2">
        <v>462</v>
      </c>
      <c r="J2">
        <v>465</v>
      </c>
      <c r="K2">
        <v>453</v>
      </c>
      <c r="L2">
        <v>461</v>
      </c>
      <c r="M2">
        <v>456</v>
      </c>
      <c r="N2">
        <v>442</v>
      </c>
      <c r="O2">
        <v>432</v>
      </c>
    </row>
    <row r="3" spans="2:15" x14ac:dyDescent="0.2">
      <c r="B3" t="s">
        <v>14</v>
      </c>
      <c r="C3">
        <f>D3*(1+M15/100)</f>
        <v>48245.614035087718</v>
      </c>
      <c r="D3">
        <v>38500</v>
      </c>
      <c r="E3" s="4">
        <v>30723</v>
      </c>
      <c r="F3" s="4">
        <v>18365</v>
      </c>
      <c r="G3" s="4">
        <v>17203</v>
      </c>
      <c r="H3" s="4">
        <v>12039</v>
      </c>
      <c r="I3" s="4">
        <v>6842</v>
      </c>
      <c r="J3" s="4">
        <v>5475</v>
      </c>
      <c r="K3" s="4">
        <v>4180</v>
      </c>
      <c r="L3" s="4">
        <v>3903</v>
      </c>
      <c r="M3" s="4">
        <v>3495</v>
      </c>
      <c r="N3" s="4">
        <v>3293</v>
      </c>
      <c r="O3" s="4">
        <v>1697</v>
      </c>
    </row>
    <row r="4" spans="2:15" x14ac:dyDescent="0.2">
      <c r="B4" t="s">
        <v>17</v>
      </c>
      <c r="C4">
        <f>D4*1.16</f>
        <v>87.568627450980387</v>
      </c>
      <c r="D4">
        <f>D3/D2</f>
        <v>75.490196078431367</v>
      </c>
      <c r="E4">
        <v>61.445999999999998</v>
      </c>
      <c r="F4">
        <v>37.251521298174445</v>
      </c>
      <c r="G4">
        <v>35.543388429752063</v>
      </c>
      <c r="H4">
        <v>25.238993710691823</v>
      </c>
      <c r="I4">
        <v>14.80952380952381</v>
      </c>
      <c r="J4">
        <v>11.774193548387096</v>
      </c>
      <c r="K4">
        <v>9.2273730684326711</v>
      </c>
      <c r="L4">
        <v>8.4663774403470722</v>
      </c>
      <c r="M4">
        <v>7.6644736842105265</v>
      </c>
      <c r="N4">
        <v>7.4502262443438916</v>
      </c>
      <c r="O4">
        <v>3.9282407407407409</v>
      </c>
    </row>
    <row r="5" spans="2:15" x14ac:dyDescent="0.2">
      <c r="B5" t="s">
        <v>52</v>
      </c>
      <c r="D5">
        <f t="shared" ref="D5:L5" si="0">(D3-E3)/E3*100</f>
        <v>25.313283208020049</v>
      </c>
      <c r="E5">
        <f t="shared" si="0"/>
        <v>67.291042744350676</v>
      </c>
      <c r="F5">
        <f t="shared" si="0"/>
        <v>6.7546358193338376</v>
      </c>
      <c r="G5">
        <f t="shared" si="0"/>
        <v>42.893928067115212</v>
      </c>
      <c r="H5">
        <f t="shared" si="0"/>
        <v>75.957322420344937</v>
      </c>
      <c r="I5">
        <f t="shared" si="0"/>
        <v>24.968036529680365</v>
      </c>
      <c r="J5">
        <f t="shared" si="0"/>
        <v>30.980861244019138</v>
      </c>
      <c r="K5">
        <f t="shared" si="0"/>
        <v>7.0971047911862666</v>
      </c>
      <c r="L5">
        <f t="shared" si="0"/>
        <v>11.67381974248927</v>
      </c>
      <c r="M5">
        <f>(M3-N3)/N3*100</f>
        <v>6.1342241117522018</v>
      </c>
      <c r="N5">
        <f>(N3-O3)/O3*100</f>
        <v>94.048320565704174</v>
      </c>
    </row>
    <row r="6" spans="2:15" x14ac:dyDescent="0.2">
      <c r="B6" t="s">
        <v>16</v>
      </c>
      <c r="E6">
        <v>20.14</v>
      </c>
      <c r="F6">
        <v>6.15</v>
      </c>
      <c r="G6">
        <v>4.9000000000000004</v>
      </c>
      <c r="H6">
        <v>1.25</v>
      </c>
      <c r="I6">
        <v>-0.52</v>
      </c>
      <c r="J6">
        <v>0.59</v>
      </c>
      <c r="K6">
        <v>-0.09</v>
      </c>
      <c r="L6">
        <v>1.37</v>
      </c>
      <c r="M6">
        <v>2.5299999999999998</v>
      </c>
      <c r="N6">
        <v>2.04</v>
      </c>
      <c r="O6">
        <v>1.49</v>
      </c>
    </row>
    <row r="8" spans="2:15" x14ac:dyDescent="0.2">
      <c r="B8" t="s">
        <v>18</v>
      </c>
      <c r="C8">
        <f>C4*29</f>
        <v>2539.4901960784314</v>
      </c>
      <c r="D8">
        <v>2020.99</v>
      </c>
      <c r="E8">
        <v>2039.51</v>
      </c>
      <c r="F8">
        <v>1195.83</v>
      </c>
      <c r="G8">
        <v>844.36</v>
      </c>
      <c r="H8">
        <v>693.97</v>
      </c>
      <c r="I8">
        <v>407.05</v>
      </c>
      <c r="J8">
        <v>404.39</v>
      </c>
      <c r="K8">
        <v>261.68</v>
      </c>
      <c r="L8">
        <v>246.71</v>
      </c>
      <c r="M8">
        <v>184.76</v>
      </c>
      <c r="N8">
        <v>142.25</v>
      </c>
      <c r="O8">
        <v>96.25</v>
      </c>
    </row>
    <row r="9" spans="2:15" x14ac:dyDescent="0.2">
      <c r="B9" t="s">
        <v>19</v>
      </c>
      <c r="C9">
        <f>C4*19</f>
        <v>1663.8039215686274</v>
      </c>
      <c r="D9">
        <v>1500.28</v>
      </c>
      <c r="E9">
        <v>1189.01</v>
      </c>
      <c r="F9">
        <v>753.67</v>
      </c>
      <c r="G9">
        <v>482.07</v>
      </c>
      <c r="H9">
        <v>286.95</v>
      </c>
      <c r="I9">
        <v>287.06</v>
      </c>
      <c r="J9">
        <v>248.23</v>
      </c>
      <c r="K9">
        <v>175.93</v>
      </c>
      <c r="L9">
        <v>160.97</v>
      </c>
      <c r="M9">
        <v>108.61</v>
      </c>
      <c r="N9">
        <v>48.44</v>
      </c>
      <c r="O9">
        <v>35.03</v>
      </c>
    </row>
    <row r="10" spans="2:15" x14ac:dyDescent="0.2">
      <c r="B10" t="s">
        <v>57</v>
      </c>
      <c r="C10">
        <f>C8/C4</f>
        <v>29.000000000000004</v>
      </c>
      <c r="D10">
        <f>D8/D4</f>
        <v>26.771555844155845</v>
      </c>
      <c r="E10">
        <f>E8/E4</f>
        <v>33.191908342284286</v>
      </c>
      <c r="F10">
        <f t="shared" ref="F10:O10" si="1">F8/F4</f>
        <v>32.101507759324797</v>
      </c>
      <c r="G10">
        <f t="shared" si="1"/>
        <v>23.755754228913563</v>
      </c>
      <c r="H10">
        <f t="shared" si="1"/>
        <v>27.495945676551212</v>
      </c>
      <c r="I10">
        <f t="shared" si="1"/>
        <v>27.485691318327973</v>
      </c>
      <c r="J10">
        <f t="shared" si="1"/>
        <v>34.345452054794521</v>
      </c>
      <c r="K10">
        <f t="shared" si="1"/>
        <v>28.3591004784689</v>
      </c>
      <c r="L10">
        <f t="shared" si="1"/>
        <v>29.13997181655137</v>
      </c>
      <c r="M10">
        <f t="shared" si="1"/>
        <v>24.106025751072959</v>
      </c>
      <c r="N10">
        <f t="shared" si="1"/>
        <v>19.093379896750683</v>
      </c>
      <c r="O10">
        <f t="shared" si="1"/>
        <v>24.502062463170301</v>
      </c>
    </row>
    <row r="11" spans="2:15" x14ac:dyDescent="0.2">
      <c r="B11" t="s">
        <v>58</v>
      </c>
      <c r="C11">
        <f>C9/C4</f>
        <v>19</v>
      </c>
      <c r="D11">
        <f>D9/D4</f>
        <v>19.873838961038963</v>
      </c>
      <c r="E11">
        <f>E9/E4</f>
        <v>19.350486606125703</v>
      </c>
      <c r="F11">
        <f t="shared" ref="F11:O11" si="2">F9/F4</f>
        <v>20.231925401579087</v>
      </c>
      <c r="G11">
        <f t="shared" si="2"/>
        <v>13.56285996628495</v>
      </c>
      <c r="H11">
        <f t="shared" si="2"/>
        <v>11.369312235235485</v>
      </c>
      <c r="I11">
        <f t="shared" si="2"/>
        <v>19.383472668810288</v>
      </c>
      <c r="J11">
        <f t="shared" si="2"/>
        <v>21.08254794520548</v>
      </c>
      <c r="K11">
        <f t="shared" si="2"/>
        <v>19.066098086124402</v>
      </c>
      <c r="L11">
        <f t="shared" si="2"/>
        <v>19.012854214706636</v>
      </c>
      <c r="M11">
        <f t="shared" si="2"/>
        <v>14.170575107296138</v>
      </c>
      <c r="N11">
        <f t="shared" si="2"/>
        <v>6.5018159732766474</v>
      </c>
      <c r="O11">
        <f t="shared" si="2"/>
        <v>8.9174779021803179</v>
      </c>
    </row>
    <row r="14" spans="2:15" x14ac:dyDescent="0.2">
      <c r="E14">
        <v>2039.51</v>
      </c>
      <c r="F14">
        <v>1189.01</v>
      </c>
      <c r="H14">
        <v>61.445999999999998</v>
      </c>
      <c r="I14">
        <v>20.14</v>
      </c>
      <c r="K14">
        <f>AVERAGE(D10:L10)</f>
        <v>29.182987502152496</v>
      </c>
      <c r="M14">
        <f>AVERAGE(D5:N5)</f>
        <v>35.737507203999648</v>
      </c>
    </row>
    <row r="15" spans="2:15" x14ac:dyDescent="0.2">
      <c r="E15">
        <v>1195.83</v>
      </c>
      <c r="F15">
        <v>753.67</v>
      </c>
      <c r="H15">
        <v>37.251521298174445</v>
      </c>
      <c r="I15">
        <v>6.15</v>
      </c>
      <c r="K15">
        <f>AVERAGE(D11:L11)</f>
        <v>18.103710676123441</v>
      </c>
      <c r="M15">
        <f>MEDIAN(D5:N5)</f>
        <v>25.313283208020049</v>
      </c>
    </row>
    <row r="16" spans="2:15" x14ac:dyDescent="0.2">
      <c r="E16">
        <v>844.36</v>
      </c>
      <c r="F16">
        <v>482.07</v>
      </c>
      <c r="H16">
        <v>35.543388429752063</v>
      </c>
      <c r="I16">
        <v>4.9000000000000004</v>
      </c>
    </row>
    <row r="17" spans="1:12" x14ac:dyDescent="0.2">
      <c r="E17">
        <v>693.97</v>
      </c>
      <c r="F17">
        <v>286.95</v>
      </c>
      <c r="H17">
        <v>25.238993710691823</v>
      </c>
      <c r="I17">
        <v>1.25</v>
      </c>
      <c r="J17" s="15"/>
      <c r="K17">
        <f>D4*K14</f>
        <v>2203.0294486919038</v>
      </c>
      <c r="L17">
        <v>2019</v>
      </c>
    </row>
    <row r="18" spans="1:12" x14ac:dyDescent="0.2">
      <c r="E18">
        <v>407.05</v>
      </c>
      <c r="F18">
        <v>287.06</v>
      </c>
      <c r="H18">
        <v>14.80952380952381</v>
      </c>
      <c r="I18">
        <v>-0.52</v>
      </c>
      <c r="K18">
        <f>D4*K15</f>
        <v>1366.6526686877498</v>
      </c>
    </row>
    <row r="19" spans="1:12" x14ac:dyDescent="0.2">
      <c r="E19">
        <v>404.39</v>
      </c>
      <c r="F19">
        <v>248.23</v>
      </c>
      <c r="H19">
        <v>11.774193548387096</v>
      </c>
      <c r="I19">
        <v>0.59</v>
      </c>
    </row>
    <row r="20" spans="1:12" x14ac:dyDescent="0.2">
      <c r="E20">
        <v>261.68</v>
      </c>
      <c r="F20">
        <v>175.93</v>
      </c>
      <c r="H20">
        <v>9.2273730684326711</v>
      </c>
      <c r="I20">
        <v>-0.09</v>
      </c>
      <c r="K20">
        <f>C4*K14</f>
        <v>2555.5141604826085</v>
      </c>
      <c r="L20">
        <v>2020</v>
      </c>
    </row>
    <row r="21" spans="1:12" x14ac:dyDescent="0.2">
      <c r="E21">
        <v>246.71</v>
      </c>
      <c r="F21">
        <v>160.97</v>
      </c>
      <c r="H21">
        <v>8.4663774403470722</v>
      </c>
      <c r="I21">
        <v>1.37</v>
      </c>
      <c r="K21">
        <f>C4*K15</f>
        <v>1585.3170956777899</v>
      </c>
    </row>
    <row r="22" spans="1:12" x14ac:dyDescent="0.2">
      <c r="E22">
        <v>184.76</v>
      </c>
      <c r="F22">
        <v>108.61</v>
      </c>
      <c r="H22">
        <v>7.6644736842105265</v>
      </c>
      <c r="I22">
        <v>2.5299999999999998</v>
      </c>
    </row>
    <row r="23" spans="1:12" x14ac:dyDescent="0.2">
      <c r="E23">
        <v>142.25</v>
      </c>
      <c r="F23">
        <v>48.44</v>
      </c>
      <c r="H23">
        <v>7.4502262443438916</v>
      </c>
      <c r="I23">
        <v>2.04</v>
      </c>
    </row>
    <row r="24" spans="1:12" x14ac:dyDescent="0.2">
      <c r="E24">
        <v>96.25</v>
      </c>
      <c r="F24">
        <v>35.03</v>
      </c>
      <c r="H24">
        <v>3.9282407407407409</v>
      </c>
      <c r="I24">
        <v>1.49</v>
      </c>
    </row>
    <row r="26" spans="1:12" x14ac:dyDescent="0.2">
      <c r="A26" t="s">
        <v>20</v>
      </c>
    </row>
    <row r="27" spans="1:12" ht="17" thickBot="1" x14ac:dyDescent="0.25"/>
    <row r="28" spans="1:12" x14ac:dyDescent="0.2">
      <c r="A28" s="12" t="s">
        <v>21</v>
      </c>
      <c r="B28" s="12"/>
    </row>
    <row r="29" spans="1:12" x14ac:dyDescent="0.2">
      <c r="A29" s="9" t="s">
        <v>22</v>
      </c>
      <c r="B29" s="9">
        <v>0.98682113624310652</v>
      </c>
    </row>
    <row r="30" spans="1:12" x14ac:dyDescent="0.2">
      <c r="A30" s="9" t="s">
        <v>23</v>
      </c>
      <c r="B30" s="9">
        <v>0.97381595493613571</v>
      </c>
    </row>
    <row r="31" spans="1:12" x14ac:dyDescent="0.2">
      <c r="A31" s="9" t="s">
        <v>24</v>
      </c>
      <c r="B31" s="9">
        <v>0.97090661659570643</v>
      </c>
    </row>
    <row r="32" spans="1:12" x14ac:dyDescent="0.2">
      <c r="A32" s="9" t="s">
        <v>25</v>
      </c>
      <c r="B32" s="9">
        <v>100.12208355413527</v>
      </c>
    </row>
    <row r="33" spans="1:9" ht="17" thickBot="1" x14ac:dyDescent="0.25">
      <c r="A33" s="10" t="s">
        <v>26</v>
      </c>
      <c r="B33" s="10">
        <v>11</v>
      </c>
    </row>
    <row r="35" spans="1:9" ht="17" thickBot="1" x14ac:dyDescent="0.25">
      <c r="A35" t="s">
        <v>27</v>
      </c>
    </row>
    <row r="36" spans="1:9" x14ac:dyDescent="0.2">
      <c r="A36" s="11"/>
      <c r="B36" s="11" t="s">
        <v>32</v>
      </c>
      <c r="C36" s="11" t="s">
        <v>33</v>
      </c>
      <c r="D36" s="11" t="s">
        <v>34</v>
      </c>
      <c r="E36" s="11" t="s">
        <v>35</v>
      </c>
      <c r="F36" s="11" t="s">
        <v>36</v>
      </c>
    </row>
    <row r="37" spans="1:9" x14ac:dyDescent="0.2">
      <c r="A37" s="9" t="s">
        <v>28</v>
      </c>
      <c r="B37" s="9">
        <v>1</v>
      </c>
      <c r="C37" s="9">
        <v>3355385.4188811905</v>
      </c>
      <c r="D37" s="9">
        <v>3355385.4188811905</v>
      </c>
      <c r="E37" s="9">
        <v>334.72076499442858</v>
      </c>
      <c r="F37" s="9">
        <v>1.989070117428263E-8</v>
      </c>
    </row>
    <row r="38" spans="1:9" x14ac:dyDescent="0.2">
      <c r="A38" s="9" t="s">
        <v>29</v>
      </c>
      <c r="B38" s="9">
        <v>9</v>
      </c>
      <c r="C38" s="9">
        <v>90219.884536991201</v>
      </c>
      <c r="D38" s="9">
        <v>10024.431615221245</v>
      </c>
      <c r="E38" s="9"/>
      <c r="F38" s="9"/>
    </row>
    <row r="39" spans="1:9" ht="17" thickBot="1" x14ac:dyDescent="0.25">
      <c r="A39" s="10" t="s">
        <v>30</v>
      </c>
      <c r="B39" s="10">
        <v>10</v>
      </c>
      <c r="C39" s="10">
        <v>3445605.3034181818</v>
      </c>
      <c r="D39" s="10"/>
      <c r="E39" s="10"/>
      <c r="F39" s="10"/>
    </row>
    <row r="40" spans="1:9" ht="17" thickBot="1" x14ac:dyDescent="0.25"/>
    <row r="41" spans="1:9" x14ac:dyDescent="0.2">
      <c r="A41" s="11"/>
      <c r="B41" s="11" t="s">
        <v>37</v>
      </c>
      <c r="C41" s="11" t="s">
        <v>25</v>
      </c>
      <c r="D41" s="11" t="s">
        <v>38</v>
      </c>
      <c r="E41" s="11" t="s">
        <v>39</v>
      </c>
      <c r="F41" s="11" t="s">
        <v>40</v>
      </c>
      <c r="G41" s="11" t="s">
        <v>41</v>
      </c>
      <c r="H41" s="11" t="s">
        <v>42</v>
      </c>
      <c r="I41" s="11" t="s">
        <v>43</v>
      </c>
    </row>
    <row r="42" spans="1:9" x14ac:dyDescent="0.2">
      <c r="A42" s="9" t="s">
        <v>31</v>
      </c>
      <c r="B42" s="9">
        <v>-63.915721400997541</v>
      </c>
      <c r="C42" s="9">
        <v>46.886403725747243</v>
      </c>
      <c r="D42" s="9">
        <v>-1.3632037503848649</v>
      </c>
      <c r="E42" s="9">
        <v>0.20594431395149571</v>
      </c>
      <c r="F42" s="9">
        <v>-169.98013542704513</v>
      </c>
      <c r="G42" s="9">
        <v>42.148692625050046</v>
      </c>
      <c r="H42" s="9">
        <v>-169.98013542704513</v>
      </c>
      <c r="I42" s="9">
        <v>42.148692625050046</v>
      </c>
    </row>
    <row r="43" spans="1:9" ht="17" thickBot="1" x14ac:dyDescent="0.25">
      <c r="A43" s="10" t="s">
        <v>44</v>
      </c>
      <c r="B43" s="10">
        <v>32.404949846901133</v>
      </c>
      <c r="C43" s="10">
        <v>1.7712098793474544</v>
      </c>
      <c r="D43" s="10">
        <v>18.295375508429132</v>
      </c>
      <c r="E43" s="10">
        <v>1.989070117428263E-8</v>
      </c>
      <c r="F43" s="10">
        <v>28.398194731516345</v>
      </c>
      <c r="G43" s="10">
        <v>36.411704962285924</v>
      </c>
      <c r="H43" s="10">
        <v>28.398194731516345</v>
      </c>
      <c r="I43" s="10">
        <v>36.411704962285924</v>
      </c>
    </row>
    <row r="47" spans="1:9" x14ac:dyDescent="0.2">
      <c r="A47" t="s">
        <v>45</v>
      </c>
      <c r="F47" t="s">
        <v>49</v>
      </c>
    </row>
    <row r="48" spans="1:9" ht="17" thickBot="1" x14ac:dyDescent="0.25"/>
    <row r="49" spans="1:7" x14ac:dyDescent="0.2">
      <c r="A49" s="11" t="s">
        <v>46</v>
      </c>
      <c r="B49" s="11" t="s">
        <v>47</v>
      </c>
      <c r="C49" s="11" t="s">
        <v>48</v>
      </c>
      <c r="D49" s="11" t="s">
        <v>59</v>
      </c>
      <c r="F49" s="11" t="s">
        <v>50</v>
      </c>
      <c r="G49" s="11" t="s">
        <v>51</v>
      </c>
    </row>
    <row r="50" spans="1:7" x14ac:dyDescent="0.2">
      <c r="A50" s="9">
        <v>1</v>
      </c>
      <c r="B50" s="9">
        <v>1927.2388268916893</v>
      </c>
      <c r="C50" s="9">
        <v>112.27117310831068</v>
      </c>
      <c r="D50" s="9">
        <v>1.1819990488889627</v>
      </c>
      <c r="F50" s="9">
        <v>4.5454545454545459</v>
      </c>
      <c r="G50" s="9">
        <v>96.25</v>
      </c>
    </row>
    <row r="51" spans="1:7" x14ac:dyDescent="0.2">
      <c r="A51" s="9">
        <v>2</v>
      </c>
      <c r="B51" s="9">
        <v>1143.2179579871149</v>
      </c>
      <c r="C51" s="9">
        <v>52.612042012885013</v>
      </c>
      <c r="D51" s="9">
        <v>0.55390339209640727</v>
      </c>
      <c r="F51" s="9">
        <v>13.636363636363637</v>
      </c>
      <c r="G51" s="9">
        <v>142.25</v>
      </c>
    </row>
    <row r="52" spans="1:7" x14ac:dyDescent="0.2">
      <c r="A52" s="9">
        <v>3</v>
      </c>
      <c r="B52" s="9">
        <v>1087.8659980540442</v>
      </c>
      <c r="C52" s="9">
        <v>-243.5059980540442</v>
      </c>
      <c r="D52" s="9">
        <v>-2.5636487989750254</v>
      </c>
      <c r="F52" s="9">
        <v>22.72727272727273</v>
      </c>
      <c r="G52" s="9">
        <v>184.76</v>
      </c>
    </row>
    <row r="53" spans="1:7" x14ac:dyDescent="0.2">
      <c r="A53" s="9">
        <v>4</v>
      </c>
      <c r="B53" s="9">
        <v>753.95260398022413</v>
      </c>
      <c r="C53" s="9">
        <v>-59.982603980224098</v>
      </c>
      <c r="D53" s="9">
        <v>-0.63150120277188038</v>
      </c>
      <c r="F53" s="9">
        <v>31.81818181818182</v>
      </c>
      <c r="G53" s="9">
        <v>246.71</v>
      </c>
    </row>
    <row r="54" spans="1:7" x14ac:dyDescent="0.2">
      <c r="A54" s="9">
        <v>5</v>
      </c>
      <c r="B54" s="9">
        <v>415.98615490310971</v>
      </c>
      <c r="C54" s="9">
        <v>-8.9361549031096956</v>
      </c>
      <c r="D54" s="9">
        <v>-9.4080486591247958E-2</v>
      </c>
      <c r="F54" s="9">
        <v>40.909090909090914</v>
      </c>
      <c r="G54" s="9">
        <v>261.68</v>
      </c>
    </row>
    <row r="55" spans="1:7" x14ac:dyDescent="0.2">
      <c r="A55" s="9">
        <v>6</v>
      </c>
      <c r="B55" s="9">
        <v>317.62643002219318</v>
      </c>
      <c r="C55" s="9">
        <v>86.76356997780681</v>
      </c>
      <c r="D55" s="9">
        <v>0.91345315411500927</v>
      </c>
      <c r="F55" s="9">
        <v>50.000000000000007</v>
      </c>
      <c r="G55" s="9">
        <v>404.39</v>
      </c>
    </row>
    <row r="56" spans="1:7" x14ac:dyDescent="0.2">
      <c r="A56" s="9">
        <v>7</v>
      </c>
      <c r="B56" s="9">
        <v>235.09684010020936</v>
      </c>
      <c r="C56" s="9">
        <v>26.583159899790644</v>
      </c>
      <c r="D56" s="9">
        <v>0.27986943440684375</v>
      </c>
      <c r="F56" s="9">
        <v>59.090909090909093</v>
      </c>
      <c r="G56" s="9">
        <v>407.05</v>
      </c>
    </row>
    <row r="57" spans="1:7" x14ac:dyDescent="0.2">
      <c r="A57" s="9">
        <v>8</v>
      </c>
      <c r="B57" s="9">
        <v>210.43681493838454</v>
      </c>
      <c r="C57" s="9">
        <v>36.273185061615465</v>
      </c>
      <c r="D57" s="9">
        <v>0.38188672172900873</v>
      </c>
      <c r="F57" s="9">
        <v>68.181818181818187</v>
      </c>
      <c r="G57" s="9">
        <v>693.97</v>
      </c>
    </row>
    <row r="58" spans="1:7" x14ac:dyDescent="0.2">
      <c r="A58" s="9">
        <v>9</v>
      </c>
      <c r="B58" s="9">
        <v>184.45116393873812</v>
      </c>
      <c r="C58" s="9">
        <v>0.30883606126187146</v>
      </c>
      <c r="D58" s="9">
        <v>3.2514484401261123E-3</v>
      </c>
      <c r="F58" s="9">
        <v>77.27272727272728</v>
      </c>
      <c r="G58" s="9">
        <v>844.36</v>
      </c>
    </row>
    <row r="59" spans="1:7" x14ac:dyDescent="0.2">
      <c r="A59" s="9">
        <v>10</v>
      </c>
      <c r="B59" s="9">
        <v>177.50848639503286</v>
      </c>
      <c r="C59" s="9">
        <v>-35.258486395032861</v>
      </c>
      <c r="D59" s="9">
        <v>-0.3712039006129198</v>
      </c>
      <c r="F59" s="9">
        <v>86.363636363636374</v>
      </c>
      <c r="G59" s="9">
        <v>1195.83</v>
      </c>
    </row>
    <row r="60" spans="1:7" ht="17" thickBot="1" x14ac:dyDescent="0.25">
      <c r="A60" s="10">
        <v>11</v>
      </c>
      <c r="B60" s="10">
        <v>63.378722789259925</v>
      </c>
      <c r="C60" s="10">
        <v>32.871277210740075</v>
      </c>
      <c r="D60" s="10">
        <v>0.34607118927471253</v>
      </c>
      <c r="F60" s="10">
        <v>95.454545454545467</v>
      </c>
      <c r="G60" s="10">
        <v>2039.51</v>
      </c>
    </row>
    <row r="64" spans="1:7" x14ac:dyDescent="0.2">
      <c r="A64" t="s">
        <v>20</v>
      </c>
    </row>
    <row r="65" spans="1:9" ht="17" thickBot="1" x14ac:dyDescent="0.25"/>
    <row r="66" spans="1:9" x14ac:dyDescent="0.2">
      <c r="A66" s="12" t="s">
        <v>21</v>
      </c>
      <c r="B66" s="12"/>
    </row>
    <row r="67" spans="1:9" x14ac:dyDescent="0.2">
      <c r="A67" s="9" t="s">
        <v>22</v>
      </c>
      <c r="B67" s="9">
        <v>0.99088593934517166</v>
      </c>
    </row>
    <row r="68" spans="1:9" x14ac:dyDescent="0.2">
      <c r="A68" s="9" t="s">
        <v>23</v>
      </c>
      <c r="B68" s="9">
        <v>0.98185494479196311</v>
      </c>
    </row>
    <row r="69" spans="1:9" x14ac:dyDescent="0.2">
      <c r="A69" s="9" t="s">
        <v>24</v>
      </c>
      <c r="B69" s="9">
        <v>0.97983882754662566</v>
      </c>
    </row>
    <row r="70" spans="1:9" x14ac:dyDescent="0.2">
      <c r="A70" s="9" t="s">
        <v>25</v>
      </c>
      <c r="B70" s="9">
        <v>83.347131161471353</v>
      </c>
    </row>
    <row r="71" spans="1:9" ht="17" thickBot="1" x14ac:dyDescent="0.25">
      <c r="A71" s="10" t="s">
        <v>26</v>
      </c>
      <c r="B71" s="10">
        <v>11</v>
      </c>
    </row>
    <row r="73" spans="1:9" ht="17" thickBot="1" x14ac:dyDescent="0.25">
      <c r="A73" t="s">
        <v>27</v>
      </c>
    </row>
    <row r="74" spans="1:9" x14ac:dyDescent="0.2">
      <c r="A74" s="11"/>
      <c r="B74" s="11" t="s">
        <v>32</v>
      </c>
      <c r="C74" s="11" t="s">
        <v>33</v>
      </c>
      <c r="D74" s="11" t="s">
        <v>34</v>
      </c>
      <c r="E74" s="11" t="s">
        <v>35</v>
      </c>
      <c r="F74" s="11" t="s">
        <v>36</v>
      </c>
    </row>
    <row r="75" spans="1:9" x14ac:dyDescent="0.2">
      <c r="A75" s="9" t="s">
        <v>28</v>
      </c>
      <c r="B75" s="9">
        <v>1</v>
      </c>
      <c r="C75" s="9">
        <v>3383084.6049625543</v>
      </c>
      <c r="D75" s="9">
        <v>3383084.6049625543</v>
      </c>
      <c r="E75" s="9">
        <v>487.00289978801965</v>
      </c>
      <c r="F75" s="9">
        <v>3.8057569577826468E-9</v>
      </c>
    </row>
    <row r="76" spans="1:9" x14ac:dyDescent="0.2">
      <c r="A76" s="9" t="s">
        <v>29</v>
      </c>
      <c r="B76" s="9">
        <v>9</v>
      </c>
      <c r="C76" s="9">
        <v>62520.698455627571</v>
      </c>
      <c r="D76" s="9">
        <v>6946.744272847508</v>
      </c>
      <c r="E76" s="9"/>
      <c r="F76" s="9"/>
    </row>
    <row r="77" spans="1:9" ht="17" thickBot="1" x14ac:dyDescent="0.25">
      <c r="A77" s="10" t="s">
        <v>30</v>
      </c>
      <c r="B77" s="10">
        <v>10</v>
      </c>
      <c r="C77" s="10">
        <v>3445605.3034181818</v>
      </c>
      <c r="D77" s="10"/>
      <c r="E77" s="10"/>
      <c r="F77" s="10"/>
    </row>
    <row r="78" spans="1:9" ht="17" thickBot="1" x14ac:dyDescent="0.25"/>
    <row r="79" spans="1:9" x14ac:dyDescent="0.2">
      <c r="A79" s="11"/>
      <c r="B79" s="11" t="s">
        <v>37</v>
      </c>
      <c r="C79" s="11" t="s">
        <v>25</v>
      </c>
      <c r="D79" s="11" t="s">
        <v>38</v>
      </c>
      <c r="E79" s="11" t="s">
        <v>39</v>
      </c>
      <c r="F79" s="11" t="s">
        <v>40</v>
      </c>
      <c r="G79" s="11" t="s">
        <v>41</v>
      </c>
      <c r="H79" s="11" t="s">
        <v>42</v>
      </c>
      <c r="I79" s="11" t="s">
        <v>43</v>
      </c>
    </row>
    <row r="80" spans="1:9" x14ac:dyDescent="0.2">
      <c r="A80" s="9" t="s">
        <v>31</v>
      </c>
      <c r="B80" s="9">
        <v>20.001373541908038</v>
      </c>
      <c r="C80" s="9">
        <v>36.116029598269037</v>
      </c>
      <c r="D80" s="9">
        <v>0.55380875927919437</v>
      </c>
      <c r="E80" s="9">
        <v>0.5932001499747348</v>
      </c>
      <c r="F80" s="9">
        <v>-61.69876150564825</v>
      </c>
      <c r="G80" s="9">
        <v>101.70150858946432</v>
      </c>
      <c r="H80" s="9">
        <v>-61.69876150564825</v>
      </c>
      <c r="I80" s="9">
        <v>101.70150858946432</v>
      </c>
    </row>
    <row r="81" spans="1:9" ht="17" thickBot="1" x14ac:dyDescent="0.25">
      <c r="A81" s="10" t="s">
        <v>44</v>
      </c>
      <c r="B81" s="10">
        <v>1.6675834000373446</v>
      </c>
      <c r="C81" s="10">
        <v>7.5565191920560312E-2</v>
      </c>
      <c r="D81" s="10">
        <v>22.068142191585128</v>
      </c>
      <c r="E81" s="10">
        <v>3.8057569577826468E-9</v>
      </c>
      <c r="F81" s="10">
        <v>1.4966430598760281</v>
      </c>
      <c r="G81" s="10">
        <v>1.8385237401986612</v>
      </c>
      <c r="H81" s="10">
        <v>1.4966430598760281</v>
      </c>
      <c r="I81" s="10">
        <v>1.8385237401986612</v>
      </c>
    </row>
    <row r="85" spans="1:9" x14ac:dyDescent="0.2">
      <c r="A85" t="s">
        <v>45</v>
      </c>
      <c r="F85" t="s">
        <v>49</v>
      </c>
    </row>
    <row r="86" spans="1:9" ht="17" thickBot="1" x14ac:dyDescent="0.25"/>
    <row r="87" spans="1:9" x14ac:dyDescent="0.2">
      <c r="A87" s="11" t="s">
        <v>46</v>
      </c>
      <c r="B87" s="11" t="s">
        <v>47</v>
      </c>
      <c r="C87" s="11" t="s">
        <v>48</v>
      </c>
      <c r="D87" s="11" t="s">
        <v>59</v>
      </c>
      <c r="F87" s="11" t="s">
        <v>50</v>
      </c>
      <c r="G87" s="11" t="s">
        <v>51</v>
      </c>
    </row>
    <row r="88" spans="1:9" x14ac:dyDescent="0.2">
      <c r="A88" s="9">
        <v>1</v>
      </c>
      <c r="B88" s="9">
        <v>2002.7747120203112</v>
      </c>
      <c r="C88" s="9">
        <v>36.735287979688792</v>
      </c>
      <c r="D88" s="9">
        <v>0.46459179777872611</v>
      </c>
      <c r="F88" s="9">
        <v>4.5454545454545459</v>
      </c>
      <c r="G88" s="9">
        <v>96.25</v>
      </c>
    </row>
    <row r="89" spans="1:9" x14ac:dyDescent="0.2">
      <c r="A89" s="9">
        <v>2</v>
      </c>
      <c r="B89" s="9">
        <v>1276.8089546480537</v>
      </c>
      <c r="C89" s="9">
        <v>-80.978954648053787</v>
      </c>
      <c r="D89" s="9">
        <v>-1.024142185654916</v>
      </c>
      <c r="F89" s="9">
        <v>13.636363636363637</v>
      </c>
      <c r="G89" s="9">
        <v>142.25</v>
      </c>
    </row>
    <row r="90" spans="1:9" x14ac:dyDescent="0.2">
      <c r="A90" s="9">
        <v>3</v>
      </c>
      <c r="B90" s="9">
        <v>823.89330319791077</v>
      </c>
      <c r="C90" s="9">
        <v>20.466696802089245</v>
      </c>
      <c r="D90" s="9">
        <v>0.25884265470117329</v>
      </c>
      <c r="F90" s="9">
        <v>22.72727272727273</v>
      </c>
      <c r="G90" s="9">
        <v>184.76</v>
      </c>
    </row>
    <row r="91" spans="1:9" x14ac:dyDescent="0.2">
      <c r="A91" s="9">
        <v>4</v>
      </c>
      <c r="B91" s="9">
        <v>498.51443018262404</v>
      </c>
      <c r="C91" s="9">
        <v>195.45556981737599</v>
      </c>
      <c r="D91" s="9">
        <v>2.4719298407985235</v>
      </c>
      <c r="F91" s="9">
        <v>31.81818181818182</v>
      </c>
      <c r="G91" s="9">
        <v>246.71</v>
      </c>
    </row>
    <row r="92" spans="1:9" x14ac:dyDescent="0.2">
      <c r="A92" s="9">
        <v>5</v>
      </c>
      <c r="B92" s="9">
        <v>498.6978643566282</v>
      </c>
      <c r="C92" s="9">
        <v>-91.64786435662819</v>
      </c>
      <c r="D92" s="9">
        <v>-1.1590720641027472</v>
      </c>
      <c r="F92" s="9">
        <v>40.909090909090914</v>
      </c>
      <c r="G92" s="9">
        <v>261.68</v>
      </c>
    </row>
    <row r="93" spans="1:9" x14ac:dyDescent="0.2">
      <c r="A93" s="9">
        <v>6</v>
      </c>
      <c r="B93" s="9">
        <v>433.94560093317807</v>
      </c>
      <c r="C93" s="9">
        <v>-29.555600933178084</v>
      </c>
      <c r="D93" s="9">
        <v>-0.3737901763440083</v>
      </c>
      <c r="F93" s="9">
        <v>50.000000000000007</v>
      </c>
      <c r="G93" s="9">
        <v>404.39</v>
      </c>
    </row>
    <row r="94" spans="1:9" x14ac:dyDescent="0.2">
      <c r="A94" s="9">
        <v>7</v>
      </c>
      <c r="B94" s="9">
        <v>313.37932111047809</v>
      </c>
      <c r="C94" s="9">
        <v>-51.699321110478081</v>
      </c>
      <c r="D94" s="9">
        <v>-0.65384217355086438</v>
      </c>
      <c r="F94" s="9">
        <v>59.090909090909093</v>
      </c>
      <c r="G94" s="9">
        <v>407.05</v>
      </c>
    </row>
    <row r="95" spans="1:9" x14ac:dyDescent="0.2">
      <c r="A95" s="9">
        <v>8</v>
      </c>
      <c r="B95" s="9">
        <v>288.43227344591941</v>
      </c>
      <c r="C95" s="9">
        <v>-41.722273445919399</v>
      </c>
      <c r="D95" s="9">
        <v>-0.52766228587544373</v>
      </c>
      <c r="F95" s="9">
        <v>68.181818181818187</v>
      </c>
      <c r="G95" s="9">
        <v>693.97</v>
      </c>
    </row>
    <row r="96" spans="1:9" x14ac:dyDescent="0.2">
      <c r="A96" s="9">
        <v>9</v>
      </c>
      <c r="B96" s="9">
        <v>201.11760661996402</v>
      </c>
      <c r="C96" s="9">
        <v>-16.357606619964031</v>
      </c>
      <c r="D96" s="9">
        <v>-0.20687492285695869</v>
      </c>
      <c r="F96" s="9">
        <v>77.27272727272728</v>
      </c>
      <c r="G96" s="9">
        <v>844.36</v>
      </c>
    </row>
    <row r="97" spans="1:7" x14ac:dyDescent="0.2">
      <c r="A97" s="9">
        <v>10</v>
      </c>
      <c r="B97" s="9">
        <v>100.77911343971701</v>
      </c>
      <c r="C97" s="9">
        <v>41.470886560282992</v>
      </c>
      <c r="D97" s="9">
        <v>0.5244829917536612</v>
      </c>
      <c r="F97" s="9">
        <v>86.363636363636374</v>
      </c>
      <c r="G97" s="9">
        <v>1195.83</v>
      </c>
    </row>
    <row r="98" spans="1:7" ht="17" thickBot="1" x14ac:dyDescent="0.25">
      <c r="A98" s="10">
        <v>11</v>
      </c>
      <c r="B98" s="10">
        <v>78.416820045216213</v>
      </c>
      <c r="C98" s="10">
        <v>17.833179954783787</v>
      </c>
      <c r="D98" s="10">
        <v>0.2255365233528443</v>
      </c>
      <c r="F98" s="10">
        <v>95.454545454545467</v>
      </c>
      <c r="G98" s="10">
        <v>2039.51</v>
      </c>
    </row>
  </sheetData>
  <sortState xmlns:xlrd2="http://schemas.microsoft.com/office/spreadsheetml/2017/richdata2" ref="G88:G98">
    <sortCondition ref="G88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19E-B910-EC45-BBAC-806BA5D41A16}">
  <dimension ref="A1:O83"/>
  <sheetViews>
    <sheetView workbookViewId="0">
      <selection activeCell="L8" sqref="L8"/>
    </sheetView>
  </sheetViews>
  <sheetFormatPr baseColWidth="10" defaultRowHeight="16" x14ac:dyDescent="0.2"/>
  <cols>
    <col min="2" max="2" width="11.83203125" bestFit="1" customWidth="1"/>
    <col min="3" max="3" width="13.6640625" bestFit="1" customWidth="1"/>
    <col min="4" max="4" width="14.6640625" bestFit="1" customWidth="1"/>
    <col min="10" max="10" width="11.1640625" bestFit="1" customWidth="1"/>
  </cols>
  <sheetData>
    <row r="1" spans="2:15" x14ac:dyDescent="0.2">
      <c r="C1" t="s">
        <v>56</v>
      </c>
      <c r="D1">
        <v>2019</v>
      </c>
      <c r="E1">
        <v>2018</v>
      </c>
      <c r="F1">
        <v>2017</v>
      </c>
      <c r="G1">
        <v>2016</v>
      </c>
      <c r="H1">
        <v>2015</v>
      </c>
      <c r="I1">
        <v>2014</v>
      </c>
    </row>
    <row r="2" spans="2:15" x14ac:dyDescent="0.2">
      <c r="B2" t="s">
        <v>15</v>
      </c>
      <c r="D2">
        <v>2623</v>
      </c>
      <c r="E2">
        <v>2610</v>
      </c>
      <c r="F2">
        <v>2573</v>
      </c>
      <c r="G2">
        <v>2562</v>
      </c>
      <c r="H2">
        <v>2500</v>
      </c>
      <c r="I2">
        <v>2332</v>
      </c>
    </row>
    <row r="3" spans="2:15" x14ac:dyDescent="0.2">
      <c r="B3" t="s">
        <v>14</v>
      </c>
      <c r="D3">
        <v>22496</v>
      </c>
      <c r="E3" s="4">
        <v>19955</v>
      </c>
      <c r="F3" s="4">
        <v>11670</v>
      </c>
      <c r="G3" s="4">
        <v>8815</v>
      </c>
      <c r="H3" s="4">
        <v>6649</v>
      </c>
      <c r="I3" s="4">
        <v>4252</v>
      </c>
      <c r="J3" s="4"/>
      <c r="K3" s="4"/>
      <c r="L3" s="4"/>
      <c r="M3" s="4"/>
      <c r="N3" s="4"/>
      <c r="O3" s="4"/>
    </row>
    <row r="4" spans="2:15" x14ac:dyDescent="0.2">
      <c r="B4" t="s">
        <v>17</v>
      </c>
      <c r="C4">
        <f>D4*1.15</f>
        <v>9.8629050705299264</v>
      </c>
      <c r="D4">
        <f>D3/D2</f>
        <v>8.5764391917651537</v>
      </c>
      <c r="E4">
        <f t="shared" ref="E4:I4" si="0">E3/E2</f>
        <v>7.6455938697318011</v>
      </c>
      <c r="F4">
        <f t="shared" si="0"/>
        <v>4.5355616012436846</v>
      </c>
      <c r="G4">
        <f t="shared" si="0"/>
        <v>3.440671350507416</v>
      </c>
      <c r="H4">
        <f t="shared" si="0"/>
        <v>2.6596000000000002</v>
      </c>
      <c r="I4">
        <f t="shared" si="0"/>
        <v>1.8233276157804459</v>
      </c>
    </row>
    <row r="5" spans="2:15" x14ac:dyDescent="0.2">
      <c r="B5" t="s">
        <v>52</v>
      </c>
      <c r="D5">
        <f t="shared" ref="D5:H5" si="1">(D3-E3)/E3*100</f>
        <v>12.733650714106739</v>
      </c>
      <c r="E5">
        <f t="shared" si="1"/>
        <v>70.994001713796067</v>
      </c>
      <c r="F5">
        <f t="shared" si="1"/>
        <v>32.387975042541122</v>
      </c>
      <c r="G5">
        <f t="shared" si="1"/>
        <v>32.576327267258229</v>
      </c>
      <c r="H5">
        <f t="shared" si="1"/>
        <v>56.373471307619951</v>
      </c>
    </row>
    <row r="8" spans="2:15" x14ac:dyDescent="0.2">
      <c r="B8" t="s">
        <v>18</v>
      </c>
      <c r="C8">
        <f>C4*K10</f>
        <v>352.79700515972365</v>
      </c>
      <c r="D8">
        <v>218.11000100000001</v>
      </c>
      <c r="E8">
        <v>211.699997</v>
      </c>
      <c r="F8">
        <v>191.75</v>
      </c>
      <c r="G8">
        <v>109.870003</v>
      </c>
      <c r="H8">
        <v>105.339996</v>
      </c>
      <c r="I8">
        <v>120</v>
      </c>
    </row>
    <row r="9" spans="2:15" x14ac:dyDescent="0.2">
      <c r="B9" t="s">
        <v>19</v>
      </c>
      <c r="C9">
        <f>C4*K11</f>
        <v>180.69011349210282</v>
      </c>
      <c r="D9">
        <v>129.83000200000001</v>
      </c>
      <c r="E9">
        <v>129.770004</v>
      </c>
      <c r="F9">
        <v>88.080001999999993</v>
      </c>
      <c r="G9">
        <v>59.25</v>
      </c>
      <c r="H9">
        <v>57.200001</v>
      </c>
      <c r="I9">
        <v>82.809997999999993</v>
      </c>
    </row>
    <row r="10" spans="2:15" x14ac:dyDescent="0.2">
      <c r="B10" t="s">
        <v>57</v>
      </c>
      <c r="D10">
        <f t="shared" ref="D10:I10" si="2">D8/D4</f>
        <v>25.431300347750714</v>
      </c>
      <c r="E10">
        <f t="shared" si="2"/>
        <v>27.689150196441993</v>
      </c>
      <c r="F10">
        <f t="shared" si="2"/>
        <v>42.277013710368465</v>
      </c>
      <c r="G10">
        <f t="shared" si="2"/>
        <v>31.932722369370392</v>
      </c>
      <c r="H10">
        <f t="shared" si="2"/>
        <v>39.607458264400655</v>
      </c>
      <c r="I10">
        <f t="shared" si="2"/>
        <v>65.813734713076201</v>
      </c>
      <c r="K10">
        <f>MEDIAN(D10:I10)</f>
        <v>35.770090316885522</v>
      </c>
      <c r="L10">
        <f>AVERAGE(D10:I10)</f>
        <v>38.791896600234736</v>
      </c>
    </row>
    <row r="11" spans="2:15" x14ac:dyDescent="0.2">
      <c r="B11" t="s">
        <v>58</v>
      </c>
      <c r="D11">
        <f t="shared" ref="D11:I11" si="3">D9/D4</f>
        <v>15.137984319256759</v>
      </c>
      <c r="E11">
        <f t="shared" si="3"/>
        <v>16.973175166123777</v>
      </c>
      <c r="F11">
        <f t="shared" si="3"/>
        <v>19.41986676486718</v>
      </c>
      <c r="G11">
        <f t="shared" si="3"/>
        <v>17.22047646057856</v>
      </c>
      <c r="H11">
        <f t="shared" si="3"/>
        <v>21.506993908858473</v>
      </c>
      <c r="I11">
        <f t="shared" si="3"/>
        <v>45.416960333019752</v>
      </c>
      <c r="K11">
        <f>MEDIAN(D11:I11)</f>
        <v>18.32017161272287</v>
      </c>
      <c r="L11">
        <f>AVERAGE(D11:I11)</f>
        <v>22.612576158784083</v>
      </c>
    </row>
    <row r="14" spans="2:15" x14ac:dyDescent="0.2">
      <c r="D14">
        <v>8.5764391917651537</v>
      </c>
      <c r="E14">
        <v>218.11000100000001</v>
      </c>
      <c r="F14">
        <v>129.83000200000001</v>
      </c>
    </row>
    <row r="15" spans="2:15" x14ac:dyDescent="0.2">
      <c r="D15">
        <v>7.6455938697318011</v>
      </c>
      <c r="E15">
        <v>211.699997</v>
      </c>
      <c r="F15">
        <v>129.770004</v>
      </c>
    </row>
    <row r="16" spans="2:15" x14ac:dyDescent="0.2">
      <c r="D16">
        <v>4.5355616012436846</v>
      </c>
      <c r="E16">
        <v>191.75</v>
      </c>
      <c r="F16">
        <v>88.080001999999993</v>
      </c>
    </row>
    <row r="17" spans="1:6" x14ac:dyDescent="0.2">
      <c r="D17">
        <v>3.440671350507416</v>
      </c>
      <c r="E17">
        <v>109.870003</v>
      </c>
      <c r="F17">
        <v>59.25</v>
      </c>
    </row>
    <row r="18" spans="1:6" x14ac:dyDescent="0.2">
      <c r="D18">
        <v>2.6596000000000002</v>
      </c>
      <c r="E18">
        <v>105.339996</v>
      </c>
      <c r="F18">
        <v>57.200001</v>
      </c>
    </row>
    <row r="19" spans="1:6" x14ac:dyDescent="0.2">
      <c r="D19">
        <v>1.8233276157804459</v>
      </c>
      <c r="E19">
        <v>120</v>
      </c>
      <c r="F19">
        <v>82.809997999999993</v>
      </c>
    </row>
    <row r="22" spans="1:6" x14ac:dyDescent="0.2">
      <c r="A22" t="s">
        <v>20</v>
      </c>
    </row>
    <row r="23" spans="1:6" ht="17" thickBot="1" x14ac:dyDescent="0.25"/>
    <row r="24" spans="1:6" x14ac:dyDescent="0.2">
      <c r="A24" s="12" t="s">
        <v>21</v>
      </c>
      <c r="B24" s="12"/>
    </row>
    <row r="25" spans="1:6" x14ac:dyDescent="0.2">
      <c r="A25" s="9" t="s">
        <v>22</v>
      </c>
      <c r="B25" s="9">
        <v>0.90639342876583495</v>
      </c>
    </row>
    <row r="26" spans="1:6" x14ac:dyDescent="0.2">
      <c r="A26" s="9" t="s">
        <v>23</v>
      </c>
      <c r="B26" s="9">
        <v>0.82154904770988668</v>
      </c>
    </row>
    <row r="27" spans="1:6" x14ac:dyDescent="0.2">
      <c r="A27" s="9" t="s">
        <v>24</v>
      </c>
      <c r="B27" s="9">
        <v>0.77693630963735827</v>
      </c>
    </row>
    <row r="28" spans="1:6" x14ac:dyDescent="0.2">
      <c r="A28" s="9" t="s">
        <v>25</v>
      </c>
      <c r="B28" s="9">
        <v>25.131055728569873</v>
      </c>
    </row>
    <row r="29" spans="1:6" ht="17" thickBot="1" x14ac:dyDescent="0.25">
      <c r="A29" s="10" t="s">
        <v>26</v>
      </c>
      <c r="B29" s="10">
        <v>6</v>
      </c>
    </row>
    <row r="31" spans="1:6" ht="17" thickBot="1" x14ac:dyDescent="0.25">
      <c r="A31" t="s">
        <v>27</v>
      </c>
    </row>
    <row r="32" spans="1:6" x14ac:dyDescent="0.2">
      <c r="A32" s="11"/>
      <c r="B32" s="11" t="s">
        <v>32</v>
      </c>
      <c r="C32" s="11" t="s">
        <v>33</v>
      </c>
      <c r="D32" s="11" t="s">
        <v>34</v>
      </c>
      <c r="E32" s="11" t="s">
        <v>35</v>
      </c>
      <c r="F32" s="11" t="s">
        <v>36</v>
      </c>
    </row>
    <row r="33" spans="1:9" x14ac:dyDescent="0.2">
      <c r="A33" s="9" t="s">
        <v>28</v>
      </c>
      <c r="B33" s="9">
        <v>1</v>
      </c>
      <c r="C33" s="9">
        <v>11630.438374493428</v>
      </c>
      <c r="D33" s="9">
        <v>11630.438374493428</v>
      </c>
      <c r="E33" s="9">
        <v>18.415122747549571</v>
      </c>
      <c r="F33" s="9">
        <v>1.2733185977782934E-2</v>
      </c>
    </row>
    <row r="34" spans="1:9" x14ac:dyDescent="0.2">
      <c r="A34" s="9" t="s">
        <v>29</v>
      </c>
      <c r="B34" s="9">
        <v>4</v>
      </c>
      <c r="C34" s="9">
        <v>2526.2798481299387</v>
      </c>
      <c r="D34" s="9">
        <v>631.56996203248468</v>
      </c>
      <c r="E34" s="9"/>
      <c r="F34" s="9"/>
    </row>
    <row r="35" spans="1:9" ht="17" thickBot="1" x14ac:dyDescent="0.25">
      <c r="A35" s="10" t="s">
        <v>30</v>
      </c>
      <c r="B35" s="10">
        <v>5</v>
      </c>
      <c r="C35" s="10">
        <v>14156.718222623367</v>
      </c>
      <c r="D35" s="10"/>
      <c r="E35" s="10"/>
      <c r="F35" s="10"/>
    </row>
    <row r="36" spans="1:9" ht="17" thickBot="1" x14ac:dyDescent="0.25"/>
    <row r="37" spans="1:9" x14ac:dyDescent="0.2">
      <c r="A37" s="11"/>
      <c r="B37" s="11" t="s">
        <v>37</v>
      </c>
      <c r="C37" s="11" t="s">
        <v>25</v>
      </c>
      <c r="D37" s="11" t="s">
        <v>38</v>
      </c>
      <c r="E37" s="11" t="s">
        <v>39</v>
      </c>
      <c r="F37" s="11" t="s">
        <v>40</v>
      </c>
      <c r="G37" s="11" t="s">
        <v>41</v>
      </c>
      <c r="H37" s="11" t="s">
        <v>42</v>
      </c>
      <c r="I37" s="11" t="s">
        <v>43</v>
      </c>
    </row>
    <row r="38" spans="1:9" x14ac:dyDescent="0.2">
      <c r="A38" s="9" t="s">
        <v>31</v>
      </c>
      <c r="B38" s="9">
        <v>75.519454546656732</v>
      </c>
      <c r="C38" s="9">
        <v>22.088412919233026</v>
      </c>
      <c r="D38" s="9">
        <v>3.4189624588600362</v>
      </c>
      <c r="E38" s="9">
        <v>2.6805702275960023E-2</v>
      </c>
      <c r="F38" s="9">
        <v>14.192188615464495</v>
      </c>
      <c r="G38" s="9">
        <v>136.84672047784898</v>
      </c>
      <c r="H38" s="9">
        <v>14.192188615464495</v>
      </c>
      <c r="I38" s="9">
        <v>136.84672047784898</v>
      </c>
    </row>
    <row r="39" spans="1:9" ht="17" thickBot="1" x14ac:dyDescent="0.25">
      <c r="A39" s="10" t="s">
        <v>44</v>
      </c>
      <c r="B39" s="10">
        <v>17.560401294118648</v>
      </c>
      <c r="C39" s="10">
        <v>4.0921083774210594</v>
      </c>
      <c r="D39" s="10">
        <v>4.2912845102078201</v>
      </c>
      <c r="E39" s="10">
        <v>1.2733185977782934E-2</v>
      </c>
      <c r="F39" s="10">
        <v>6.1988870196890637</v>
      </c>
      <c r="G39" s="10">
        <v>28.921915568548233</v>
      </c>
      <c r="H39" s="10">
        <v>6.1988870196890637</v>
      </c>
      <c r="I39" s="10">
        <v>28.921915568548233</v>
      </c>
    </row>
    <row r="43" spans="1:9" x14ac:dyDescent="0.2">
      <c r="A43" t="s">
        <v>45</v>
      </c>
    </row>
    <row r="44" spans="1:9" ht="17" thickBot="1" x14ac:dyDescent="0.25"/>
    <row r="45" spans="1:9" x14ac:dyDescent="0.2">
      <c r="A45" s="11" t="s">
        <v>46</v>
      </c>
      <c r="B45" s="11" t="s">
        <v>47</v>
      </c>
      <c r="C45" s="11" t="s">
        <v>48</v>
      </c>
      <c r="D45" s="11" t="s">
        <v>59</v>
      </c>
    </row>
    <row r="46" spans="1:9" x14ac:dyDescent="0.2">
      <c r="A46" s="9">
        <v>1</v>
      </c>
      <c r="B46" s="9">
        <v>226.12516842865944</v>
      </c>
      <c r="C46" s="9">
        <v>-8.0151674286594243</v>
      </c>
      <c r="D46" s="9">
        <v>-0.35657991083020396</v>
      </c>
    </row>
    <row r="47" spans="1:9" x14ac:dyDescent="0.2">
      <c r="A47" s="9">
        <v>2</v>
      </c>
      <c r="B47" s="9">
        <v>209.77915103100065</v>
      </c>
      <c r="C47" s="9">
        <v>1.9208459689993447</v>
      </c>
      <c r="D47" s="9">
        <v>8.5454869213992424E-2</v>
      </c>
    </row>
    <row r="48" spans="1:9" x14ac:dyDescent="0.2">
      <c r="A48" s="9">
        <v>3</v>
      </c>
      <c r="B48" s="9">
        <v>155.16573635869116</v>
      </c>
      <c r="C48" s="9">
        <v>36.584263641308837</v>
      </c>
      <c r="D48" s="9">
        <v>1.6275659346006268</v>
      </c>
    </row>
    <row r="49" spans="1:6" x14ac:dyDescent="0.2">
      <c r="A49" s="9">
        <v>4</v>
      </c>
      <c r="B49" s="9">
        <v>135.93902418274411</v>
      </c>
      <c r="C49" s="9">
        <v>-26.069021182744109</v>
      </c>
      <c r="D49" s="9">
        <v>-1.1597623295472872</v>
      </c>
    </row>
    <row r="50" spans="1:6" x14ac:dyDescent="0.2">
      <c r="A50" s="9">
        <v>5</v>
      </c>
      <c r="B50" s="9">
        <v>122.2230978284947</v>
      </c>
      <c r="C50" s="9">
        <v>-16.883101828494702</v>
      </c>
      <c r="D50" s="9">
        <v>-0.7510978402042936</v>
      </c>
    </row>
    <row r="51" spans="1:6" ht="17" thickBot="1" x14ac:dyDescent="0.25">
      <c r="A51" s="10">
        <v>6</v>
      </c>
      <c r="B51" s="10">
        <v>107.53781917040995</v>
      </c>
      <c r="C51" s="10">
        <v>12.462180829590054</v>
      </c>
      <c r="D51" s="10">
        <v>0.5544192767671654</v>
      </c>
    </row>
    <row r="54" spans="1:6" x14ac:dyDescent="0.2">
      <c r="A54" t="s">
        <v>20</v>
      </c>
    </row>
    <row r="55" spans="1:6" ht="17" thickBot="1" x14ac:dyDescent="0.25"/>
    <row r="56" spans="1:6" x14ac:dyDescent="0.2">
      <c r="A56" s="12" t="s">
        <v>21</v>
      </c>
      <c r="B56" s="12"/>
    </row>
    <row r="57" spans="1:6" x14ac:dyDescent="0.2">
      <c r="A57" s="9" t="s">
        <v>22</v>
      </c>
      <c r="B57" s="9">
        <v>0.92161654628281586</v>
      </c>
    </row>
    <row r="58" spans="1:6" x14ac:dyDescent="0.2">
      <c r="A58" s="9" t="s">
        <v>23</v>
      </c>
      <c r="B58" s="9">
        <v>0.84937705838226563</v>
      </c>
    </row>
    <row r="59" spans="1:6" x14ac:dyDescent="0.2">
      <c r="A59" s="9" t="s">
        <v>24</v>
      </c>
      <c r="B59" s="9">
        <v>0.81172132297783195</v>
      </c>
    </row>
    <row r="60" spans="1:6" x14ac:dyDescent="0.2">
      <c r="A60" s="9" t="s">
        <v>25</v>
      </c>
      <c r="B60" s="9">
        <v>23.088560708416388</v>
      </c>
    </row>
    <row r="61" spans="1:6" ht="17" thickBot="1" x14ac:dyDescent="0.25">
      <c r="A61" s="10" t="s">
        <v>26</v>
      </c>
      <c r="B61" s="10">
        <v>6</v>
      </c>
    </row>
    <row r="63" spans="1:6" ht="17" thickBot="1" x14ac:dyDescent="0.25">
      <c r="A63" t="s">
        <v>27</v>
      </c>
    </row>
    <row r="64" spans="1:6" x14ac:dyDescent="0.2">
      <c r="A64" s="11"/>
      <c r="B64" s="11" t="s">
        <v>32</v>
      </c>
      <c r="C64" s="11" t="s">
        <v>33</v>
      </c>
      <c r="D64" s="11" t="s">
        <v>34</v>
      </c>
      <c r="E64" s="11" t="s">
        <v>35</v>
      </c>
      <c r="F64" s="11" t="s">
        <v>36</v>
      </c>
    </row>
    <row r="65" spans="1:9" x14ac:dyDescent="0.2">
      <c r="A65" s="9" t="s">
        <v>28</v>
      </c>
      <c r="B65" s="9">
        <v>1</v>
      </c>
      <c r="C65" s="9">
        <v>12024.391680278452</v>
      </c>
      <c r="D65" s="9">
        <v>12024.391680278452</v>
      </c>
      <c r="E65" s="9">
        <v>22.556379506593295</v>
      </c>
      <c r="F65" s="9">
        <v>8.9751560948368898E-3</v>
      </c>
    </row>
    <row r="66" spans="1:9" x14ac:dyDescent="0.2">
      <c r="A66" s="9" t="s">
        <v>29</v>
      </c>
      <c r="B66" s="9">
        <v>4</v>
      </c>
      <c r="C66" s="9">
        <v>2132.3265423449161</v>
      </c>
      <c r="D66" s="9">
        <v>533.08163558622903</v>
      </c>
      <c r="E66" s="9"/>
      <c r="F66" s="9"/>
    </row>
    <row r="67" spans="1:9" ht="17" thickBot="1" x14ac:dyDescent="0.25">
      <c r="A67" s="10" t="s">
        <v>30</v>
      </c>
      <c r="B67" s="10">
        <v>5</v>
      </c>
      <c r="C67" s="10">
        <v>14156.718222623367</v>
      </c>
      <c r="D67" s="10"/>
      <c r="E67" s="10"/>
      <c r="F67" s="10"/>
    </row>
    <row r="68" spans="1:9" ht="17" thickBot="1" x14ac:dyDescent="0.25"/>
    <row r="69" spans="1:9" x14ac:dyDescent="0.2">
      <c r="A69" s="11"/>
      <c r="B69" s="11" t="s">
        <v>37</v>
      </c>
      <c r="C69" s="11" t="s">
        <v>25</v>
      </c>
      <c r="D69" s="11" t="s">
        <v>38</v>
      </c>
      <c r="E69" s="11" t="s">
        <v>39</v>
      </c>
      <c r="F69" s="11" t="s">
        <v>40</v>
      </c>
      <c r="G69" s="11" t="s">
        <v>41</v>
      </c>
      <c r="H69" s="11" t="s">
        <v>42</v>
      </c>
      <c r="I69" s="11" t="s">
        <v>43</v>
      </c>
    </row>
    <row r="70" spans="1:9" x14ac:dyDescent="0.2">
      <c r="A70" s="9" t="s">
        <v>31</v>
      </c>
      <c r="B70" s="9">
        <v>21.332513354385327</v>
      </c>
      <c r="C70" s="9">
        <v>30.573066950056781</v>
      </c>
      <c r="D70" s="9">
        <v>0.6977550989317971</v>
      </c>
      <c r="E70" s="9">
        <v>0.5237624939095582</v>
      </c>
      <c r="F70" s="9">
        <v>-63.551928729984255</v>
      </c>
      <c r="G70" s="9">
        <v>106.21695543875491</v>
      </c>
      <c r="H70" s="9">
        <v>-63.551928729984255</v>
      </c>
      <c r="I70" s="9">
        <v>106.21695543875491</v>
      </c>
    </row>
    <row r="71" spans="1:9" ht="17" thickBot="1" x14ac:dyDescent="0.25">
      <c r="A71" s="10" t="s">
        <v>44</v>
      </c>
      <c r="B71" s="10">
        <v>1.5152940107994117</v>
      </c>
      <c r="C71" s="10">
        <v>0.31905254280393269</v>
      </c>
      <c r="D71" s="10">
        <v>4.7493556938381936</v>
      </c>
      <c r="E71" s="10">
        <v>8.9751560948369054E-3</v>
      </c>
      <c r="F71" s="10">
        <v>0.62946214003052336</v>
      </c>
      <c r="G71" s="10">
        <v>2.4011258815683001</v>
      </c>
      <c r="H71" s="10">
        <v>0.62946214003052336</v>
      </c>
      <c r="I71" s="10">
        <v>2.4011258815683001</v>
      </c>
    </row>
    <row r="75" spans="1:9" x14ac:dyDescent="0.2">
      <c r="A75" t="s">
        <v>45</v>
      </c>
    </row>
    <row r="76" spans="1:9" ht="17" thickBot="1" x14ac:dyDescent="0.25"/>
    <row r="77" spans="1:9" x14ac:dyDescent="0.2">
      <c r="A77" s="11" t="s">
        <v>46</v>
      </c>
      <c r="B77" s="11" t="s">
        <v>47</v>
      </c>
      <c r="C77" s="11" t="s">
        <v>48</v>
      </c>
      <c r="D77" s="11" t="s">
        <v>59</v>
      </c>
    </row>
    <row r="78" spans="1:9" x14ac:dyDescent="0.2">
      <c r="A78" s="9">
        <v>1</v>
      </c>
      <c r="B78" s="9">
        <v>218.063137807061</v>
      </c>
      <c r="C78" s="9">
        <v>4.6863192939014198E-2</v>
      </c>
      <c r="D78" s="9">
        <v>2.2692901124868612E-3</v>
      </c>
    </row>
    <row r="79" spans="1:9" x14ac:dyDescent="0.2">
      <c r="A79" s="9">
        <v>2</v>
      </c>
      <c r="B79" s="9">
        <v>217.97222319700103</v>
      </c>
      <c r="C79" s="9">
        <v>-6.2722261970010322</v>
      </c>
      <c r="D79" s="9">
        <v>-0.30372452237000569</v>
      </c>
    </row>
    <row r="80" spans="1:9" x14ac:dyDescent="0.2">
      <c r="A80" s="9">
        <v>3</v>
      </c>
      <c r="B80" s="9">
        <v>154.79961285618552</v>
      </c>
      <c r="C80" s="9">
        <v>36.950387143814481</v>
      </c>
      <c r="D80" s="9">
        <v>1.7892751846238948</v>
      </c>
    </row>
    <row r="81" spans="1:4" x14ac:dyDescent="0.2">
      <c r="A81" s="9">
        <v>4</v>
      </c>
      <c r="B81" s="9">
        <v>111.11368349425047</v>
      </c>
      <c r="C81" s="9">
        <v>-1.2436804942504693</v>
      </c>
      <c r="D81" s="9">
        <v>-6.0223635473753347E-2</v>
      </c>
    </row>
    <row r="82" spans="1:4" x14ac:dyDescent="0.2">
      <c r="A82" s="9">
        <v>5</v>
      </c>
      <c r="B82" s="9">
        <v>108.00733228740569</v>
      </c>
      <c r="C82" s="9">
        <v>-2.6673362874056892</v>
      </c>
      <c r="D82" s="9">
        <v>-0.12916234434909743</v>
      </c>
    </row>
    <row r="83" spans="1:4" ht="17" thickBot="1" x14ac:dyDescent="0.25">
      <c r="A83" s="10">
        <v>6</v>
      </c>
      <c r="B83" s="10">
        <v>146.81400735809657</v>
      </c>
      <c r="C83" s="10">
        <v>-26.814007358096575</v>
      </c>
      <c r="D83" s="10">
        <v>-1.2984339725435383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3B1E0-7F6F-D840-AEE5-935C4ABCB344}">
  <dimension ref="B1:O11"/>
  <sheetViews>
    <sheetView workbookViewId="0">
      <selection activeCell="C10" sqref="C10"/>
    </sheetView>
  </sheetViews>
  <sheetFormatPr baseColWidth="10" defaultRowHeight="16" x14ac:dyDescent="0.2"/>
  <cols>
    <col min="2" max="2" width="11.83203125" bestFit="1" customWidth="1"/>
    <col min="3" max="3" width="13.6640625" bestFit="1" customWidth="1"/>
    <col min="4" max="4" width="14.6640625" bestFit="1" customWidth="1"/>
    <col min="10" max="10" width="11.1640625" bestFit="1" customWidth="1"/>
  </cols>
  <sheetData>
    <row r="1" spans="2:15" x14ac:dyDescent="0.2">
      <c r="C1" t="s">
        <v>56</v>
      </c>
      <c r="D1">
        <v>2019</v>
      </c>
      <c r="E1">
        <v>2018</v>
      </c>
      <c r="F1">
        <v>2017</v>
      </c>
      <c r="G1">
        <v>2016</v>
      </c>
      <c r="H1">
        <v>2015</v>
      </c>
      <c r="I1">
        <v>2014</v>
      </c>
    </row>
    <row r="2" spans="2:15" x14ac:dyDescent="0.2">
      <c r="B2" t="s">
        <v>15</v>
      </c>
      <c r="D2">
        <v>69</v>
      </c>
      <c r="E2">
        <v>65</v>
      </c>
      <c r="F2">
        <v>53</v>
      </c>
      <c r="G2">
        <v>32</v>
      </c>
      <c r="H2">
        <v>32</v>
      </c>
      <c r="I2">
        <v>16</v>
      </c>
    </row>
    <row r="3" spans="2:15" x14ac:dyDescent="0.2">
      <c r="B3" t="s">
        <v>14</v>
      </c>
      <c r="D3">
        <v>34.192</v>
      </c>
      <c r="E3" s="4">
        <v>26.088999999999999</v>
      </c>
      <c r="F3" s="4">
        <v>19.105</v>
      </c>
      <c r="G3" s="4">
        <v>-6.03</v>
      </c>
      <c r="H3" s="4">
        <v>-8.0350000000000001</v>
      </c>
      <c r="I3" s="4">
        <v>-3.4279999999999999</v>
      </c>
      <c r="J3" s="4"/>
      <c r="K3" s="4"/>
      <c r="L3" s="4"/>
      <c r="M3" s="4"/>
      <c r="N3" s="4"/>
      <c r="O3" s="4"/>
    </row>
    <row r="4" spans="2:15" x14ac:dyDescent="0.2">
      <c r="B4" t="s">
        <v>17</v>
      </c>
      <c r="C4">
        <f>D4*1.25</f>
        <v>0.61942028985507247</v>
      </c>
      <c r="D4">
        <f t="shared" ref="D4:I4" si="0">D3/D2</f>
        <v>0.49553623188405799</v>
      </c>
      <c r="E4">
        <f t="shared" si="0"/>
        <v>0.40136923076923076</v>
      </c>
      <c r="F4">
        <f t="shared" si="0"/>
        <v>0.36047169811320756</v>
      </c>
      <c r="G4">
        <f t="shared" si="0"/>
        <v>-0.18843750000000001</v>
      </c>
      <c r="H4">
        <f t="shared" si="0"/>
        <v>-0.25109375</v>
      </c>
      <c r="I4">
        <f t="shared" si="0"/>
        <v>-0.21425</v>
      </c>
    </row>
    <row r="5" spans="2:15" x14ac:dyDescent="0.2">
      <c r="B5" t="s">
        <v>52</v>
      </c>
      <c r="D5">
        <f>(D3-E3)/E3*100</f>
        <v>31.059067039748562</v>
      </c>
      <c r="E5">
        <f>(E3-F3)/F3*100</f>
        <v>36.555875425281329</v>
      </c>
      <c r="F5">
        <f>(F3-G3)/-G3*100</f>
        <v>416.83250414593698</v>
      </c>
      <c r="G5">
        <f>(G3-H3)/H3*100</f>
        <v>-24.953329184816425</v>
      </c>
      <c r="H5">
        <f>(H3-I3)/I3*100</f>
        <v>134.39323220536755</v>
      </c>
    </row>
    <row r="8" spans="2:15" x14ac:dyDescent="0.2">
      <c r="B8" t="s">
        <v>18</v>
      </c>
      <c r="C8">
        <f>C4*300</f>
        <v>185.82608695652175</v>
      </c>
      <c r="D8">
        <v>141.19</v>
      </c>
      <c r="E8">
        <v>64.42</v>
      </c>
      <c r="F8">
        <v>28.6</v>
      </c>
    </row>
    <row r="9" spans="2:15" x14ac:dyDescent="0.2">
      <c r="B9" t="s">
        <v>19</v>
      </c>
      <c r="C9">
        <f>C4*150</f>
        <v>92.913043478260875</v>
      </c>
      <c r="D9">
        <v>57.33</v>
      </c>
      <c r="E9">
        <v>25.54</v>
      </c>
      <c r="F9">
        <v>14.8</v>
      </c>
    </row>
    <row r="10" spans="2:15" x14ac:dyDescent="0.2">
      <c r="B10" t="s">
        <v>57</v>
      </c>
      <c r="D10">
        <f>D8/D4</f>
        <v>284.92366635470285</v>
      </c>
      <c r="E10">
        <f>E8/E4</f>
        <v>160.50059412012726</v>
      </c>
      <c r="F10">
        <f>F8/F4</f>
        <v>79.340486783564515</v>
      </c>
    </row>
    <row r="11" spans="2:15" x14ac:dyDescent="0.2">
      <c r="B11" t="s">
        <v>58</v>
      </c>
      <c r="D11">
        <f>D9/D4</f>
        <v>115.69285212915301</v>
      </c>
      <c r="E11">
        <f>E9/E4</f>
        <v>63.632182145731917</v>
      </c>
      <c r="F11">
        <f>F9/F4</f>
        <v>41.057314839047372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355B6-564E-7B44-BA9C-77A9ACE96D55}">
  <dimension ref="B1:U96"/>
  <sheetViews>
    <sheetView workbookViewId="0">
      <selection activeCell="G23" sqref="G23"/>
    </sheetView>
  </sheetViews>
  <sheetFormatPr baseColWidth="10" defaultRowHeight="16" x14ac:dyDescent="0.2"/>
  <cols>
    <col min="2" max="2" width="11.83203125" bestFit="1" customWidth="1"/>
    <col min="3" max="3" width="13.6640625" bestFit="1" customWidth="1"/>
    <col min="4" max="4" width="14.6640625" bestFit="1" customWidth="1"/>
    <col min="10" max="10" width="11.1640625" bestFit="1" customWidth="1"/>
  </cols>
  <sheetData>
    <row r="1" spans="2:21" x14ac:dyDescent="0.2">
      <c r="C1" t="s">
        <v>56</v>
      </c>
      <c r="D1">
        <v>2019</v>
      </c>
      <c r="E1">
        <v>2018</v>
      </c>
      <c r="F1">
        <v>2017</v>
      </c>
      <c r="G1">
        <v>2016</v>
      </c>
      <c r="H1">
        <v>2015</v>
      </c>
      <c r="I1">
        <v>2014</v>
      </c>
      <c r="J1">
        <v>2013</v>
      </c>
      <c r="K1">
        <v>2012</v>
      </c>
      <c r="L1">
        <v>2011</v>
      </c>
      <c r="M1">
        <v>2010</v>
      </c>
    </row>
    <row r="2" spans="2:21" x14ac:dyDescent="0.2">
      <c r="B2" t="s">
        <v>15</v>
      </c>
      <c r="D2">
        <v>452</v>
      </c>
      <c r="E2">
        <v>451</v>
      </c>
      <c r="F2">
        <v>447</v>
      </c>
      <c r="G2">
        <v>439</v>
      </c>
      <c r="H2">
        <v>436</v>
      </c>
      <c r="I2">
        <v>432</v>
      </c>
      <c r="J2">
        <v>425</v>
      </c>
      <c r="K2">
        <v>412</v>
      </c>
      <c r="L2">
        <v>381</v>
      </c>
      <c r="M2">
        <v>380</v>
      </c>
    </row>
    <row r="3" spans="2:21" x14ac:dyDescent="0.2">
      <c r="B3" t="s">
        <v>66</v>
      </c>
      <c r="D3">
        <v>20156</v>
      </c>
      <c r="E3" s="16">
        <v>15794</v>
      </c>
      <c r="F3" s="16">
        <v>11692</v>
      </c>
      <c r="G3" s="16">
        <v>8830</v>
      </c>
      <c r="H3" s="16">
        <v>6780</v>
      </c>
      <c r="I3" s="16">
        <v>5504</v>
      </c>
      <c r="J3" s="16">
        <v>4374</v>
      </c>
      <c r="K3" s="16">
        <v>3609</v>
      </c>
      <c r="L3" s="16">
        <v>3204</v>
      </c>
      <c r="M3" s="16">
        <v>2163</v>
      </c>
    </row>
    <row r="4" spans="2:21" x14ac:dyDescent="0.2">
      <c r="B4" t="s">
        <v>71</v>
      </c>
      <c r="C4">
        <f>D4*1.4</f>
        <v>62.43008849557522</v>
      </c>
      <c r="D4">
        <f>D3/D2</f>
        <v>44.592920353982301</v>
      </c>
      <c r="E4">
        <f>E3/E2</f>
        <v>35.019955654101999</v>
      </c>
      <c r="F4">
        <f t="shared" ref="F4:M4" si="0">F3/F2</f>
        <v>26.156599552572708</v>
      </c>
      <c r="G4">
        <f t="shared" si="0"/>
        <v>20.113895216400913</v>
      </c>
      <c r="H4">
        <f t="shared" si="0"/>
        <v>15.55045871559633</v>
      </c>
      <c r="I4">
        <f t="shared" si="0"/>
        <v>12.74074074074074</v>
      </c>
      <c r="J4">
        <f t="shared" si="0"/>
        <v>10.291764705882352</v>
      </c>
      <c r="K4">
        <f t="shared" si="0"/>
        <v>8.7597087378640772</v>
      </c>
      <c r="L4">
        <f t="shared" si="0"/>
        <v>8.4094488188976371</v>
      </c>
      <c r="M4">
        <f t="shared" si="0"/>
        <v>5.6921052631578943</v>
      </c>
    </row>
    <row r="5" spans="2:21" x14ac:dyDescent="0.2">
      <c r="B5" t="s">
        <v>52</v>
      </c>
      <c r="D5">
        <f t="shared" ref="D5:L5" si="1">(D3-E3)/E3*100</f>
        <v>27.618082816259339</v>
      </c>
      <c r="E5">
        <f t="shared" si="1"/>
        <v>35.083817995210396</v>
      </c>
      <c r="F5">
        <f t="shared" si="1"/>
        <v>32.412231030577573</v>
      </c>
      <c r="G5">
        <f t="shared" si="1"/>
        <v>30.235988200589968</v>
      </c>
      <c r="H5">
        <f t="shared" si="1"/>
        <v>23.183139534883722</v>
      </c>
      <c r="I5">
        <f t="shared" si="1"/>
        <v>25.834476451760402</v>
      </c>
      <c r="J5">
        <f>(J3-K3)/K3*100</f>
        <v>21.197007481296758</v>
      </c>
      <c r="K5">
        <f t="shared" si="1"/>
        <v>12.640449438202248</v>
      </c>
      <c r="L5">
        <f t="shared" si="1"/>
        <v>48.127600554785019</v>
      </c>
      <c r="O5">
        <f>MEDIAN(D5:L5)</f>
        <v>27.618082816259339</v>
      </c>
    </row>
    <row r="6" spans="2:21" x14ac:dyDescent="0.2">
      <c r="B6" t="s">
        <v>16</v>
      </c>
    </row>
    <row r="8" spans="2:21" x14ac:dyDescent="0.2">
      <c r="B8" t="s">
        <v>18</v>
      </c>
      <c r="C8">
        <f>C4*D10</f>
        <v>539.04199999999992</v>
      </c>
      <c r="D8">
        <v>385.03</v>
      </c>
      <c r="E8">
        <v>418.97</v>
      </c>
      <c r="F8">
        <v>202.68</v>
      </c>
      <c r="G8">
        <v>128.35</v>
      </c>
      <c r="H8">
        <v>130.93</v>
      </c>
      <c r="I8">
        <v>69.198599999999999</v>
      </c>
      <c r="J8">
        <v>54.368600000000001</v>
      </c>
      <c r="K8">
        <v>18.464300000000001</v>
      </c>
      <c r="L8">
        <v>43.675699999999999</v>
      </c>
      <c r="M8">
        <v>29.414300000000001</v>
      </c>
    </row>
    <row r="9" spans="2:21" ht="17" x14ac:dyDescent="0.25">
      <c r="B9" t="s">
        <v>19</v>
      </c>
      <c r="C9">
        <f>C4*D11</f>
        <v>356.42599999999999</v>
      </c>
      <c r="D9">
        <v>254.59</v>
      </c>
      <c r="E9">
        <v>201.07</v>
      </c>
      <c r="F9">
        <v>127.49</v>
      </c>
      <c r="G9">
        <v>82.79</v>
      </c>
      <c r="H9">
        <v>45.5471</v>
      </c>
      <c r="I9">
        <v>44.887099999999997</v>
      </c>
      <c r="J9">
        <v>13.144299999999999</v>
      </c>
      <c r="K9">
        <v>7.6856999999999998</v>
      </c>
      <c r="L9">
        <v>9.1226000000000003</v>
      </c>
      <c r="M9">
        <v>7.0186000000000002</v>
      </c>
      <c r="O9" s="13"/>
    </row>
    <row r="10" spans="2:21" ht="17" x14ac:dyDescent="0.25">
      <c r="B10" t="s">
        <v>68</v>
      </c>
      <c r="D10">
        <f>D8/D4</f>
        <v>8.6343302242508422</v>
      </c>
      <c r="E10">
        <f>E8/E4</f>
        <v>11.963750158287958</v>
      </c>
      <c r="F10">
        <f t="shared" ref="F10:M10" si="2">F8/F4</f>
        <v>7.7487136503592202</v>
      </c>
      <c r="G10">
        <f t="shared" si="2"/>
        <v>6.3811608154020378</v>
      </c>
      <c r="H10">
        <f t="shared" si="2"/>
        <v>8.4196873156342189</v>
      </c>
      <c r="I10">
        <f t="shared" si="2"/>
        <v>5.4312854651162787</v>
      </c>
      <c r="J10">
        <f t="shared" si="2"/>
        <v>5.2827286236854141</v>
      </c>
      <c r="K10">
        <f t="shared" si="2"/>
        <v>2.1078668883347191</v>
      </c>
      <c r="L10">
        <f t="shared" si="2"/>
        <v>5.1936459737827718</v>
      </c>
      <c r="M10">
        <f t="shared" si="2"/>
        <v>5.1675607951918634</v>
      </c>
      <c r="O10" s="13">
        <f>MEDIAN(D10:M10)</f>
        <v>5.9062231402591578</v>
      </c>
      <c r="P10" s="16"/>
    </row>
    <row r="11" spans="2:21" ht="17" x14ac:dyDescent="0.25">
      <c r="B11" t="s">
        <v>69</v>
      </c>
      <c r="D11">
        <f>D9/D4</f>
        <v>5.7092022226632269</v>
      </c>
      <c r="E11">
        <f>E9/E4</f>
        <v>5.7415835127263515</v>
      </c>
      <c r="F11">
        <f t="shared" ref="F11:M11" si="3">F9/F4</f>
        <v>4.8741045159083134</v>
      </c>
      <c r="G11">
        <f t="shared" si="3"/>
        <v>4.116060022650057</v>
      </c>
      <c r="H11">
        <f t="shared" si="3"/>
        <v>2.9289875516224191</v>
      </c>
      <c r="I11">
        <f t="shared" si="3"/>
        <v>3.5231154069767441</v>
      </c>
      <c r="J11">
        <f t="shared" si="3"/>
        <v>1.2771667809785094</v>
      </c>
      <c r="K11">
        <f t="shared" si="3"/>
        <v>0.87739218620116377</v>
      </c>
      <c r="L11">
        <f t="shared" si="3"/>
        <v>1.0848035580524347</v>
      </c>
      <c r="M11">
        <f t="shared" si="3"/>
        <v>1.2330411465557098</v>
      </c>
      <c r="O11" s="13">
        <f>MEDIAN(D11:M11)</f>
        <v>3.2260514792995814</v>
      </c>
      <c r="P11" s="16"/>
    </row>
    <row r="12" spans="2:21" ht="17" x14ac:dyDescent="0.25">
      <c r="O12" s="13"/>
      <c r="P12" s="4"/>
    </row>
    <row r="13" spans="2:21" ht="17" x14ac:dyDescent="0.25">
      <c r="O13" s="13"/>
      <c r="P13" s="4"/>
      <c r="U13" s="17"/>
    </row>
    <row r="14" spans="2:21" ht="17" x14ac:dyDescent="0.25">
      <c r="D14">
        <v>44.592920353982301</v>
      </c>
      <c r="E14">
        <v>385.03</v>
      </c>
      <c r="F14">
        <v>254.59</v>
      </c>
      <c r="I14">
        <f>C4*7</f>
        <v>437.01061946902655</v>
      </c>
      <c r="K14">
        <f>C8/C4</f>
        <v>8.6343302242508422</v>
      </c>
      <c r="O14" s="13"/>
      <c r="P14" s="4"/>
      <c r="U14" s="18"/>
    </row>
    <row r="15" spans="2:21" ht="17" x14ac:dyDescent="0.25">
      <c r="D15">
        <v>35.019955654101999</v>
      </c>
      <c r="E15">
        <v>418.97</v>
      </c>
      <c r="F15">
        <v>201.07</v>
      </c>
      <c r="I15">
        <f>C4*4</f>
        <v>249.72035398230088</v>
      </c>
      <c r="O15" s="13"/>
      <c r="P15" s="4"/>
      <c r="U15" s="17"/>
    </row>
    <row r="16" spans="2:21" ht="17" x14ac:dyDescent="0.25">
      <c r="D16">
        <v>26.156599552572708</v>
      </c>
      <c r="E16">
        <v>202.68</v>
      </c>
      <c r="F16">
        <v>127.49</v>
      </c>
      <c r="O16" s="13"/>
      <c r="P16" s="4"/>
      <c r="U16" s="17"/>
    </row>
    <row r="17" spans="2:21" ht="17" x14ac:dyDescent="0.25">
      <c r="D17">
        <v>20.113895216400913</v>
      </c>
      <c r="E17">
        <v>128.35</v>
      </c>
      <c r="F17">
        <v>82.79</v>
      </c>
      <c r="I17">
        <f>C4*8</f>
        <v>499.44070796460176</v>
      </c>
      <c r="J17" s="15"/>
      <c r="O17" s="13"/>
      <c r="U17" s="17"/>
    </row>
    <row r="18" spans="2:21" ht="17" x14ac:dyDescent="0.25">
      <c r="D18">
        <v>15.55045871559633</v>
      </c>
      <c r="E18">
        <v>130.93</v>
      </c>
      <c r="F18">
        <v>45.5471</v>
      </c>
      <c r="O18" s="13"/>
    </row>
    <row r="19" spans="2:21" ht="17" x14ac:dyDescent="0.25">
      <c r="D19">
        <v>12.74074074074074</v>
      </c>
      <c r="E19">
        <v>69.198599999999999</v>
      </c>
      <c r="F19">
        <v>44.887099999999997</v>
      </c>
      <c r="O19" s="13"/>
    </row>
    <row r="20" spans="2:21" ht="17" x14ac:dyDescent="0.25">
      <c r="D20">
        <v>10.291764705882352</v>
      </c>
      <c r="E20">
        <v>54.368600000000001</v>
      </c>
      <c r="F20">
        <v>13.144299999999999</v>
      </c>
      <c r="O20" s="13"/>
    </row>
    <row r="21" spans="2:21" ht="17" x14ac:dyDescent="0.25">
      <c r="D21">
        <v>8.7597087378640772</v>
      </c>
      <c r="E21">
        <v>18.464300000000001</v>
      </c>
      <c r="F21">
        <v>7.6856999999999998</v>
      </c>
      <c r="O21" s="13"/>
    </row>
    <row r="22" spans="2:21" ht="17" x14ac:dyDescent="0.25">
      <c r="D22">
        <v>8.4094488188976371</v>
      </c>
      <c r="E22">
        <v>43.675699999999999</v>
      </c>
      <c r="F22">
        <v>9.1226000000000003</v>
      </c>
      <c r="O22" s="13"/>
    </row>
    <row r="23" spans="2:21" ht="17" x14ac:dyDescent="0.25">
      <c r="D23">
        <v>5.6921052631578943</v>
      </c>
      <c r="E23">
        <v>29.414300000000001</v>
      </c>
      <c r="F23">
        <v>7.0186000000000002</v>
      </c>
      <c r="O23" s="13"/>
    </row>
    <row r="25" spans="2:21" x14ac:dyDescent="0.2">
      <c r="B25" t="s">
        <v>20</v>
      </c>
    </row>
    <row r="26" spans="2:21" ht="17" thickBot="1" x14ac:dyDescent="0.25"/>
    <row r="27" spans="2:21" x14ac:dyDescent="0.2">
      <c r="B27" s="12" t="s">
        <v>21</v>
      </c>
      <c r="C27" s="12"/>
    </row>
    <row r="28" spans="2:21" x14ac:dyDescent="0.2">
      <c r="B28" s="9" t="s">
        <v>22</v>
      </c>
      <c r="C28" s="9">
        <v>0.9619412436511795</v>
      </c>
    </row>
    <row r="29" spans="2:21" x14ac:dyDescent="0.2">
      <c r="B29" s="9" t="s">
        <v>23</v>
      </c>
      <c r="C29" s="9">
        <v>0.92533095623717798</v>
      </c>
    </row>
    <row r="30" spans="2:21" x14ac:dyDescent="0.2">
      <c r="B30" s="9" t="s">
        <v>24</v>
      </c>
      <c r="C30" s="9">
        <v>0.91599732576682524</v>
      </c>
    </row>
    <row r="31" spans="2:21" x14ac:dyDescent="0.2">
      <c r="B31" s="9" t="s">
        <v>25</v>
      </c>
      <c r="C31" s="9">
        <v>42.109127990914814</v>
      </c>
    </row>
    <row r="32" spans="2:21" ht="17" thickBot="1" x14ac:dyDescent="0.25">
      <c r="B32" s="10" t="s">
        <v>26</v>
      </c>
      <c r="C32" s="10">
        <v>10</v>
      </c>
    </row>
    <row r="34" spans="2:10" ht="17" thickBot="1" x14ac:dyDescent="0.25">
      <c r="B34" t="s">
        <v>27</v>
      </c>
    </row>
    <row r="35" spans="2:10" x14ac:dyDescent="0.2">
      <c r="B35" s="11"/>
      <c r="C35" s="11" t="s">
        <v>32</v>
      </c>
      <c r="D35" s="11" t="s">
        <v>33</v>
      </c>
      <c r="E35" s="11" t="s">
        <v>34</v>
      </c>
      <c r="F35" s="11" t="s">
        <v>35</v>
      </c>
      <c r="G35" s="11" t="s">
        <v>36</v>
      </c>
    </row>
    <row r="36" spans="2:10" x14ac:dyDescent="0.2">
      <c r="B36" s="9" t="s">
        <v>28</v>
      </c>
      <c r="C36" s="9">
        <v>1</v>
      </c>
      <c r="D36" s="9">
        <v>175791.95045192301</v>
      </c>
      <c r="E36" s="9">
        <v>175791.95045192301</v>
      </c>
      <c r="F36" s="9">
        <v>99.139446239744416</v>
      </c>
      <c r="G36" s="9">
        <v>8.7664233760209113E-6</v>
      </c>
    </row>
    <row r="37" spans="2:10" x14ac:dyDescent="0.2">
      <c r="B37" s="9" t="s">
        <v>29</v>
      </c>
      <c r="C37" s="9">
        <v>8</v>
      </c>
      <c r="D37" s="9">
        <v>14185.429281241966</v>
      </c>
      <c r="E37" s="9">
        <v>1773.1786601552458</v>
      </c>
      <c r="F37" s="9"/>
      <c r="G37" s="9"/>
    </row>
    <row r="38" spans="2:10" ht="17" thickBot="1" x14ac:dyDescent="0.25">
      <c r="B38" s="10" t="s">
        <v>30</v>
      </c>
      <c r="C38" s="10">
        <v>9</v>
      </c>
      <c r="D38" s="10">
        <v>189977.37973316497</v>
      </c>
      <c r="E38" s="10"/>
      <c r="F38" s="10"/>
      <c r="G38" s="10"/>
    </row>
    <row r="39" spans="2:10" ht="17" thickBot="1" x14ac:dyDescent="0.25"/>
    <row r="40" spans="2:10" x14ac:dyDescent="0.2">
      <c r="B40" s="11"/>
      <c r="C40" s="11" t="s">
        <v>37</v>
      </c>
      <c r="D40" s="11" t="s">
        <v>25</v>
      </c>
      <c r="E40" s="11" t="s">
        <v>38</v>
      </c>
      <c r="F40" s="11" t="s">
        <v>39</v>
      </c>
      <c r="G40" s="11" t="s">
        <v>40</v>
      </c>
      <c r="H40" s="11" t="s">
        <v>41</v>
      </c>
      <c r="I40" s="11" t="s">
        <v>42</v>
      </c>
      <c r="J40" s="11" t="s">
        <v>43</v>
      </c>
    </row>
    <row r="41" spans="2:10" x14ac:dyDescent="0.2">
      <c r="B41" s="9" t="s">
        <v>31</v>
      </c>
      <c r="C41" s="9">
        <v>-55.747928107247986</v>
      </c>
      <c r="D41" s="9">
        <v>24.423311476294039</v>
      </c>
      <c r="E41" s="9">
        <v>-2.2825704107061204</v>
      </c>
      <c r="F41" s="9">
        <v>5.1862828800893386E-2</v>
      </c>
      <c r="G41" s="9">
        <v>-112.06818536696143</v>
      </c>
      <c r="H41" s="9">
        <v>0.57232915246545701</v>
      </c>
      <c r="I41" s="9">
        <v>-112.06818536696143</v>
      </c>
      <c r="J41" s="9">
        <v>0.57232915246545701</v>
      </c>
    </row>
    <row r="42" spans="2:10" ht="17" thickBot="1" x14ac:dyDescent="0.25">
      <c r="B42" s="10" t="s">
        <v>44</v>
      </c>
      <c r="C42" s="10">
        <v>10.88233023568144</v>
      </c>
      <c r="D42" s="10">
        <v>1.092945878063001</v>
      </c>
      <c r="E42" s="10">
        <v>9.9568793424317636</v>
      </c>
      <c r="F42" s="10">
        <v>8.7664233760209113E-6</v>
      </c>
      <c r="G42" s="10">
        <v>8.3619925213138107</v>
      </c>
      <c r="H42" s="10">
        <v>13.40266795004907</v>
      </c>
      <c r="I42" s="10">
        <v>8.3619925213138107</v>
      </c>
      <c r="J42" s="10">
        <v>13.40266795004907</v>
      </c>
    </row>
    <row r="46" spans="2:10" x14ac:dyDescent="0.2">
      <c r="B46" t="s">
        <v>45</v>
      </c>
      <c r="G46" t="s">
        <v>49</v>
      </c>
    </row>
    <row r="47" spans="2:10" ht="17" thickBot="1" x14ac:dyDescent="0.25"/>
    <row r="48" spans="2:10" x14ac:dyDescent="0.2">
      <c r="B48" s="11" t="s">
        <v>46</v>
      </c>
      <c r="C48" s="11" t="s">
        <v>47</v>
      </c>
      <c r="D48" s="11" t="s">
        <v>48</v>
      </c>
      <c r="E48" s="11" t="s">
        <v>59</v>
      </c>
      <c r="G48" s="11" t="s">
        <v>50</v>
      </c>
      <c r="H48" s="11" t="s">
        <v>51</v>
      </c>
    </row>
    <row r="49" spans="2:8" x14ac:dyDescent="0.2">
      <c r="B49" s="9">
        <v>1</v>
      </c>
      <c r="C49" s="9">
        <v>429.52695735822795</v>
      </c>
      <c r="D49" s="9">
        <v>-44.496957358227974</v>
      </c>
      <c r="E49" s="9">
        <v>-1.1208056943245215</v>
      </c>
      <c r="G49" s="9">
        <v>5</v>
      </c>
      <c r="H49" s="9">
        <v>18.464300000000001</v>
      </c>
    </row>
    <row r="50" spans="2:8" x14ac:dyDescent="0.2">
      <c r="B50" s="9">
        <v>2</v>
      </c>
      <c r="C50" s="9">
        <v>325.35079415960945</v>
      </c>
      <c r="D50" s="9">
        <v>93.619205840390578</v>
      </c>
      <c r="E50" s="9">
        <v>2.3581149191686643</v>
      </c>
      <c r="G50" s="9">
        <v>15</v>
      </c>
      <c r="H50" s="9">
        <v>29.414300000000001</v>
      </c>
    </row>
    <row r="51" spans="2:8" x14ac:dyDescent="0.2">
      <c r="B51" s="9">
        <v>3</v>
      </c>
      <c r="C51" s="9">
        <v>228.89682606632564</v>
      </c>
      <c r="D51" s="9">
        <v>-26.216826066325638</v>
      </c>
      <c r="E51" s="9">
        <v>-0.66035903771339333</v>
      </c>
      <c r="G51" s="9">
        <v>25</v>
      </c>
      <c r="H51" s="9">
        <v>43.675699999999999</v>
      </c>
    </row>
    <row r="52" spans="2:8" x14ac:dyDescent="0.2">
      <c r="B52" s="9">
        <v>4</v>
      </c>
      <c r="C52" s="9">
        <v>163.13812196351995</v>
      </c>
      <c r="D52" s="9">
        <v>-34.788121963519956</v>
      </c>
      <c r="E52" s="9">
        <v>-0.87625598482318046</v>
      </c>
      <c r="G52" s="9">
        <v>35</v>
      </c>
      <c r="H52" s="9">
        <v>54.368600000000001</v>
      </c>
    </row>
    <row r="53" spans="2:8" x14ac:dyDescent="0.2">
      <c r="B53" s="9">
        <v>5</v>
      </c>
      <c r="C53" s="9">
        <v>113.47729895220192</v>
      </c>
      <c r="D53" s="9">
        <v>17.452701047798087</v>
      </c>
      <c r="E53" s="9">
        <v>0.43960503991850086</v>
      </c>
      <c r="G53" s="9">
        <v>45</v>
      </c>
      <c r="H53" s="9">
        <v>69.198599999999999</v>
      </c>
    </row>
    <row r="54" spans="2:8" x14ac:dyDescent="0.2">
      <c r="B54" s="9">
        <v>6</v>
      </c>
      <c r="C54" s="9">
        <v>82.901020080693314</v>
      </c>
      <c r="D54" s="9">
        <v>-13.702420080693315</v>
      </c>
      <c r="E54" s="9">
        <v>-0.34514158639720838</v>
      </c>
      <c r="G54" s="9">
        <v>55</v>
      </c>
      <c r="H54" s="9">
        <v>128.35</v>
      </c>
    </row>
    <row r="55" spans="2:8" x14ac:dyDescent="0.2">
      <c r="B55" s="9">
        <v>7</v>
      </c>
      <c r="C55" s="9">
        <v>56.250454130094639</v>
      </c>
      <c r="D55" s="9">
        <v>-1.8818541300946379</v>
      </c>
      <c r="E55" s="9">
        <v>-4.7400832553962845E-2</v>
      </c>
      <c r="G55" s="9">
        <v>65</v>
      </c>
      <c r="H55" s="9">
        <v>130.93</v>
      </c>
    </row>
    <row r="56" spans="2:8" x14ac:dyDescent="0.2">
      <c r="B56" s="9">
        <v>8</v>
      </c>
      <c r="C56" s="9">
        <v>39.578115146573168</v>
      </c>
      <c r="D56" s="9">
        <v>-21.113815146573167</v>
      </c>
      <c r="E56" s="9">
        <v>-0.53182252563205235</v>
      </c>
      <c r="G56" s="9">
        <v>75</v>
      </c>
      <c r="H56" s="9">
        <v>202.68</v>
      </c>
    </row>
    <row r="57" spans="2:8" x14ac:dyDescent="0.2">
      <c r="B57" s="9">
        <v>9</v>
      </c>
      <c r="C57" s="9">
        <v>35.76647104005734</v>
      </c>
      <c r="D57" s="9">
        <v>7.9092289599426593</v>
      </c>
      <c r="E57" s="9">
        <v>0.19922056208593697</v>
      </c>
      <c r="G57" s="9">
        <v>85</v>
      </c>
      <c r="H57" s="9">
        <v>385.03</v>
      </c>
    </row>
    <row r="58" spans="2:8" ht="17" thickBot="1" x14ac:dyDescent="0.25">
      <c r="B58" s="10">
        <v>10</v>
      </c>
      <c r="C58" s="10">
        <v>6.195441102696627</v>
      </c>
      <c r="D58" s="10">
        <v>23.218858897303374</v>
      </c>
      <c r="E58" s="10">
        <v>0.58484514027121703</v>
      </c>
      <c r="G58" s="10">
        <v>95</v>
      </c>
      <c r="H58" s="10">
        <v>418.97</v>
      </c>
    </row>
    <row r="63" spans="2:8" x14ac:dyDescent="0.2">
      <c r="B63" t="s">
        <v>20</v>
      </c>
    </row>
    <row r="64" spans="2:8" ht="17" thickBot="1" x14ac:dyDescent="0.25"/>
    <row r="65" spans="2:10" x14ac:dyDescent="0.2">
      <c r="B65" s="12" t="s">
        <v>21</v>
      </c>
      <c r="C65" s="12"/>
    </row>
    <row r="66" spans="2:10" x14ac:dyDescent="0.2">
      <c r="B66" s="9" t="s">
        <v>22</v>
      </c>
      <c r="C66" s="9">
        <v>0.99492380896014887</v>
      </c>
    </row>
    <row r="67" spans="2:10" x14ac:dyDescent="0.2">
      <c r="B67" s="9" t="s">
        <v>23</v>
      </c>
      <c r="C67" s="9">
        <v>0.98987338563577087</v>
      </c>
    </row>
    <row r="68" spans="2:10" x14ac:dyDescent="0.2">
      <c r="B68" s="9" t="s">
        <v>24</v>
      </c>
      <c r="C68" s="9">
        <v>0.98860755884024232</v>
      </c>
    </row>
    <row r="69" spans="2:10" x14ac:dyDescent="0.2">
      <c r="B69" s="9" t="s">
        <v>25</v>
      </c>
      <c r="C69" s="9">
        <v>9.4042369558439169</v>
      </c>
    </row>
    <row r="70" spans="2:10" ht="17" thickBot="1" x14ac:dyDescent="0.25">
      <c r="B70" s="10" t="s">
        <v>26</v>
      </c>
      <c r="C70" s="10">
        <v>10</v>
      </c>
    </row>
    <row r="72" spans="2:10" ht="17" thickBot="1" x14ac:dyDescent="0.25">
      <c r="B72" t="s">
        <v>27</v>
      </c>
    </row>
    <row r="73" spans="2:10" x14ac:dyDescent="0.2">
      <c r="B73" s="11"/>
      <c r="C73" s="11" t="s">
        <v>32</v>
      </c>
      <c r="D73" s="11" t="s">
        <v>33</v>
      </c>
      <c r="E73" s="11" t="s">
        <v>34</v>
      </c>
      <c r="F73" s="11" t="s">
        <v>35</v>
      </c>
      <c r="G73" s="11" t="s">
        <v>36</v>
      </c>
    </row>
    <row r="74" spans="2:10" x14ac:dyDescent="0.2">
      <c r="B74" s="9" t="s">
        <v>28</v>
      </c>
      <c r="C74" s="9">
        <v>1</v>
      </c>
      <c r="D74" s="9">
        <v>69159.602696630711</v>
      </c>
      <c r="E74" s="9">
        <v>69159.602696630711</v>
      </c>
      <c r="F74" s="9">
        <v>781.99749691851002</v>
      </c>
      <c r="G74" s="9">
        <v>2.8872337871347062E-9</v>
      </c>
    </row>
    <row r="75" spans="2:10" x14ac:dyDescent="0.2">
      <c r="B75" s="9" t="s">
        <v>29</v>
      </c>
      <c r="C75" s="9">
        <v>8</v>
      </c>
      <c r="D75" s="9">
        <v>707.51738177328366</v>
      </c>
      <c r="E75" s="9">
        <v>88.439672721660457</v>
      </c>
      <c r="F75" s="9"/>
      <c r="G75" s="9"/>
    </row>
    <row r="76" spans="2:10" ht="17" thickBot="1" x14ac:dyDescent="0.25">
      <c r="B76" s="10" t="s">
        <v>30</v>
      </c>
      <c r="C76" s="10">
        <v>9</v>
      </c>
      <c r="D76" s="10">
        <v>69867.120078403997</v>
      </c>
      <c r="E76" s="10"/>
      <c r="F76" s="10"/>
      <c r="G76" s="10"/>
    </row>
    <row r="77" spans="2:10" ht="17" thickBot="1" x14ac:dyDescent="0.25"/>
    <row r="78" spans="2:10" x14ac:dyDescent="0.2">
      <c r="B78" s="11"/>
      <c r="C78" s="11" t="s">
        <v>37</v>
      </c>
      <c r="D78" s="11" t="s">
        <v>25</v>
      </c>
      <c r="E78" s="11" t="s">
        <v>38</v>
      </c>
      <c r="F78" s="11" t="s">
        <v>39</v>
      </c>
      <c r="G78" s="11" t="s">
        <v>40</v>
      </c>
      <c r="H78" s="11" t="s">
        <v>41</v>
      </c>
      <c r="I78" s="11" t="s">
        <v>42</v>
      </c>
      <c r="J78" s="11" t="s">
        <v>43</v>
      </c>
    </row>
    <row r="79" spans="2:10" x14ac:dyDescent="0.2">
      <c r="B79" s="9" t="s">
        <v>31</v>
      </c>
      <c r="C79" s="9">
        <v>-48.530087343304373</v>
      </c>
      <c r="D79" s="9">
        <v>5.4544612849500478</v>
      </c>
      <c r="E79" s="9">
        <v>-8.897319974973259</v>
      </c>
      <c r="F79" s="9">
        <v>2.0160684804094575E-5</v>
      </c>
      <c r="G79" s="9">
        <v>-61.108097621710215</v>
      </c>
      <c r="H79" s="9">
        <v>-35.952077064898532</v>
      </c>
      <c r="I79" s="9">
        <v>-61.108097621710215</v>
      </c>
      <c r="J79" s="9">
        <v>-35.952077064898532</v>
      </c>
    </row>
    <row r="80" spans="2:10" ht="17" thickBot="1" x14ac:dyDescent="0.25">
      <c r="B80" s="10" t="s">
        <v>44</v>
      </c>
      <c r="C80" s="10">
        <v>6.8257228978972897</v>
      </c>
      <c r="D80" s="10">
        <v>0.24408774314763618</v>
      </c>
      <c r="E80" s="10">
        <v>27.964218153177644</v>
      </c>
      <c r="F80" s="10">
        <v>2.8872337871347062E-9</v>
      </c>
      <c r="G80" s="10">
        <v>6.2628555528461884</v>
      </c>
      <c r="H80" s="10">
        <v>7.388590242948391</v>
      </c>
      <c r="I80" s="10">
        <v>6.2628555528461884</v>
      </c>
      <c r="J80" s="10">
        <v>7.388590242948391</v>
      </c>
    </row>
    <row r="84" spans="2:8" x14ac:dyDescent="0.2">
      <c r="B84" t="s">
        <v>45</v>
      </c>
      <c r="G84" t="s">
        <v>49</v>
      </c>
    </row>
    <row r="85" spans="2:8" ht="17" thickBot="1" x14ac:dyDescent="0.25"/>
    <row r="86" spans="2:8" x14ac:dyDescent="0.2">
      <c r="B86" s="11" t="s">
        <v>46</v>
      </c>
      <c r="C86" s="11" t="s">
        <v>47</v>
      </c>
      <c r="D86" s="11" t="s">
        <v>48</v>
      </c>
      <c r="E86" s="11" t="s">
        <v>59</v>
      </c>
      <c r="G86" s="11" t="s">
        <v>50</v>
      </c>
      <c r="H86" s="11" t="s">
        <v>51</v>
      </c>
    </row>
    <row r="87" spans="2:8" x14ac:dyDescent="0.2">
      <c r="B87" s="9">
        <v>1</v>
      </c>
      <c r="C87" s="9">
        <v>255.84883020098272</v>
      </c>
      <c r="D87" s="9">
        <v>-1.2588302009827146</v>
      </c>
      <c r="E87" s="9">
        <v>-0.14197760684733129</v>
      </c>
      <c r="G87" s="9">
        <v>5</v>
      </c>
      <c r="H87" s="9">
        <v>7.0186000000000002</v>
      </c>
    </row>
    <row r="88" spans="2:8" x14ac:dyDescent="0.2">
      <c r="B88" s="9">
        <v>2</v>
      </c>
      <c r="C88" s="9">
        <v>190.50642584824732</v>
      </c>
      <c r="D88" s="9">
        <v>10.563574151752675</v>
      </c>
      <c r="E88" s="9">
        <v>1.1914164250661847</v>
      </c>
      <c r="G88" s="9">
        <v>15</v>
      </c>
      <c r="H88" s="9">
        <v>7.6856999999999998</v>
      </c>
    </row>
    <row r="89" spans="2:8" x14ac:dyDescent="0.2">
      <c r="B89" s="9">
        <v>3</v>
      </c>
      <c r="C89" s="9">
        <v>130.00761315382118</v>
      </c>
      <c r="D89" s="9">
        <v>-2.5176131538211877</v>
      </c>
      <c r="E89" s="9">
        <v>-0.28394988479610095</v>
      </c>
      <c r="G89" s="9">
        <v>25</v>
      </c>
      <c r="H89" s="9">
        <v>9.1226000000000003</v>
      </c>
    </row>
    <row r="90" spans="2:8" x14ac:dyDescent="0.2">
      <c r="B90" s="9">
        <v>4</v>
      </c>
      <c r="C90" s="9">
        <v>88.761787801190096</v>
      </c>
      <c r="D90" s="9">
        <v>-5.9717878011900893</v>
      </c>
      <c r="E90" s="9">
        <v>-0.67353018695545086</v>
      </c>
      <c r="G90" s="9">
        <v>35</v>
      </c>
      <c r="H90" s="9">
        <v>13.144299999999999</v>
      </c>
    </row>
    <row r="91" spans="2:8" x14ac:dyDescent="0.2">
      <c r="B91" s="9">
        <v>5</v>
      </c>
      <c r="C91" s="9">
        <v>57.613034784547978</v>
      </c>
      <c r="D91" s="9">
        <v>-12.065934784547977</v>
      </c>
      <c r="E91" s="9">
        <v>-1.3608606972955957</v>
      </c>
      <c r="G91" s="9">
        <v>45</v>
      </c>
      <c r="H91" s="9">
        <v>44.887099999999997</v>
      </c>
    </row>
    <row r="92" spans="2:8" x14ac:dyDescent="0.2">
      <c r="B92" s="9">
        <v>6</v>
      </c>
      <c r="C92" s="9">
        <v>38.434678466942572</v>
      </c>
      <c r="D92" s="9">
        <v>6.4524215330574251</v>
      </c>
      <c r="E92" s="9">
        <v>0.72773863140439621</v>
      </c>
      <c r="G92" s="9">
        <v>55</v>
      </c>
      <c r="H92" s="9">
        <v>45.5471</v>
      </c>
    </row>
    <row r="93" spans="2:8" x14ac:dyDescent="0.2">
      <c r="B93" s="9">
        <v>7</v>
      </c>
      <c r="C93" s="9">
        <v>21.71864666940796</v>
      </c>
      <c r="D93" s="9">
        <v>-8.5743466694079604</v>
      </c>
      <c r="E93" s="9">
        <v>-0.96706070401836819</v>
      </c>
      <c r="G93" s="9">
        <v>65</v>
      </c>
      <c r="H93" s="9">
        <v>82.79</v>
      </c>
    </row>
    <row r="94" spans="2:8" x14ac:dyDescent="0.2">
      <c r="B94" s="9">
        <v>8</v>
      </c>
      <c r="C94" s="9">
        <v>11.261257167645425</v>
      </c>
      <c r="D94" s="9">
        <v>-3.5755571676454254</v>
      </c>
      <c r="E94" s="9">
        <v>-0.40327047238922281</v>
      </c>
      <c r="G94" s="9">
        <v>75</v>
      </c>
      <c r="H94" s="9">
        <v>127.49</v>
      </c>
    </row>
    <row r="95" spans="2:8" x14ac:dyDescent="0.2">
      <c r="B95" s="9">
        <v>9</v>
      </c>
      <c r="C95" s="9">
        <v>8.8704800185405475</v>
      </c>
      <c r="D95" s="9">
        <v>0.2521199814594528</v>
      </c>
      <c r="E95" s="9">
        <v>2.8435440759256272E-2</v>
      </c>
      <c r="G95" s="9">
        <v>85</v>
      </c>
      <c r="H95" s="9">
        <v>201.07</v>
      </c>
    </row>
    <row r="96" spans="2:8" ht="17" thickBot="1" x14ac:dyDescent="0.25">
      <c r="B96" s="10">
        <v>10</v>
      </c>
      <c r="C96" s="10">
        <v>-9.6773541113258545</v>
      </c>
      <c r="D96" s="10">
        <v>16.695954111325854</v>
      </c>
      <c r="E96" s="10">
        <v>1.8830590550722386</v>
      </c>
      <c r="G96" s="10">
        <v>95</v>
      </c>
      <c r="H96" s="10">
        <v>254.59</v>
      </c>
    </row>
  </sheetData>
  <sortState xmlns:xlrd2="http://schemas.microsoft.com/office/spreadsheetml/2017/richdata2" ref="H87:H96">
    <sortCondition ref="H87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FED36-75DF-E34C-985D-AF8F8BC14FF1}">
  <dimension ref="A1:U89"/>
  <sheetViews>
    <sheetView workbookViewId="0">
      <selection activeCell="C9" sqref="C9"/>
    </sheetView>
  </sheetViews>
  <sheetFormatPr baseColWidth="10" defaultRowHeight="16" x14ac:dyDescent="0.2"/>
  <cols>
    <col min="2" max="2" width="11.83203125" bestFit="1" customWidth="1"/>
    <col min="3" max="3" width="13.6640625" bestFit="1" customWidth="1"/>
    <col min="4" max="4" width="14.6640625" bestFit="1" customWidth="1"/>
    <col min="10" max="10" width="11.1640625" bestFit="1" customWidth="1"/>
  </cols>
  <sheetData>
    <row r="1" spans="2:21" x14ac:dyDescent="0.2">
      <c r="C1" t="s">
        <v>56</v>
      </c>
      <c r="D1">
        <v>2019</v>
      </c>
      <c r="E1">
        <v>2018</v>
      </c>
      <c r="F1">
        <v>2017</v>
      </c>
      <c r="G1">
        <v>2016</v>
      </c>
      <c r="H1">
        <v>2015</v>
      </c>
      <c r="I1">
        <v>2014</v>
      </c>
      <c r="J1">
        <v>2013</v>
      </c>
      <c r="K1">
        <v>2012</v>
      </c>
    </row>
    <row r="2" spans="2:21" x14ac:dyDescent="0.2">
      <c r="B2" t="s">
        <v>15</v>
      </c>
      <c r="D2">
        <v>197</v>
      </c>
      <c r="E2">
        <v>178</v>
      </c>
      <c r="F2">
        <v>171</v>
      </c>
      <c r="G2">
        <v>165</v>
      </c>
      <c r="H2">
        <v>156</v>
      </c>
      <c r="I2">
        <v>145</v>
      </c>
      <c r="J2">
        <v>135</v>
      </c>
      <c r="K2">
        <v>74</v>
      </c>
    </row>
    <row r="3" spans="2:21" x14ac:dyDescent="0.2">
      <c r="B3" t="s">
        <v>14</v>
      </c>
      <c r="D3">
        <v>1235.972</v>
      </c>
      <c r="E3" s="16">
        <v>811.08900000000006</v>
      </c>
      <c r="F3" s="16">
        <v>642.94000000000005</v>
      </c>
      <c r="G3" s="16">
        <v>159.08099999999999</v>
      </c>
      <c r="H3" s="16">
        <v>317.75299999999999</v>
      </c>
      <c r="I3" s="16">
        <v>140.93700000000001</v>
      </c>
      <c r="J3" s="16">
        <v>81.745999999999995</v>
      </c>
      <c r="K3" s="16">
        <v>48.765999999999998</v>
      </c>
      <c r="L3" s="16"/>
      <c r="M3" s="16"/>
    </row>
    <row r="4" spans="2:21" x14ac:dyDescent="0.2">
      <c r="B4" t="s">
        <v>17</v>
      </c>
      <c r="C4">
        <f>D4*1.33</f>
        <v>8.3443794923857872</v>
      </c>
      <c r="D4">
        <f>D3/D2</f>
        <v>6.2739695431472082</v>
      </c>
      <c r="E4">
        <f>E3/E2</f>
        <v>4.556679775280899</v>
      </c>
      <c r="F4">
        <f t="shared" ref="F4:K4" si="0">F3/F2</f>
        <v>3.7598830409356729</v>
      </c>
      <c r="G4">
        <f t="shared" si="0"/>
        <v>0.96412727272727261</v>
      </c>
      <c r="H4">
        <f t="shared" si="0"/>
        <v>2.0368782051282048</v>
      </c>
      <c r="I4">
        <f t="shared" si="0"/>
        <v>0.97197931034482765</v>
      </c>
      <c r="J4">
        <f t="shared" si="0"/>
        <v>0.60552592592592591</v>
      </c>
      <c r="K4">
        <f t="shared" si="0"/>
        <v>0.65900000000000003</v>
      </c>
    </row>
    <row r="5" spans="2:21" x14ac:dyDescent="0.2">
      <c r="B5" t="s">
        <v>52</v>
      </c>
      <c r="D5">
        <f>(D4-E4)/E4*100</f>
        <v>37.687304189824175</v>
      </c>
      <c r="E5">
        <f t="shared" ref="E5:J5" si="1">(E4-F4)/F4*100</f>
        <v>21.192061712295647</v>
      </c>
      <c r="F5">
        <f t="shared" si="1"/>
        <v>289.97787401033816</v>
      </c>
      <c r="G5">
        <f t="shared" si="1"/>
        <v>-52.666425007646012</v>
      </c>
      <c r="H5">
        <f t="shared" si="1"/>
        <v>109.55983151591822</v>
      </c>
      <c r="I5">
        <f t="shared" si="1"/>
        <v>60.518198929062869</v>
      </c>
      <c r="J5">
        <f t="shared" si="1"/>
        <v>-8.1144270218625376</v>
      </c>
    </row>
    <row r="6" spans="2:21" x14ac:dyDescent="0.2">
      <c r="B6" t="s">
        <v>16</v>
      </c>
    </row>
    <row r="8" spans="2:21" x14ac:dyDescent="0.2">
      <c r="B8" t="s">
        <v>18</v>
      </c>
      <c r="C8">
        <f>C4*48</f>
        <v>400.53021563451779</v>
      </c>
      <c r="D8">
        <v>302.31</v>
      </c>
      <c r="E8">
        <v>204.58</v>
      </c>
      <c r="F8">
        <v>130.69</v>
      </c>
      <c r="G8">
        <v>87.91</v>
      </c>
      <c r="H8">
        <v>89.99</v>
      </c>
      <c r="I8">
        <v>70.81</v>
      </c>
      <c r="J8">
        <v>58.37</v>
      </c>
      <c r="K8">
        <v>40.369999999999997</v>
      </c>
    </row>
    <row r="9" spans="2:21" ht="17" x14ac:dyDescent="0.25">
      <c r="B9" t="s">
        <v>19</v>
      </c>
      <c r="C9">
        <f>C4*M11</f>
        <v>280.63508547067988</v>
      </c>
      <c r="D9">
        <v>169.12</v>
      </c>
      <c r="E9">
        <v>131.72999999999999</v>
      </c>
      <c r="F9">
        <v>75.66</v>
      </c>
      <c r="G9">
        <v>47.14</v>
      </c>
      <c r="H9">
        <v>63.63</v>
      </c>
      <c r="I9">
        <v>46.42</v>
      </c>
      <c r="J9">
        <v>26.07</v>
      </c>
      <c r="K9">
        <v>23.74</v>
      </c>
      <c r="O9" s="13"/>
    </row>
    <row r="10" spans="2:21" ht="17" x14ac:dyDescent="0.25">
      <c r="B10" t="s">
        <v>57</v>
      </c>
      <c r="D10">
        <f>D8/D4</f>
        <v>48.184805157398387</v>
      </c>
      <c r="E10">
        <f>E8/E4</f>
        <v>44.896725266894265</v>
      </c>
      <c r="F10">
        <f t="shared" ref="F10:K10" si="2">F8/F4</f>
        <v>34.759059943385068</v>
      </c>
      <c r="G10">
        <f t="shared" si="2"/>
        <v>91.180907839402579</v>
      </c>
      <c r="H10">
        <f t="shared" si="2"/>
        <v>44.180353922700967</v>
      </c>
      <c r="I10">
        <f t="shared" si="2"/>
        <v>72.851344927166039</v>
      </c>
      <c r="J10">
        <f t="shared" si="2"/>
        <v>96.395542289530979</v>
      </c>
      <c r="K10">
        <f t="shared" si="2"/>
        <v>61.259484066767826</v>
      </c>
      <c r="M10">
        <f>MEDIAN(D10:K10)</f>
        <v>54.722144612083106</v>
      </c>
      <c r="N10">
        <f>AVERAGE(D10:K10)</f>
        <v>61.713527926655765</v>
      </c>
      <c r="O10" s="13"/>
      <c r="P10" s="16"/>
    </row>
    <row r="11" spans="2:21" ht="17" x14ac:dyDescent="0.25">
      <c r="B11" t="s">
        <v>58</v>
      </c>
      <c r="D11">
        <f>D9/D4</f>
        <v>26.955821005653849</v>
      </c>
      <c r="E11">
        <f>E9/E4</f>
        <v>28.909207250992182</v>
      </c>
      <c r="F11">
        <f t="shared" ref="F11:K11" si="3">F9/F4</f>
        <v>20.122966373223004</v>
      </c>
      <c r="G11">
        <f t="shared" si="3"/>
        <v>48.893959680917277</v>
      </c>
      <c r="H11">
        <f t="shared" si="3"/>
        <v>31.238981221263064</v>
      </c>
      <c r="I11">
        <f t="shared" si="3"/>
        <v>47.758218210973695</v>
      </c>
      <c r="J11">
        <f t="shared" si="3"/>
        <v>43.053482739216598</v>
      </c>
      <c r="K11">
        <f t="shared" si="3"/>
        <v>36.024279210925641</v>
      </c>
      <c r="M11">
        <f>MEDIAN(D11:K11)</f>
        <v>33.631630216094351</v>
      </c>
      <c r="N11">
        <f>AVERAGE(D11:K11)</f>
        <v>35.369614461645668</v>
      </c>
      <c r="O11" s="13"/>
      <c r="P11" s="16"/>
    </row>
    <row r="12" spans="2:21" ht="17" x14ac:dyDescent="0.25">
      <c r="O12" s="13"/>
      <c r="P12" s="4"/>
    </row>
    <row r="13" spans="2:21" ht="17" x14ac:dyDescent="0.25">
      <c r="O13" s="13"/>
      <c r="P13" s="4"/>
      <c r="U13" s="17"/>
    </row>
    <row r="14" spans="2:21" ht="17" x14ac:dyDescent="0.25">
      <c r="E14">
        <v>302.31</v>
      </c>
      <c r="F14">
        <v>169.12</v>
      </c>
      <c r="H14">
        <v>6.2739695431472082</v>
      </c>
      <c r="O14" s="13"/>
      <c r="P14" s="4"/>
      <c r="U14" s="18"/>
    </row>
    <row r="15" spans="2:21" ht="17" x14ac:dyDescent="0.25">
      <c r="E15">
        <v>204.58</v>
      </c>
      <c r="F15">
        <v>131.72999999999999</v>
      </c>
      <c r="H15">
        <v>4.556679775280899</v>
      </c>
      <c r="O15" s="13"/>
      <c r="P15" s="4"/>
      <c r="U15" s="17"/>
    </row>
    <row r="16" spans="2:21" ht="17" x14ac:dyDescent="0.25">
      <c r="E16">
        <v>130.69</v>
      </c>
      <c r="F16">
        <v>75.66</v>
      </c>
      <c r="H16">
        <v>3.7598830409356729</v>
      </c>
      <c r="O16" s="13"/>
      <c r="P16" s="4"/>
      <c r="U16" s="17"/>
    </row>
    <row r="17" spans="1:21" ht="17" x14ac:dyDescent="0.25">
      <c r="E17">
        <v>87.91</v>
      </c>
      <c r="F17">
        <v>47.14</v>
      </c>
      <c r="H17">
        <v>0.96412727272727261</v>
      </c>
      <c r="J17" s="15"/>
      <c r="O17" s="13"/>
      <c r="U17" s="17"/>
    </row>
    <row r="18" spans="1:21" ht="17" x14ac:dyDescent="0.25">
      <c r="E18">
        <v>89.99</v>
      </c>
      <c r="F18">
        <v>63.63</v>
      </c>
      <c r="H18">
        <v>2.0368782051282048</v>
      </c>
      <c r="O18" s="13"/>
    </row>
    <row r="19" spans="1:21" ht="17" x14ac:dyDescent="0.25">
      <c r="E19">
        <v>70.81</v>
      </c>
      <c r="F19">
        <v>46.42</v>
      </c>
      <c r="H19">
        <v>0.97197931034482765</v>
      </c>
      <c r="O19" s="13"/>
    </row>
    <row r="20" spans="1:21" ht="17" x14ac:dyDescent="0.25">
      <c r="E20">
        <v>58.37</v>
      </c>
      <c r="F20">
        <v>26.07</v>
      </c>
      <c r="H20">
        <v>0.60552592592592591</v>
      </c>
      <c r="O20" s="13"/>
    </row>
    <row r="21" spans="1:21" ht="17" x14ac:dyDescent="0.25">
      <c r="E21">
        <v>40.369999999999997</v>
      </c>
      <c r="F21">
        <v>23.74</v>
      </c>
      <c r="H21">
        <v>0.65900000000000003</v>
      </c>
      <c r="O21" s="13"/>
    </row>
    <row r="22" spans="1:21" ht="17" x14ac:dyDescent="0.25">
      <c r="O22" s="13"/>
    </row>
    <row r="23" spans="1:21" ht="17" x14ac:dyDescent="0.25">
      <c r="O23" s="13"/>
    </row>
    <row r="24" spans="1:21" x14ac:dyDescent="0.2">
      <c r="A24" t="s">
        <v>20</v>
      </c>
    </row>
    <row r="25" spans="1:21" ht="17" thickBot="1" x14ac:dyDescent="0.25"/>
    <row r="26" spans="1:21" x14ac:dyDescent="0.2">
      <c r="A26" s="12" t="s">
        <v>21</v>
      </c>
      <c r="B26" s="12"/>
    </row>
    <row r="27" spans="1:21" x14ac:dyDescent="0.2">
      <c r="A27" s="9" t="s">
        <v>22</v>
      </c>
      <c r="B27" s="9">
        <v>0.96469706440981451</v>
      </c>
    </row>
    <row r="28" spans="1:21" x14ac:dyDescent="0.2">
      <c r="A28" s="9" t="s">
        <v>23</v>
      </c>
      <c r="B28" s="9">
        <v>0.93064042608091391</v>
      </c>
    </row>
    <row r="29" spans="1:21" x14ac:dyDescent="0.2">
      <c r="A29" s="9" t="s">
        <v>24</v>
      </c>
      <c r="B29" s="9">
        <v>0.91908049709439954</v>
      </c>
    </row>
    <row r="30" spans="1:21" x14ac:dyDescent="0.2">
      <c r="A30" s="9" t="s">
        <v>25</v>
      </c>
      <c r="B30" s="9">
        <v>25.195710664365933</v>
      </c>
    </row>
    <row r="31" spans="1:21" ht="17" thickBot="1" x14ac:dyDescent="0.25">
      <c r="A31" s="10" t="s">
        <v>26</v>
      </c>
      <c r="B31" s="10">
        <v>8</v>
      </c>
    </row>
    <row r="33" spans="1:9" ht="17" thickBot="1" x14ac:dyDescent="0.25">
      <c r="A33" t="s">
        <v>27</v>
      </c>
    </row>
    <row r="34" spans="1:9" x14ac:dyDescent="0.2">
      <c r="A34" s="11"/>
      <c r="B34" s="11" t="s">
        <v>32</v>
      </c>
      <c r="C34" s="11" t="s">
        <v>33</v>
      </c>
      <c r="D34" s="11" t="s">
        <v>34</v>
      </c>
      <c r="E34" s="11" t="s">
        <v>35</v>
      </c>
      <c r="F34" s="11" t="s">
        <v>36</v>
      </c>
    </row>
    <row r="35" spans="1:9" x14ac:dyDescent="0.2">
      <c r="A35" s="9" t="s">
        <v>28</v>
      </c>
      <c r="B35" s="9">
        <v>1</v>
      </c>
      <c r="C35" s="9">
        <v>51106.951072205346</v>
      </c>
      <c r="D35" s="9">
        <v>51106.951072205346</v>
      </c>
      <c r="E35" s="9">
        <v>80.50572171910278</v>
      </c>
      <c r="F35" s="9">
        <v>1.0710308618199414E-4</v>
      </c>
    </row>
    <row r="36" spans="1:9" x14ac:dyDescent="0.2">
      <c r="A36" s="9" t="s">
        <v>29</v>
      </c>
      <c r="B36" s="9">
        <v>6</v>
      </c>
      <c r="C36" s="9">
        <v>3808.9430152946588</v>
      </c>
      <c r="D36" s="9">
        <v>634.82383588244318</v>
      </c>
      <c r="E36" s="9"/>
      <c r="F36" s="9"/>
    </row>
    <row r="37" spans="1:9" ht="17" thickBot="1" x14ac:dyDescent="0.25">
      <c r="A37" s="10" t="s">
        <v>30</v>
      </c>
      <c r="B37" s="10">
        <v>7</v>
      </c>
      <c r="C37" s="10">
        <v>54915.894087500004</v>
      </c>
      <c r="D37" s="10"/>
      <c r="E37" s="10"/>
      <c r="F37" s="10"/>
    </row>
    <row r="38" spans="1:9" ht="17" thickBot="1" x14ac:dyDescent="0.25"/>
    <row r="39" spans="1:9" x14ac:dyDescent="0.2">
      <c r="A39" s="11"/>
      <c r="B39" s="11" t="s">
        <v>37</v>
      </c>
      <c r="C39" s="11" t="s">
        <v>25</v>
      </c>
      <c r="D39" s="11" t="s">
        <v>38</v>
      </c>
      <c r="E39" s="11" t="s">
        <v>39</v>
      </c>
      <c r="F39" s="11" t="s">
        <v>40</v>
      </c>
      <c r="G39" s="11" t="s">
        <v>41</v>
      </c>
      <c r="H39" s="11" t="s">
        <v>42</v>
      </c>
      <c r="I39" s="11" t="s">
        <v>43</v>
      </c>
    </row>
    <row r="40" spans="1:9" x14ac:dyDescent="0.2">
      <c r="A40" s="9" t="s">
        <v>31</v>
      </c>
      <c r="B40" s="9">
        <v>23.990225518147923</v>
      </c>
      <c r="C40" s="9">
        <v>14.192843685143973</v>
      </c>
      <c r="D40" s="9">
        <v>1.6903043569245486</v>
      </c>
      <c r="E40" s="9">
        <v>0.14192631994499855</v>
      </c>
      <c r="F40" s="9">
        <v>-10.738411896478908</v>
      </c>
      <c r="G40" s="9">
        <v>58.718862932774755</v>
      </c>
      <c r="H40" s="9">
        <v>-10.738411896478908</v>
      </c>
      <c r="I40" s="9">
        <v>58.718862932774755</v>
      </c>
    </row>
    <row r="41" spans="1:9" ht="17" thickBot="1" x14ac:dyDescent="0.25">
      <c r="A41" s="10" t="s">
        <v>44</v>
      </c>
      <c r="B41" s="10">
        <v>39.999317780139286</v>
      </c>
      <c r="C41" s="10">
        <v>4.457991235273024</v>
      </c>
      <c r="D41" s="10">
        <v>8.9724980757369259</v>
      </c>
      <c r="E41" s="10">
        <v>1.0710308618199394E-4</v>
      </c>
      <c r="F41" s="10">
        <v>29.091006194249321</v>
      </c>
      <c r="G41" s="10">
        <v>50.907629366029255</v>
      </c>
      <c r="H41" s="10">
        <v>29.091006194249321</v>
      </c>
      <c r="I41" s="10">
        <v>50.907629366029255</v>
      </c>
    </row>
    <row r="45" spans="1:9" x14ac:dyDescent="0.2">
      <c r="A45" t="s">
        <v>45</v>
      </c>
    </row>
    <row r="46" spans="1:9" ht="17" thickBot="1" x14ac:dyDescent="0.25"/>
    <row r="47" spans="1:9" x14ac:dyDescent="0.2">
      <c r="A47" s="11" t="s">
        <v>46</v>
      </c>
      <c r="B47" s="11" t="s">
        <v>47</v>
      </c>
      <c r="C47" s="11" t="s">
        <v>48</v>
      </c>
      <c r="D47" s="11" t="s">
        <v>59</v>
      </c>
    </row>
    <row r="48" spans="1:9" x14ac:dyDescent="0.2">
      <c r="A48" s="9">
        <v>1</v>
      </c>
      <c r="B48" s="9">
        <v>274.94472701740841</v>
      </c>
      <c r="C48" s="9">
        <v>27.365272982591591</v>
      </c>
      <c r="D48" s="9">
        <v>1.1731311511959257</v>
      </c>
    </row>
    <row r="49" spans="1:4" x14ac:dyDescent="0.2">
      <c r="A49" s="9">
        <v>2</v>
      </c>
      <c r="B49" s="9">
        <v>206.25430787194227</v>
      </c>
      <c r="C49" s="9">
        <v>-1.6743078719422613</v>
      </c>
      <c r="D49" s="9">
        <v>-7.1776470949788798E-2</v>
      </c>
    </row>
    <row r="50" spans="1:4" x14ac:dyDescent="0.2">
      <c r="A50" s="9">
        <v>3</v>
      </c>
      <c r="B50" s="9">
        <v>174.38298208869034</v>
      </c>
      <c r="C50" s="9">
        <v>-43.692982088690343</v>
      </c>
      <c r="D50" s="9">
        <v>-1.8730892401291144</v>
      </c>
    </row>
    <row r="51" spans="1:4" x14ac:dyDescent="0.2">
      <c r="A51" s="9">
        <v>4</v>
      </c>
      <c r="B51" s="9">
        <v>62.554658680465117</v>
      </c>
      <c r="C51" s="9">
        <v>25.35534131953488</v>
      </c>
      <c r="D51" s="9">
        <v>1.0869667103293263</v>
      </c>
    </row>
    <row r="52" spans="1:4" x14ac:dyDescent="0.2">
      <c r="A52" s="9">
        <v>5</v>
      </c>
      <c r="B52" s="9">
        <v>105.46396412451072</v>
      </c>
      <c r="C52" s="9">
        <v>-15.473964124510729</v>
      </c>
      <c r="D52" s="9">
        <v>-0.66335860630733501</v>
      </c>
    </row>
    <row r="53" spans="1:4" x14ac:dyDescent="0.2">
      <c r="A53" s="9">
        <v>6</v>
      </c>
      <c r="B53" s="9">
        <v>62.868734828351307</v>
      </c>
      <c r="C53" s="9">
        <v>7.9412651716486948</v>
      </c>
      <c r="D53" s="9">
        <v>0.34043678492426538</v>
      </c>
    </row>
    <row r="54" spans="1:4" x14ac:dyDescent="0.2">
      <c r="A54" s="9">
        <v>7</v>
      </c>
      <c r="B54" s="9">
        <v>48.21084945337212</v>
      </c>
      <c r="C54" s="9">
        <v>10.159150546627878</v>
      </c>
      <c r="D54" s="9">
        <v>0.43551606386385849</v>
      </c>
    </row>
    <row r="55" spans="1:4" ht="17" thickBot="1" x14ac:dyDescent="0.25">
      <c r="A55" s="10">
        <v>8</v>
      </c>
      <c r="B55" s="10">
        <v>50.349775935259714</v>
      </c>
      <c r="C55" s="10">
        <v>-9.9797759352597168</v>
      </c>
      <c r="D55" s="10">
        <v>-0.42782639292713814</v>
      </c>
    </row>
    <row r="58" spans="1:4" x14ac:dyDescent="0.2">
      <c r="A58" t="s">
        <v>20</v>
      </c>
    </row>
    <row r="59" spans="1:4" ht="17" thickBot="1" x14ac:dyDescent="0.25"/>
    <row r="60" spans="1:4" x14ac:dyDescent="0.2">
      <c r="A60" s="12" t="s">
        <v>21</v>
      </c>
      <c r="B60" s="12"/>
    </row>
    <row r="61" spans="1:4" x14ac:dyDescent="0.2">
      <c r="A61" s="9" t="s">
        <v>22</v>
      </c>
      <c r="B61" s="9">
        <v>0.96963281933010548</v>
      </c>
    </row>
    <row r="62" spans="1:4" x14ac:dyDescent="0.2">
      <c r="A62" s="9" t="s">
        <v>23</v>
      </c>
      <c r="B62" s="9">
        <v>0.94018780432204896</v>
      </c>
    </row>
    <row r="63" spans="1:4" x14ac:dyDescent="0.2">
      <c r="A63" s="9" t="s">
        <v>24</v>
      </c>
      <c r="B63" s="9">
        <v>0.93021910504239047</v>
      </c>
    </row>
    <row r="64" spans="1:4" x14ac:dyDescent="0.2">
      <c r="A64" s="9" t="s">
        <v>25</v>
      </c>
      <c r="B64" s="9">
        <v>13.685215609529726</v>
      </c>
    </row>
    <row r="65" spans="1:9" ht="17" thickBot="1" x14ac:dyDescent="0.25">
      <c r="A65" s="10" t="s">
        <v>26</v>
      </c>
      <c r="B65" s="10">
        <v>8</v>
      </c>
    </row>
    <row r="67" spans="1:9" ht="17" thickBot="1" x14ac:dyDescent="0.25">
      <c r="A67" t="s">
        <v>27</v>
      </c>
    </row>
    <row r="68" spans="1:9" x14ac:dyDescent="0.2">
      <c r="A68" s="11"/>
      <c r="B68" s="11" t="s">
        <v>32</v>
      </c>
      <c r="C68" s="11" t="s">
        <v>33</v>
      </c>
      <c r="D68" s="11" t="s">
        <v>34</v>
      </c>
      <c r="E68" s="11" t="s">
        <v>35</v>
      </c>
      <c r="F68" s="11" t="s">
        <v>36</v>
      </c>
    </row>
    <row r="69" spans="1:9" x14ac:dyDescent="0.2">
      <c r="A69" s="9" t="s">
        <v>28</v>
      </c>
      <c r="B69" s="9">
        <v>1</v>
      </c>
      <c r="C69" s="9">
        <v>17663.607529824105</v>
      </c>
      <c r="D69" s="9">
        <v>17663.607529824105</v>
      </c>
      <c r="E69" s="9">
        <v>94.313990014779364</v>
      </c>
      <c r="F69" s="9">
        <v>6.8424131798691719E-5</v>
      </c>
    </row>
    <row r="70" spans="1:9" x14ac:dyDescent="0.2">
      <c r="A70" s="9" t="s">
        <v>29</v>
      </c>
      <c r="B70" s="9">
        <v>6</v>
      </c>
      <c r="C70" s="9">
        <v>1123.7107576758963</v>
      </c>
      <c r="D70" s="9">
        <v>187.28512627931605</v>
      </c>
      <c r="E70" s="9"/>
      <c r="F70" s="9"/>
    </row>
    <row r="71" spans="1:9" ht="17" thickBot="1" x14ac:dyDescent="0.25">
      <c r="A71" s="10" t="s">
        <v>30</v>
      </c>
      <c r="B71" s="10">
        <v>7</v>
      </c>
      <c r="C71" s="10">
        <v>18787.318287500002</v>
      </c>
      <c r="D71" s="10"/>
      <c r="E71" s="10"/>
      <c r="F71" s="10"/>
    </row>
    <row r="72" spans="1:9" ht="17" thickBot="1" x14ac:dyDescent="0.25"/>
    <row r="73" spans="1:9" x14ac:dyDescent="0.2">
      <c r="A73" s="11"/>
      <c r="B73" s="11" t="s">
        <v>37</v>
      </c>
      <c r="C73" s="11" t="s">
        <v>25</v>
      </c>
      <c r="D73" s="11" t="s">
        <v>38</v>
      </c>
      <c r="E73" s="11" t="s">
        <v>39</v>
      </c>
      <c r="F73" s="11" t="s">
        <v>40</v>
      </c>
      <c r="G73" s="11" t="s">
        <v>41</v>
      </c>
      <c r="H73" s="11" t="s">
        <v>42</v>
      </c>
      <c r="I73" s="11" t="s">
        <v>43</v>
      </c>
    </row>
    <row r="74" spans="1:9" x14ac:dyDescent="0.2">
      <c r="A74" s="9" t="s">
        <v>31</v>
      </c>
      <c r="B74" s="9">
        <v>14.655713813009257</v>
      </c>
      <c r="C74" s="9">
        <v>7.7089361967570325</v>
      </c>
      <c r="D74" s="9">
        <v>1.9011331056514087</v>
      </c>
      <c r="E74" s="9">
        <v>0.10600315836640144</v>
      </c>
      <c r="F74" s="9">
        <v>-4.2073735265559549</v>
      </c>
      <c r="G74" s="9">
        <v>33.518801152574468</v>
      </c>
      <c r="H74" s="9">
        <v>-4.2073735265559549</v>
      </c>
      <c r="I74" s="9">
        <v>33.518801152574468</v>
      </c>
    </row>
    <row r="75" spans="1:9" ht="17" thickBot="1" x14ac:dyDescent="0.25">
      <c r="A75" s="10" t="s">
        <v>44</v>
      </c>
      <c r="B75" s="10">
        <v>23.515396237933274</v>
      </c>
      <c r="C75" s="10">
        <v>2.4213871977181007</v>
      </c>
      <c r="D75" s="10">
        <v>9.7115390137083519</v>
      </c>
      <c r="E75" s="10">
        <v>6.8424131798691719E-5</v>
      </c>
      <c r="F75" s="10">
        <v>17.590475207626145</v>
      </c>
      <c r="G75" s="10">
        <v>29.440317268240403</v>
      </c>
      <c r="H75" s="10">
        <v>17.590475207626145</v>
      </c>
      <c r="I75" s="10">
        <v>29.440317268240403</v>
      </c>
    </row>
    <row r="79" spans="1:9" x14ac:dyDescent="0.2">
      <c r="A79" t="s">
        <v>45</v>
      </c>
    </row>
    <row r="80" spans="1:9" ht="17" thickBot="1" x14ac:dyDescent="0.25"/>
    <row r="81" spans="1:4" x14ac:dyDescent="0.2">
      <c r="A81" s="11" t="s">
        <v>46</v>
      </c>
      <c r="B81" s="11" t="s">
        <v>47</v>
      </c>
      <c r="C81" s="11" t="s">
        <v>48</v>
      </c>
      <c r="D81" s="11" t="s">
        <v>59</v>
      </c>
    </row>
    <row r="82" spans="1:4" x14ac:dyDescent="0.2">
      <c r="A82" s="9">
        <v>1</v>
      </c>
      <c r="B82" s="9">
        <v>162.19059360484107</v>
      </c>
      <c r="C82" s="9">
        <v>6.9294063951589351</v>
      </c>
      <c r="D82" s="9">
        <v>0.5469124165599879</v>
      </c>
    </row>
    <row r="83" spans="1:4" x14ac:dyDescent="0.2">
      <c r="A83" s="9">
        <v>2</v>
      </c>
      <c r="B83" s="9">
        <v>121.80784425811635</v>
      </c>
      <c r="C83" s="9">
        <v>9.9221557418836426</v>
      </c>
      <c r="D83" s="9">
        <v>0.78311905303595308</v>
      </c>
    </row>
    <row r="84" spans="1:4" x14ac:dyDescent="0.2">
      <c r="A84" s="9">
        <v>3</v>
      </c>
      <c r="B84" s="9">
        <v>103.0708533288971</v>
      </c>
      <c r="C84" s="9">
        <v>-27.410853328897105</v>
      </c>
      <c r="D84" s="9">
        <v>-2.1634372670870978</v>
      </c>
    </row>
    <row r="85" spans="1:4" x14ac:dyDescent="0.2">
      <c r="A85" s="9">
        <v>4</v>
      </c>
      <c r="B85" s="9">
        <v>37.32754865498903</v>
      </c>
      <c r="C85" s="9">
        <v>9.8124513450109703</v>
      </c>
      <c r="D85" s="9">
        <v>0.77446049076100765</v>
      </c>
    </row>
    <row r="86" spans="1:4" x14ac:dyDescent="0.2">
      <c r="A86" s="9">
        <v>5</v>
      </c>
      <c r="B86" s="9">
        <v>62.553711895009322</v>
      </c>
      <c r="C86" s="9">
        <v>1.0762881049906809</v>
      </c>
      <c r="D86" s="9">
        <v>8.4947439195723812E-2</v>
      </c>
    </row>
    <row r="87" spans="1:4" x14ac:dyDescent="0.2">
      <c r="A87" s="9">
        <v>6</v>
      </c>
      <c r="B87" s="9">
        <v>37.512192430840997</v>
      </c>
      <c r="C87" s="9">
        <v>8.9078075691590044</v>
      </c>
      <c r="D87" s="9">
        <v>0.70306030359305571</v>
      </c>
    </row>
    <row r="88" spans="1:4" x14ac:dyDescent="0.2">
      <c r="A88" s="9">
        <v>7</v>
      </c>
      <c r="B88" s="9">
        <v>28.894895893498838</v>
      </c>
      <c r="C88" s="9">
        <v>-2.8248958934988373</v>
      </c>
      <c r="D88" s="9">
        <v>-0.22295858426245463</v>
      </c>
    </row>
    <row r="89" spans="1:4" ht="17" thickBot="1" x14ac:dyDescent="0.25">
      <c r="A89" s="10">
        <v>8</v>
      </c>
      <c r="B89" s="10">
        <v>30.152359933807283</v>
      </c>
      <c r="C89" s="10">
        <v>-6.4123599338072843</v>
      </c>
      <c r="D89" s="10">
        <v>-0.50610385179617512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EA886-EDB7-CF4A-9458-3898A77E5D69}">
  <dimension ref="A1:N82"/>
  <sheetViews>
    <sheetView workbookViewId="0">
      <selection activeCell="C10" sqref="C10"/>
    </sheetView>
  </sheetViews>
  <sheetFormatPr baseColWidth="10" defaultRowHeight="16" x14ac:dyDescent="0.2"/>
  <cols>
    <col min="2" max="2" width="11.83203125" bestFit="1" customWidth="1"/>
    <col min="3" max="3" width="13.6640625" bestFit="1" customWidth="1"/>
    <col min="4" max="4" width="14.6640625" bestFit="1" customWidth="1"/>
  </cols>
  <sheetData>
    <row r="1" spans="2:14" x14ac:dyDescent="0.2">
      <c r="C1" t="s">
        <v>56</v>
      </c>
      <c r="D1">
        <v>2019</v>
      </c>
      <c r="E1">
        <v>2018</v>
      </c>
      <c r="F1">
        <v>2017</v>
      </c>
      <c r="G1">
        <v>2016</v>
      </c>
      <c r="H1">
        <v>2015</v>
      </c>
      <c r="I1">
        <v>2014</v>
      </c>
    </row>
    <row r="2" spans="2:14" x14ac:dyDescent="0.2">
      <c r="B2" t="s">
        <v>15</v>
      </c>
      <c r="D2">
        <v>92</v>
      </c>
      <c r="E2">
        <v>88</v>
      </c>
      <c r="F2">
        <v>86</v>
      </c>
      <c r="G2">
        <v>84</v>
      </c>
      <c r="H2">
        <v>80</v>
      </c>
      <c r="I2">
        <v>75</v>
      </c>
    </row>
    <row r="3" spans="2:14" x14ac:dyDescent="0.2">
      <c r="B3" t="s">
        <v>14</v>
      </c>
      <c r="D3">
        <v>314.5</v>
      </c>
      <c r="E3">
        <v>123.2</v>
      </c>
      <c r="F3" s="4">
        <v>92</v>
      </c>
      <c r="G3" s="4">
        <v>56.2</v>
      </c>
      <c r="H3" s="4">
        <v>49</v>
      </c>
      <c r="I3" s="4">
        <v>23.6</v>
      </c>
      <c r="J3" s="4"/>
      <c r="K3" s="4"/>
      <c r="L3" s="4"/>
      <c r="M3" s="4"/>
      <c r="N3" s="4"/>
    </row>
    <row r="4" spans="2:14" x14ac:dyDescent="0.2">
      <c r="B4" t="s">
        <v>17</v>
      </c>
      <c r="C4">
        <f>D4*1.4</f>
        <v>4.785869565217391</v>
      </c>
      <c r="D4">
        <f>D3/D2</f>
        <v>3.4184782608695654</v>
      </c>
      <c r="E4">
        <f t="shared" ref="E4:I4" si="0">E3/E2</f>
        <v>1.4000000000000001</v>
      </c>
      <c r="F4">
        <f t="shared" si="0"/>
        <v>1.069767441860465</v>
      </c>
      <c r="G4">
        <f t="shared" si="0"/>
        <v>0.66904761904761911</v>
      </c>
      <c r="H4">
        <f t="shared" si="0"/>
        <v>0.61250000000000004</v>
      </c>
      <c r="I4">
        <f t="shared" si="0"/>
        <v>0.31466666666666671</v>
      </c>
    </row>
    <row r="5" spans="2:14" x14ac:dyDescent="0.2">
      <c r="B5" t="s">
        <v>52</v>
      </c>
      <c r="D5">
        <f>(D4-E4)/E4*100</f>
        <v>144.17701863354034</v>
      </c>
      <c r="E5">
        <f t="shared" ref="E5:H5" si="1">(E4-F4)/F4*100</f>
        <v>30.869565217391333</v>
      </c>
      <c r="F5">
        <f t="shared" si="1"/>
        <v>59.894066043201164</v>
      </c>
      <c r="G5">
        <f t="shared" si="1"/>
        <v>9.2322643343051531</v>
      </c>
      <c r="H5">
        <f t="shared" si="1"/>
        <v>94.65042372881355</v>
      </c>
      <c r="I5" t="e">
        <f>(I4-#REF!)/#REF!*100</f>
        <v>#REF!</v>
      </c>
    </row>
    <row r="8" spans="2:14" x14ac:dyDescent="0.2">
      <c r="B8" t="s">
        <v>18</v>
      </c>
      <c r="C8">
        <f>C4*70</f>
        <v>335.01086956521738</v>
      </c>
      <c r="D8">
        <v>229.18</v>
      </c>
      <c r="E8">
        <v>149.46</v>
      </c>
      <c r="F8">
        <v>85.49</v>
      </c>
      <c r="G8">
        <v>95.8</v>
      </c>
      <c r="H8">
        <v>101.91</v>
      </c>
      <c r="I8">
        <v>58.3</v>
      </c>
    </row>
    <row r="9" spans="2:14" x14ac:dyDescent="0.2">
      <c r="B9" t="s">
        <v>19</v>
      </c>
      <c r="C9">
        <f>C4*30</f>
        <v>143.57608695652172</v>
      </c>
      <c r="D9">
        <v>101.38</v>
      </c>
      <c r="E9">
        <v>52.25</v>
      </c>
      <c r="F9">
        <v>44.46</v>
      </c>
      <c r="G9">
        <v>53.38</v>
      </c>
      <c r="H9">
        <v>54.21</v>
      </c>
      <c r="I9">
        <v>29.68</v>
      </c>
    </row>
    <row r="10" spans="2:14" x14ac:dyDescent="0.2">
      <c r="B10" t="s">
        <v>57</v>
      </c>
      <c r="D10">
        <f>D8/D4</f>
        <v>67.041526232114464</v>
      </c>
      <c r="E10">
        <f t="shared" ref="E10:I10" si="2">E8/E4</f>
        <v>106.75714285714285</v>
      </c>
      <c r="F10">
        <f t="shared" si="2"/>
        <v>79.914565217391313</v>
      </c>
      <c r="G10">
        <f t="shared" si="2"/>
        <v>143.1886120996441</v>
      </c>
      <c r="H10">
        <f t="shared" si="2"/>
        <v>166.38367346938773</v>
      </c>
      <c r="I10">
        <f t="shared" si="2"/>
        <v>185.27542372881354</v>
      </c>
      <c r="K10">
        <f>MEDIAN(D10:I10)</f>
        <v>124.97287747839349</v>
      </c>
      <c r="L10">
        <f>AVERAGE(D10:I10)</f>
        <v>124.76015726741566</v>
      </c>
    </row>
    <row r="11" spans="2:14" x14ac:dyDescent="0.2">
      <c r="B11" t="s">
        <v>58</v>
      </c>
      <c r="D11">
        <f>D9/D4</f>
        <v>29.65647058823529</v>
      </c>
      <c r="E11">
        <f t="shared" ref="E11:I11" si="3">E9/E4</f>
        <v>37.321428571428569</v>
      </c>
      <c r="F11">
        <f t="shared" si="3"/>
        <v>41.560434782608702</v>
      </c>
      <c r="G11">
        <f t="shared" si="3"/>
        <v>79.785053380782912</v>
      </c>
      <c r="H11">
        <f t="shared" si="3"/>
        <v>88.506122448979582</v>
      </c>
      <c r="I11">
        <f t="shared" si="3"/>
        <v>94.322033898305065</v>
      </c>
      <c r="K11">
        <f>MEDIAN(D11:I11)</f>
        <v>60.672744081695811</v>
      </c>
      <c r="L11">
        <f>AVERAGE(D11:I11)</f>
        <v>61.858590611723351</v>
      </c>
    </row>
    <row r="13" spans="2:14" x14ac:dyDescent="0.2">
      <c r="D13">
        <v>3.4184782608695654</v>
      </c>
      <c r="E13">
        <v>229.18</v>
      </c>
      <c r="F13">
        <v>101.38</v>
      </c>
    </row>
    <row r="14" spans="2:14" x14ac:dyDescent="0.2">
      <c r="D14">
        <v>1.4000000000000001</v>
      </c>
      <c r="E14">
        <v>149.46</v>
      </c>
      <c r="F14">
        <v>52.25</v>
      </c>
    </row>
    <row r="15" spans="2:14" x14ac:dyDescent="0.2">
      <c r="D15">
        <v>1.069767441860465</v>
      </c>
      <c r="E15">
        <v>85.49</v>
      </c>
      <c r="F15">
        <v>44.46</v>
      </c>
    </row>
    <row r="16" spans="2:14" x14ac:dyDescent="0.2">
      <c r="D16">
        <v>0.66904761904761911</v>
      </c>
      <c r="E16">
        <v>95.8</v>
      </c>
      <c r="F16">
        <v>53.38</v>
      </c>
    </row>
    <row r="17" spans="1:6" x14ac:dyDescent="0.2">
      <c r="D17">
        <v>0.61250000000000004</v>
      </c>
      <c r="E17">
        <v>101.91</v>
      </c>
      <c r="F17">
        <v>54.21</v>
      </c>
    </row>
    <row r="18" spans="1:6" x14ac:dyDescent="0.2">
      <c r="D18">
        <v>0.31466666666666671</v>
      </c>
      <c r="E18">
        <v>58.3</v>
      </c>
      <c r="F18">
        <v>29.68</v>
      </c>
    </row>
    <row r="20" spans="1:6" x14ac:dyDescent="0.2">
      <c r="A20" t="s">
        <v>20</v>
      </c>
    </row>
    <row r="21" spans="1:6" ht="17" thickBot="1" x14ac:dyDescent="0.25"/>
    <row r="22" spans="1:6" x14ac:dyDescent="0.2">
      <c r="A22" s="12" t="s">
        <v>21</v>
      </c>
      <c r="B22" s="12"/>
    </row>
    <row r="23" spans="1:6" x14ac:dyDescent="0.2">
      <c r="A23" s="9" t="s">
        <v>22</v>
      </c>
      <c r="B23" s="9">
        <v>0.95773597779245867</v>
      </c>
    </row>
    <row r="24" spans="1:6" x14ac:dyDescent="0.2">
      <c r="A24" s="9" t="s">
        <v>23</v>
      </c>
      <c r="B24" s="9">
        <v>0.91725820315807682</v>
      </c>
    </row>
    <row r="25" spans="1:6" x14ac:dyDescent="0.2">
      <c r="A25" s="9" t="s">
        <v>24</v>
      </c>
      <c r="B25" s="9">
        <v>0.89657275394759606</v>
      </c>
    </row>
    <row r="26" spans="1:6" x14ac:dyDescent="0.2">
      <c r="A26" s="9" t="s">
        <v>25</v>
      </c>
      <c r="B26" s="9">
        <v>19.667097154089529</v>
      </c>
    </row>
    <row r="27" spans="1:6" ht="17" thickBot="1" x14ac:dyDescent="0.25">
      <c r="A27" s="10" t="s">
        <v>26</v>
      </c>
      <c r="B27" s="10">
        <v>6</v>
      </c>
    </row>
    <row r="29" spans="1:6" ht="17" thickBot="1" x14ac:dyDescent="0.25">
      <c r="A29" t="s">
        <v>27</v>
      </c>
    </row>
    <row r="30" spans="1:6" x14ac:dyDescent="0.2">
      <c r="A30" s="11"/>
      <c r="B30" s="11" t="s">
        <v>32</v>
      </c>
      <c r="C30" s="11" t="s">
        <v>33</v>
      </c>
      <c r="D30" s="11" t="s">
        <v>34</v>
      </c>
      <c r="E30" s="11" t="s">
        <v>35</v>
      </c>
      <c r="F30" s="11" t="s">
        <v>36</v>
      </c>
    </row>
    <row r="31" spans="1:6" x14ac:dyDescent="0.2">
      <c r="A31" s="9" t="s">
        <v>28</v>
      </c>
      <c r="B31" s="9">
        <v>1</v>
      </c>
      <c r="C31" s="9">
        <v>17151.700091459752</v>
      </c>
      <c r="D31" s="9">
        <v>17151.700091459752</v>
      </c>
      <c r="E31" s="9">
        <v>44.343160925571027</v>
      </c>
      <c r="F31" s="9">
        <v>2.6416243561892369E-3</v>
      </c>
    </row>
    <row r="32" spans="1:6" x14ac:dyDescent="0.2">
      <c r="A32" s="9" t="s">
        <v>29</v>
      </c>
      <c r="B32" s="9">
        <v>4</v>
      </c>
      <c r="C32" s="9">
        <v>1547.1788418735855</v>
      </c>
      <c r="D32" s="9">
        <v>386.79471046839637</v>
      </c>
      <c r="E32" s="9"/>
      <c r="F32" s="9"/>
    </row>
    <row r="33" spans="1:9" ht="17" thickBot="1" x14ac:dyDescent="0.25">
      <c r="A33" s="10" t="s">
        <v>30</v>
      </c>
      <c r="B33" s="10">
        <v>5</v>
      </c>
      <c r="C33" s="10">
        <v>18698.878933333337</v>
      </c>
      <c r="D33" s="10"/>
      <c r="E33" s="10"/>
      <c r="F33" s="10"/>
    </row>
    <row r="34" spans="1:9" ht="17" thickBot="1" x14ac:dyDescent="0.25"/>
    <row r="35" spans="1:9" x14ac:dyDescent="0.2">
      <c r="A35" s="11"/>
      <c r="B35" s="11" t="s">
        <v>37</v>
      </c>
      <c r="C35" s="11" t="s">
        <v>25</v>
      </c>
      <c r="D35" s="11" t="s">
        <v>38</v>
      </c>
      <c r="E35" s="11" t="s">
        <v>39</v>
      </c>
      <c r="F35" s="11" t="s">
        <v>40</v>
      </c>
      <c r="G35" s="11" t="s">
        <v>41</v>
      </c>
      <c r="H35" s="11" t="s">
        <v>42</v>
      </c>
      <c r="I35" s="11" t="s">
        <v>43</v>
      </c>
    </row>
    <row r="36" spans="1:9" x14ac:dyDescent="0.2">
      <c r="A36" s="9" t="s">
        <v>31</v>
      </c>
      <c r="B36" s="9">
        <v>55.325670806619058</v>
      </c>
      <c r="C36" s="9">
        <v>12.60401206802613</v>
      </c>
      <c r="D36" s="9">
        <v>4.3895285491648552</v>
      </c>
      <c r="E36" s="9">
        <v>1.1786946302874416E-2</v>
      </c>
      <c r="F36" s="9">
        <v>20.33132319449399</v>
      </c>
      <c r="G36" s="9">
        <v>90.320018418744127</v>
      </c>
      <c r="H36" s="9">
        <v>20.33132319449399</v>
      </c>
      <c r="I36" s="9">
        <v>90.320018418744127</v>
      </c>
    </row>
    <row r="37" spans="1:9" ht="17" thickBot="1" x14ac:dyDescent="0.25">
      <c r="A37" s="10" t="s">
        <v>44</v>
      </c>
      <c r="B37" s="10">
        <v>51.865595615398831</v>
      </c>
      <c r="C37" s="10">
        <v>7.7887191791814914</v>
      </c>
      <c r="D37" s="10">
        <v>6.659066070071014</v>
      </c>
      <c r="E37" s="10">
        <v>2.6416243561892395E-3</v>
      </c>
      <c r="F37" s="10">
        <v>30.240644374600205</v>
      </c>
      <c r="G37" s="10">
        <v>73.490546856197454</v>
      </c>
      <c r="H37" s="10">
        <v>30.240644374600205</v>
      </c>
      <c r="I37" s="10">
        <v>73.490546856197454</v>
      </c>
    </row>
    <row r="41" spans="1:9" x14ac:dyDescent="0.2">
      <c r="A41" t="s">
        <v>45</v>
      </c>
    </row>
    <row r="42" spans="1:9" ht="17" thickBot="1" x14ac:dyDescent="0.25"/>
    <row r="43" spans="1:9" x14ac:dyDescent="0.2">
      <c r="A43" s="11" t="s">
        <v>46</v>
      </c>
      <c r="B43" s="11" t="s">
        <v>47</v>
      </c>
      <c r="C43" s="11" t="s">
        <v>48</v>
      </c>
      <c r="D43" s="11" t="s">
        <v>59</v>
      </c>
    </row>
    <row r="44" spans="1:9" x14ac:dyDescent="0.2">
      <c r="A44" s="9">
        <v>1</v>
      </c>
      <c r="B44" s="9">
        <v>232.62708190491182</v>
      </c>
      <c r="C44" s="9">
        <v>-3.447081904911812</v>
      </c>
      <c r="D44" s="9">
        <v>-0.19595951052160007</v>
      </c>
    </row>
    <row r="45" spans="1:9" x14ac:dyDescent="0.2">
      <c r="A45" s="9">
        <v>2</v>
      </c>
      <c r="B45" s="9">
        <v>127.93750466817743</v>
      </c>
      <c r="C45" s="9">
        <v>21.522495331822583</v>
      </c>
      <c r="D45" s="9">
        <v>1.2235095558413414</v>
      </c>
    </row>
    <row r="46" spans="1:9" x14ac:dyDescent="0.2">
      <c r="A46" s="9">
        <v>3</v>
      </c>
      <c r="B46" s="9">
        <v>110.80979634867361</v>
      </c>
      <c r="C46" s="9">
        <v>-25.31979634867362</v>
      </c>
      <c r="D46" s="9">
        <v>-1.4393783019552637</v>
      </c>
    </row>
    <row r="47" spans="1:9" x14ac:dyDescent="0.2">
      <c r="A47" s="9">
        <v>4</v>
      </c>
      <c r="B47" s="9">
        <v>90.026224063588273</v>
      </c>
      <c r="C47" s="9">
        <v>5.7737759364117238</v>
      </c>
      <c r="D47" s="9">
        <v>0.32822727674339386</v>
      </c>
    </row>
    <row r="48" spans="1:9" x14ac:dyDescent="0.2">
      <c r="A48" s="9">
        <v>5</v>
      </c>
      <c r="B48" s="9">
        <v>87.093348121050838</v>
      </c>
      <c r="C48" s="9">
        <v>14.816651878949159</v>
      </c>
      <c r="D48" s="9">
        <v>0.84229615943578917</v>
      </c>
    </row>
    <row r="49" spans="1:6" ht="17" thickBot="1" x14ac:dyDescent="0.25">
      <c r="A49" s="10">
        <v>6</v>
      </c>
      <c r="B49" s="10">
        <v>71.646044893597889</v>
      </c>
      <c r="C49" s="10">
        <v>-13.346044893597892</v>
      </c>
      <c r="D49" s="10">
        <v>-0.75869517954365262</v>
      </c>
    </row>
    <row r="53" spans="1:6" x14ac:dyDescent="0.2">
      <c r="A53" t="s">
        <v>20</v>
      </c>
    </row>
    <row r="54" spans="1:6" ht="17" thickBot="1" x14ac:dyDescent="0.25"/>
    <row r="55" spans="1:6" x14ac:dyDescent="0.2">
      <c r="A55" s="12" t="s">
        <v>21</v>
      </c>
      <c r="B55" s="12"/>
    </row>
    <row r="56" spans="1:6" x14ac:dyDescent="0.2">
      <c r="A56" s="9" t="s">
        <v>22</v>
      </c>
      <c r="B56" s="9">
        <v>0.9339539706986657</v>
      </c>
    </row>
    <row r="57" spans="1:6" x14ac:dyDescent="0.2">
      <c r="A57" s="9" t="s">
        <v>23</v>
      </c>
      <c r="B57" s="9">
        <v>0.87227001938380422</v>
      </c>
    </row>
    <row r="58" spans="1:6" x14ac:dyDescent="0.2">
      <c r="A58" s="9" t="s">
        <v>24</v>
      </c>
      <c r="B58" s="9">
        <v>0.84033752422975527</v>
      </c>
    </row>
    <row r="59" spans="1:6" x14ac:dyDescent="0.2">
      <c r="A59" s="9" t="s">
        <v>25</v>
      </c>
      <c r="B59" s="9">
        <v>9.6385622886268045</v>
      </c>
    </row>
    <row r="60" spans="1:6" ht="17" thickBot="1" x14ac:dyDescent="0.25">
      <c r="A60" s="10" t="s">
        <v>26</v>
      </c>
      <c r="B60" s="10">
        <v>6</v>
      </c>
    </row>
    <row r="62" spans="1:6" ht="17" thickBot="1" x14ac:dyDescent="0.25">
      <c r="A62" t="s">
        <v>27</v>
      </c>
    </row>
    <row r="63" spans="1:6" x14ac:dyDescent="0.2">
      <c r="A63" s="11"/>
      <c r="B63" s="11" t="s">
        <v>32</v>
      </c>
      <c r="C63" s="11" t="s">
        <v>33</v>
      </c>
      <c r="D63" s="11" t="s">
        <v>34</v>
      </c>
      <c r="E63" s="11" t="s">
        <v>35</v>
      </c>
      <c r="F63" s="11" t="s">
        <v>36</v>
      </c>
    </row>
    <row r="64" spans="1:6" x14ac:dyDescent="0.2">
      <c r="A64" s="9" t="s">
        <v>28</v>
      </c>
      <c r="B64" s="9">
        <v>1</v>
      </c>
      <c r="C64" s="9">
        <v>2537.7136013663771</v>
      </c>
      <c r="D64" s="9">
        <v>2537.7136013663771</v>
      </c>
      <c r="E64" s="9">
        <v>27.316062060787733</v>
      </c>
      <c r="F64" s="9">
        <v>6.3990680144544072E-3</v>
      </c>
    </row>
    <row r="65" spans="1:9" x14ac:dyDescent="0.2">
      <c r="A65" s="9" t="s">
        <v>29</v>
      </c>
      <c r="B65" s="9">
        <v>4</v>
      </c>
      <c r="C65" s="9">
        <v>371.60753196695515</v>
      </c>
      <c r="D65" s="9">
        <v>92.901882991738788</v>
      </c>
      <c r="E65" s="9"/>
      <c r="F65" s="9"/>
    </row>
    <row r="66" spans="1:9" ht="17" thickBot="1" x14ac:dyDescent="0.25">
      <c r="A66" s="10" t="s">
        <v>30</v>
      </c>
      <c r="B66" s="10">
        <v>5</v>
      </c>
      <c r="C66" s="10">
        <v>2909.3211333333325</v>
      </c>
      <c r="D66" s="10"/>
      <c r="E66" s="10"/>
      <c r="F66" s="10"/>
    </row>
    <row r="67" spans="1:9" ht="17" thickBot="1" x14ac:dyDescent="0.25"/>
    <row r="68" spans="1:9" x14ac:dyDescent="0.2">
      <c r="A68" s="11"/>
      <c r="B68" s="11" t="s">
        <v>37</v>
      </c>
      <c r="C68" s="11" t="s">
        <v>25</v>
      </c>
      <c r="D68" s="11" t="s">
        <v>38</v>
      </c>
      <c r="E68" s="11" t="s">
        <v>39</v>
      </c>
      <c r="F68" s="11" t="s">
        <v>40</v>
      </c>
      <c r="G68" s="11" t="s">
        <v>41</v>
      </c>
      <c r="H68" s="11" t="s">
        <v>42</v>
      </c>
      <c r="I68" s="11" t="s">
        <v>43</v>
      </c>
    </row>
    <row r="69" spans="1:9" x14ac:dyDescent="0.2">
      <c r="A69" s="9" t="s">
        <v>31</v>
      </c>
      <c r="B69" s="9">
        <v>31.007263993798993</v>
      </c>
      <c r="C69" s="9">
        <v>6.1770455727378453</v>
      </c>
      <c r="D69" s="9">
        <v>5.0197563914128089</v>
      </c>
      <c r="E69" s="9">
        <v>7.3866250477808391E-3</v>
      </c>
      <c r="F69" s="9">
        <v>13.857036048787304</v>
      </c>
      <c r="G69" s="9">
        <v>48.157491938810679</v>
      </c>
      <c r="H69" s="9">
        <v>13.857036048787304</v>
      </c>
      <c r="I69" s="9">
        <v>48.157491938810679</v>
      </c>
    </row>
    <row r="70" spans="1:9" ht="17" thickBot="1" x14ac:dyDescent="0.25">
      <c r="A70" s="10" t="s">
        <v>44</v>
      </c>
      <c r="B70" s="10">
        <v>19.950192300813175</v>
      </c>
      <c r="C70" s="10">
        <v>3.8171395793177716</v>
      </c>
      <c r="D70" s="10">
        <v>5.2264770219324355</v>
      </c>
      <c r="E70" s="10">
        <v>6.3990680144544072E-3</v>
      </c>
      <c r="F70" s="10">
        <v>9.352113799959584</v>
      </c>
      <c r="G70" s="10">
        <v>30.548270801666767</v>
      </c>
      <c r="H70" s="10">
        <v>9.352113799959584</v>
      </c>
      <c r="I70" s="10">
        <v>30.548270801666767</v>
      </c>
    </row>
    <row r="74" spans="1:9" x14ac:dyDescent="0.2">
      <c r="A74" t="s">
        <v>45</v>
      </c>
    </row>
    <row r="75" spans="1:9" ht="17" thickBot="1" x14ac:dyDescent="0.25"/>
    <row r="76" spans="1:9" x14ac:dyDescent="0.2">
      <c r="A76" s="11" t="s">
        <v>46</v>
      </c>
      <c r="B76" s="11" t="s">
        <v>47</v>
      </c>
      <c r="C76" s="11" t="s">
        <v>48</v>
      </c>
      <c r="D76" s="11" t="s">
        <v>59</v>
      </c>
    </row>
    <row r="77" spans="1:9" x14ac:dyDescent="0.2">
      <c r="A77" s="9">
        <v>1</v>
      </c>
      <c r="B77" s="9">
        <v>99.206562674296208</v>
      </c>
      <c r="C77" s="9">
        <v>2.1734373257037873</v>
      </c>
      <c r="D77" s="9">
        <v>0.2521098821368622</v>
      </c>
    </row>
    <row r="78" spans="1:9" x14ac:dyDescent="0.2">
      <c r="A78" s="9">
        <v>2</v>
      </c>
      <c r="B78" s="9">
        <v>58.937533214937446</v>
      </c>
      <c r="C78" s="9">
        <v>-6.6875332149374458</v>
      </c>
      <c r="D78" s="9">
        <v>-0.77572662927295777</v>
      </c>
    </row>
    <row r="79" spans="1:9" x14ac:dyDescent="0.2">
      <c r="A79" s="9">
        <v>3</v>
      </c>
      <c r="B79" s="9">
        <v>52.34933017606425</v>
      </c>
      <c r="C79" s="9">
        <v>-7.8893301760642487</v>
      </c>
      <c r="D79" s="9">
        <v>-0.91513018447968864</v>
      </c>
    </row>
    <row r="80" spans="1:9" x14ac:dyDescent="0.2">
      <c r="A80" s="9">
        <v>4</v>
      </c>
      <c r="B80" s="9">
        <v>44.354892652200192</v>
      </c>
      <c r="C80" s="9">
        <v>9.0251073477998105</v>
      </c>
      <c r="D80" s="9">
        <v>1.0468757128708837</v>
      </c>
    </row>
    <row r="81" spans="1:4" x14ac:dyDescent="0.2">
      <c r="A81" s="9">
        <v>5</v>
      </c>
      <c r="B81" s="9">
        <v>43.226756778047061</v>
      </c>
      <c r="C81" s="9">
        <v>10.983243221952939</v>
      </c>
      <c r="D81" s="9">
        <v>1.2740115030786143</v>
      </c>
    </row>
    <row r="82" spans="1:4" ht="17" thickBot="1" x14ac:dyDescent="0.25">
      <c r="A82" s="10">
        <v>6</v>
      </c>
      <c r="B82" s="10">
        <v>37.284924504454871</v>
      </c>
      <c r="C82" s="10">
        <v>-7.6049245044548712</v>
      </c>
      <c r="D82" s="10">
        <v>-0.88214028433371716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S&amp;P500</vt:lpstr>
      <vt:lpstr>1336</vt:lpstr>
      <vt:lpstr>0011</vt:lpstr>
      <vt:lpstr>AMZN</vt:lpstr>
      <vt:lpstr>BABA</vt:lpstr>
      <vt:lpstr>AYX</vt:lpstr>
      <vt:lpstr>NFLX</vt:lpstr>
      <vt:lpstr>NOW</vt:lpstr>
      <vt:lpstr>DXCM</vt:lpstr>
      <vt:lpstr>VEEV</vt:lpstr>
      <vt:lpstr>GOOGL</vt:lpstr>
      <vt:lpstr>TSM</vt:lpstr>
      <vt:lpstr>FB</vt:lpstr>
      <vt:lpstr>MSFT</vt:lpstr>
      <vt:lpstr>CCL</vt:lpstr>
      <vt:lpstr>0016</vt:lpstr>
      <vt:lpstr>1093</vt:lpstr>
      <vt:lpstr>2007</vt:lpstr>
      <vt:lpstr>1918</vt:lpstr>
      <vt:lpstr>0813</vt:lpstr>
      <vt:lpstr>3883</vt:lpstr>
      <vt:lpstr>3333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2020-01-04T12:11:40Z</dcterms:created>
  <dcterms:modified xsi:type="dcterms:W3CDTF">2021-09-11T05:01:43Z</dcterms:modified>
</cp:coreProperties>
</file>