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20730" windowHeight="9495"/>
  </bookViews>
  <sheets>
    <sheet name="Agreement" sheetId="1" r:id="rId1"/>
    <sheet name="PriceList" sheetId="3" r:id="rId2"/>
  </sheets>
  <definedNames>
    <definedName name="_xlnm._FilterDatabase" localSheetId="1" hidden="1">PriceList!$A$2:$G$80</definedName>
    <definedName name="_xlnm.Print_Area" localSheetId="0">Agreement!$A$1:$AE$61</definedName>
  </definedNames>
  <calcPr calcId="145621"/>
</workbook>
</file>

<file path=xl/calcChain.xml><?xml version="1.0" encoding="utf-8"?>
<calcChain xmlns="http://schemas.openxmlformats.org/spreadsheetml/2006/main">
  <c r="D50" i="3" l="1"/>
  <c r="D14" i="3" l="1"/>
  <c r="D13" i="3"/>
  <c r="B63" i="3" l="1"/>
  <c r="C63" i="3" s="1"/>
  <c r="A77" i="3" l="1"/>
  <c r="A76" i="3"/>
  <c r="A75" i="3"/>
  <c r="A74" i="3"/>
  <c r="A73" i="3"/>
  <c r="A72" i="3"/>
  <c r="A71" i="3"/>
  <c r="A70" i="3"/>
  <c r="D46" i="3" l="1"/>
  <c r="E46" i="3" s="1"/>
  <c r="D45" i="3"/>
  <c r="E45" i="3" s="1"/>
  <c r="A45" i="3"/>
  <c r="A46" i="3" s="1"/>
  <c r="B45" i="3"/>
  <c r="B60" i="3" l="1"/>
  <c r="AB6" i="1" l="1"/>
  <c r="AB5" i="1"/>
  <c r="AB4" i="1"/>
  <c r="E77" i="3"/>
  <c r="D66" i="3"/>
  <c r="A9" i="3"/>
  <c r="D76" i="3"/>
  <c r="D75" i="3"/>
  <c r="D74" i="3"/>
  <c r="D73" i="3"/>
  <c r="D72" i="3"/>
  <c r="B73" i="3"/>
  <c r="B72" i="3"/>
  <c r="D71" i="3"/>
  <c r="D70" i="3"/>
  <c r="D69" i="3"/>
  <c r="B71" i="3"/>
  <c r="B69" i="3"/>
  <c r="D68" i="3"/>
  <c r="A68" i="3" s="1"/>
  <c r="D67" i="3"/>
  <c r="A67" i="3" s="1"/>
  <c r="D65" i="3"/>
  <c r="D64" i="3"/>
  <c r="D63" i="3"/>
  <c r="D62" i="3"/>
  <c r="B66" i="3"/>
  <c r="D61" i="3"/>
  <c r="A61" i="3" s="1"/>
  <c r="D60" i="3"/>
  <c r="B61" i="3"/>
  <c r="C61" i="3" s="1"/>
  <c r="C60" i="3"/>
  <c r="J59" i="3"/>
  <c r="D59" i="3" s="1"/>
  <c r="A59" i="3" s="1"/>
  <c r="J57" i="3"/>
  <c r="D57" i="3" s="1"/>
  <c r="J58" i="3"/>
  <c r="D58" i="3" s="1"/>
  <c r="J56" i="3"/>
  <c r="D56" i="3" s="1"/>
  <c r="J55" i="3"/>
  <c r="D55" i="3" s="1"/>
  <c r="J54" i="3"/>
  <c r="D54" i="3" s="1"/>
  <c r="D53" i="3"/>
  <c r="A53" i="3" s="1"/>
  <c r="D48" i="3"/>
  <c r="B53" i="3"/>
  <c r="D52" i="3"/>
  <c r="A52" i="3" s="1"/>
  <c r="B51" i="3"/>
  <c r="A50" i="3"/>
  <c r="D49" i="3"/>
  <c r="A49" i="3" s="1"/>
  <c r="D47" i="3"/>
  <c r="A47" i="3" s="1"/>
  <c r="B47" i="3"/>
  <c r="D44" i="3"/>
  <c r="A44" i="3" s="1"/>
  <c r="D43" i="3"/>
  <c r="B43" i="3"/>
  <c r="B41" i="3"/>
  <c r="D42" i="3"/>
  <c r="A42" i="3" s="1"/>
  <c r="D41" i="3"/>
  <c r="D40" i="3"/>
  <c r="D31" i="3"/>
  <c r="E31" i="3" s="1"/>
  <c r="J36" i="3"/>
  <c r="D36" i="3" s="1"/>
  <c r="J35" i="3"/>
  <c r="D35" i="3" s="1"/>
  <c r="J34" i="3"/>
  <c r="D34" i="3" s="1"/>
  <c r="A34" i="3" s="1"/>
  <c r="J33" i="3"/>
  <c r="J32" i="3"/>
  <c r="D32" i="3" s="1"/>
  <c r="J30" i="3"/>
  <c r="D30" i="3" s="1"/>
  <c r="A30" i="3" s="1"/>
  <c r="A4" i="3"/>
  <c r="D39" i="3"/>
  <c r="D38" i="3"/>
  <c r="D37" i="3"/>
  <c r="E37" i="3" s="1"/>
  <c r="D29" i="3"/>
  <c r="B40" i="3"/>
  <c r="D28" i="3"/>
  <c r="D27" i="3"/>
  <c r="D26" i="3"/>
  <c r="B26" i="3"/>
  <c r="D25" i="3"/>
  <c r="D24" i="3"/>
  <c r="D23" i="3"/>
  <c r="D22" i="3"/>
  <c r="E22" i="3" s="1"/>
  <c r="D21" i="3"/>
  <c r="E21" i="3" s="1"/>
  <c r="D20" i="3"/>
  <c r="E20" i="3" s="1"/>
  <c r="D19" i="3"/>
  <c r="E19" i="3" s="1"/>
  <c r="D18" i="3"/>
  <c r="E18" i="3" s="1"/>
  <c r="D15" i="3"/>
  <c r="E15" i="3" s="1"/>
  <c r="D17" i="3"/>
  <c r="E17" i="3" s="1"/>
  <c r="D16" i="3"/>
  <c r="E16" i="3" s="1"/>
  <c r="D10" i="3"/>
  <c r="E10" i="3"/>
  <c r="E11" i="3"/>
  <c r="B11" i="3"/>
  <c r="B10" i="3"/>
  <c r="D11" i="3"/>
  <c r="D5" i="3"/>
  <c r="A5" i="3" s="1"/>
  <c r="B7" i="3"/>
  <c r="B6" i="3"/>
  <c r="B8" i="3"/>
  <c r="D8" i="3"/>
  <c r="E12" i="3"/>
  <c r="E7" i="3"/>
  <c r="E6" i="3"/>
  <c r="E4" i="3"/>
  <c r="B1" i="3"/>
  <c r="B3" i="3" s="1"/>
  <c r="B12" i="3"/>
  <c r="E13" i="3"/>
  <c r="E14" i="3"/>
  <c r="B14" i="3"/>
  <c r="B13" i="3"/>
  <c r="A80" i="3"/>
  <c r="A79" i="3"/>
  <c r="E3" i="3"/>
  <c r="A3" i="3" s="1"/>
  <c r="AG3" i="1"/>
  <c r="AG2" i="1"/>
  <c r="E39" i="3" l="1"/>
  <c r="A39" i="3"/>
  <c r="E56" i="3"/>
  <c r="A56" i="3"/>
  <c r="E65" i="3"/>
  <c r="E72" i="3"/>
  <c r="E76" i="3"/>
  <c r="E40" i="3"/>
  <c r="A40" i="3"/>
  <c r="E58" i="3"/>
  <c r="A58" i="3"/>
  <c r="E62" i="3"/>
  <c r="A62" i="3"/>
  <c r="A63" i="3" s="1"/>
  <c r="E69" i="3"/>
  <c r="A69" i="3"/>
  <c r="E73" i="3"/>
  <c r="E43" i="3"/>
  <c r="A43" i="3"/>
  <c r="E54" i="3"/>
  <c r="A54" i="3"/>
  <c r="E57" i="3"/>
  <c r="A57" i="3"/>
  <c r="E70" i="3"/>
  <c r="E74" i="3"/>
  <c r="E41" i="3"/>
  <c r="A41" i="3"/>
  <c r="E38" i="3"/>
  <c r="A38" i="3"/>
  <c r="E48" i="3"/>
  <c r="A48" i="3"/>
  <c r="E55" i="3"/>
  <c r="A55" i="3"/>
  <c r="E64" i="3"/>
  <c r="E71" i="3"/>
  <c r="E66" i="3"/>
  <c r="A6" i="3"/>
  <c r="A7" i="3" s="1"/>
  <c r="E63" i="3"/>
  <c r="A21" i="3"/>
  <c r="A18" i="3"/>
  <c r="E75" i="3"/>
  <c r="E68" i="3"/>
  <c r="E67" i="3"/>
  <c r="A25" i="3"/>
  <c r="A27" i="3"/>
  <c r="A19" i="3"/>
  <c r="A22" i="3"/>
  <c r="A15" i="3"/>
  <c r="A8" i="3"/>
  <c r="E52" i="3"/>
  <c r="E53" i="3"/>
  <c r="E42" i="3"/>
  <c r="E61" i="3"/>
  <c r="E60" i="3"/>
  <c r="E50" i="3"/>
  <c r="E44" i="3"/>
  <c r="D33" i="3"/>
  <c r="A33" i="3" s="1"/>
  <c r="E49" i="3"/>
  <c r="E32" i="3"/>
  <c r="E36" i="3"/>
  <c r="E47" i="3"/>
  <c r="E59" i="3"/>
  <c r="E35" i="3"/>
  <c r="E34" i="3"/>
  <c r="E29" i="3"/>
  <c r="E28" i="3"/>
  <c r="E27" i="3"/>
  <c r="E26" i="3"/>
  <c r="E25" i="3"/>
  <c r="E24" i="3"/>
  <c r="E23" i="3"/>
  <c r="E5" i="3"/>
  <c r="E8" i="3"/>
  <c r="D51" i="3"/>
  <c r="A51" i="3" s="1"/>
  <c r="A64" i="3" l="1"/>
  <c r="A65" i="3" s="1"/>
  <c r="A10" i="3"/>
  <c r="A11" i="3" s="1"/>
  <c r="A13" i="3"/>
  <c r="E33" i="3"/>
  <c r="E51" i="3"/>
  <c r="A66" i="3" l="1"/>
  <c r="A12" i="3"/>
  <c r="A14" i="3"/>
  <c r="E30" i="3"/>
  <c r="E78" i="3" s="1"/>
  <c r="D78" i="3"/>
  <c r="A16" i="3" l="1"/>
  <c r="A31" i="3"/>
  <c r="A32" i="3"/>
  <c r="A35" i="3"/>
  <c r="A20" i="3" l="1"/>
  <c r="A23" i="3" s="1"/>
  <c r="A24" i="3"/>
  <c r="A17" i="3"/>
  <c r="A26" i="3"/>
  <c r="A28" i="3" l="1"/>
  <c r="A29" i="3" l="1"/>
  <c r="A36" i="3" l="1"/>
  <c r="A37" i="3" l="1"/>
  <c r="A60" i="3" s="1"/>
  <c r="A78" i="3" l="1"/>
  <c r="G34" i="3" s="1"/>
  <c r="AC42" i="1" s="1"/>
  <c r="F5" i="3" l="1"/>
  <c r="AB12" i="1" s="1"/>
  <c r="G3" i="3"/>
  <c r="AC10" i="1" s="1"/>
  <c r="F109" i="3"/>
  <c r="G4" i="3"/>
  <c r="AC11" i="1" s="1"/>
  <c r="F105" i="3"/>
  <c r="F106" i="3"/>
  <c r="G100" i="3"/>
  <c r="G24" i="3"/>
  <c r="AC32" i="1" s="1"/>
  <c r="F3" i="3"/>
  <c r="AB10" i="1" s="1"/>
  <c r="F97" i="3"/>
  <c r="G6" i="3"/>
  <c r="AC13" i="1" s="1"/>
  <c r="G30" i="3"/>
  <c r="AC38" i="1" s="1"/>
  <c r="G22" i="3"/>
  <c r="AC29" i="1" s="1"/>
  <c r="F4" i="3"/>
  <c r="AB11" i="1" s="1"/>
  <c r="G108" i="3"/>
  <c r="G99" i="3"/>
  <c r="G109" i="3"/>
  <c r="G98" i="3"/>
  <c r="F98" i="3"/>
  <c r="G93" i="3"/>
  <c r="G18" i="3"/>
  <c r="AC25" i="1" s="1"/>
  <c r="F11" i="3"/>
  <c r="AB18" i="1" s="1"/>
  <c r="G33" i="3"/>
  <c r="AC41" i="1" s="1"/>
  <c r="F23" i="3"/>
  <c r="AB31" i="1" s="1"/>
  <c r="G94" i="3"/>
  <c r="G15" i="3"/>
  <c r="AC22" i="1" s="1"/>
  <c r="F25" i="3"/>
  <c r="AB33" i="1" s="1"/>
  <c r="G110" i="3"/>
  <c r="G105" i="3"/>
  <c r="G107" i="3"/>
  <c r="G103" i="3"/>
  <c r="G35" i="3"/>
  <c r="AC43" i="1" s="1"/>
  <c r="G14" i="3"/>
  <c r="AC21" i="1" s="1"/>
  <c r="G5" i="3"/>
  <c r="AC12" i="1" s="1"/>
  <c r="F108" i="3"/>
  <c r="F100" i="3"/>
  <c r="G106" i="3"/>
  <c r="G102" i="3"/>
  <c r="G101" i="3"/>
  <c r="F96" i="3"/>
  <c r="F8" i="3"/>
  <c r="AB15" i="1" s="1"/>
  <c r="F15" i="3"/>
  <c r="AB22" i="1" s="1"/>
  <c r="G12" i="3"/>
  <c r="AC19" i="1" s="1"/>
  <c r="F39" i="3"/>
  <c r="F99" i="3"/>
  <c r="F102" i="3"/>
  <c r="F104" i="3"/>
  <c r="F110" i="3"/>
  <c r="G104" i="3"/>
  <c r="F107" i="3"/>
  <c r="F103" i="3"/>
  <c r="G96" i="3"/>
  <c r="F33" i="3"/>
  <c r="AB41" i="1" s="1"/>
  <c r="F9" i="3"/>
  <c r="AB16" i="1" s="1"/>
  <c r="F36" i="3"/>
  <c r="AB44" i="1" s="1"/>
  <c r="F34" i="3"/>
  <c r="AB42" i="1" s="1"/>
  <c r="G25" i="3"/>
  <c r="AC33" i="1" s="1"/>
  <c r="F101" i="3"/>
  <c r="F6" i="3"/>
  <c r="AB13" i="1" s="1"/>
  <c r="F95" i="3"/>
  <c r="F93" i="3"/>
  <c r="G32" i="3"/>
  <c r="AC40" i="1" s="1"/>
  <c r="F16" i="3"/>
  <c r="AB23" i="1" s="1"/>
  <c r="F30" i="3"/>
  <c r="AB38" i="1" s="1"/>
  <c r="F31" i="3"/>
  <c r="AB39" i="1" s="1"/>
  <c r="G26" i="3"/>
  <c r="AC34" i="1" s="1"/>
  <c r="F35" i="3"/>
  <c r="AB43" i="1" s="1"/>
  <c r="F12" i="3"/>
  <c r="AB19" i="1" s="1"/>
  <c r="G9" i="3"/>
  <c r="AC16" i="1" s="1"/>
  <c r="F21" i="3"/>
  <c r="AB28" i="1" s="1"/>
  <c r="G27" i="3"/>
  <c r="AC35" i="1" s="1"/>
  <c r="G97" i="3"/>
  <c r="F94" i="3"/>
  <c r="G95" i="3"/>
  <c r="G37" i="3"/>
  <c r="G31" i="3"/>
  <c r="AC39" i="1" s="1"/>
  <c r="F27" i="3"/>
  <c r="AB35" i="1" s="1"/>
  <c r="F14" i="3"/>
  <c r="AB21" i="1" s="1"/>
  <c r="F29" i="3"/>
  <c r="AB37" i="1" s="1"/>
  <c r="F10" i="3"/>
  <c r="AB17" i="1" s="1"/>
  <c r="G36" i="3"/>
  <c r="AC44" i="1" s="1"/>
  <c r="G17" i="3"/>
  <c r="AC24" i="1" s="1"/>
  <c r="G8" i="3"/>
  <c r="AC15" i="1" s="1"/>
  <c r="F24" i="3"/>
  <c r="AB32" i="1" s="1"/>
  <c r="F20" i="3"/>
  <c r="AB27" i="1" s="1"/>
  <c r="G19" i="3"/>
  <c r="AC26" i="1" s="1"/>
  <c r="G20" i="3"/>
  <c r="AC27" i="1" s="1"/>
  <c r="F37" i="3"/>
  <c r="F28" i="3"/>
  <c r="AB36" i="1" s="1"/>
  <c r="F17" i="3"/>
  <c r="AB24" i="1" s="1"/>
  <c r="G13" i="3"/>
  <c r="AC20" i="1" s="1"/>
  <c r="G28" i="3"/>
  <c r="AC36" i="1" s="1"/>
  <c r="G39" i="3"/>
  <c r="G29" i="3"/>
  <c r="AC37" i="1" s="1"/>
  <c r="G7" i="3"/>
  <c r="AC14" i="1" s="1"/>
  <c r="G86" i="3"/>
  <c r="F92" i="3"/>
  <c r="F84" i="3"/>
  <c r="G89" i="3"/>
  <c r="G81" i="3"/>
  <c r="F85" i="3"/>
  <c r="G73" i="3"/>
  <c r="F72" i="3"/>
  <c r="G77" i="3"/>
  <c r="F73" i="3"/>
  <c r="F46" i="3"/>
  <c r="F45" i="3"/>
  <c r="G53" i="3"/>
  <c r="AC55" i="1" s="1"/>
  <c r="F62" i="3"/>
  <c r="F61" i="3"/>
  <c r="G61" i="3"/>
  <c r="G66" i="3"/>
  <c r="G63" i="3"/>
  <c r="G64" i="3"/>
  <c r="G57" i="3"/>
  <c r="AC59" i="1" s="1"/>
  <c r="G58" i="3"/>
  <c r="AC60" i="1" s="1"/>
  <c r="G51" i="3"/>
  <c r="AC53" i="1" s="1"/>
  <c r="G52" i="3"/>
  <c r="AC54" i="1" s="1"/>
  <c r="G65" i="3"/>
  <c r="G46" i="3"/>
  <c r="F67" i="3"/>
  <c r="F68" i="3"/>
  <c r="G62" i="3"/>
  <c r="F55" i="3"/>
  <c r="AB57" i="1" s="1"/>
  <c r="F56" i="3"/>
  <c r="AB58" i="1" s="1"/>
  <c r="F49" i="3"/>
  <c r="AB51" i="1" s="1"/>
  <c r="F50" i="3"/>
  <c r="AB52" i="1" s="1"/>
  <c r="F43" i="3"/>
  <c r="AB47" i="1" s="1"/>
  <c r="F44" i="3"/>
  <c r="AB48" i="1" s="1"/>
  <c r="G70" i="3"/>
  <c r="F65" i="3"/>
  <c r="G60" i="3"/>
  <c r="G48" i="3"/>
  <c r="AC50" i="1" s="1"/>
  <c r="G42" i="3"/>
  <c r="AC46" i="1" s="1"/>
  <c r="F59" i="3"/>
  <c r="F66" i="3"/>
  <c r="G82" i="3"/>
  <c r="F88" i="3"/>
  <c r="F80" i="3"/>
  <c r="G85" i="3"/>
  <c r="F76" i="3"/>
  <c r="F74" i="3"/>
  <c r="F78" i="3"/>
  <c r="F54" i="3"/>
  <c r="AB56" i="1" s="1"/>
  <c r="F64" i="3"/>
  <c r="F51" i="3"/>
  <c r="AB53" i="1" s="1"/>
  <c r="G59" i="3"/>
  <c r="G67" i="3"/>
  <c r="G56" i="3"/>
  <c r="AC58" i="1" s="1"/>
  <c r="G43" i="3"/>
  <c r="AC47" i="1" s="1"/>
  <c r="G71" i="3"/>
  <c r="G80" i="3"/>
  <c r="G91" i="3"/>
  <c r="F87" i="3"/>
  <c r="G78" i="3"/>
  <c r="F70" i="3"/>
  <c r="G69" i="3"/>
  <c r="F48" i="3"/>
  <c r="AB50" i="1" s="1"/>
  <c r="G92" i="3"/>
  <c r="G84" i="3"/>
  <c r="F90" i="3"/>
  <c r="F82" i="3"/>
  <c r="G87" i="3"/>
  <c r="F91" i="3"/>
  <c r="F83" i="3"/>
  <c r="F77" i="3"/>
  <c r="G79" i="3"/>
  <c r="F79" i="3"/>
  <c r="G75" i="3"/>
  <c r="G45" i="3"/>
  <c r="G47" i="3"/>
  <c r="AC49" i="1" s="1"/>
  <c r="G41" i="3"/>
  <c r="AC45" i="1" s="1"/>
  <c r="F89" i="3"/>
  <c r="F75" i="3"/>
  <c r="F63" i="3"/>
  <c r="F58" i="3"/>
  <c r="AB60" i="1" s="1"/>
  <c r="G68" i="3"/>
  <c r="G55" i="3"/>
  <c r="AC57" i="1" s="1"/>
  <c r="G50" i="3"/>
  <c r="AC52" i="1" s="1"/>
  <c r="F40" i="3"/>
  <c r="G88" i="3"/>
  <c r="F86" i="3"/>
  <c r="G83" i="3"/>
  <c r="G72" i="3"/>
  <c r="G76" i="3"/>
  <c r="F69" i="3"/>
  <c r="F47" i="3"/>
  <c r="AB49" i="1" s="1"/>
  <c r="F42" i="3"/>
  <c r="AB46" i="1" s="1"/>
  <c r="G90" i="3"/>
  <c r="F81" i="3"/>
  <c r="F53" i="3"/>
  <c r="AB55" i="1" s="1"/>
  <c r="F57" i="3"/>
  <c r="AB59" i="1" s="1"/>
  <c r="F52" i="3"/>
  <c r="AB54" i="1" s="1"/>
  <c r="G40" i="3"/>
  <c r="F71" i="3"/>
  <c r="G49" i="3"/>
  <c r="AC51" i="1" s="1"/>
  <c r="G44" i="3"/>
  <c r="AC48" i="1" s="1"/>
  <c r="G74" i="3"/>
  <c r="F60" i="3"/>
  <c r="F41" i="3"/>
  <c r="AB45" i="1" s="1"/>
  <c r="G54" i="3"/>
  <c r="AC56" i="1" s="1"/>
  <c r="F26" i="3"/>
  <c r="AB34" i="1" s="1"/>
  <c r="G16" i="3"/>
  <c r="AC23" i="1" s="1"/>
  <c r="G21" i="3"/>
  <c r="AC28" i="1" s="1"/>
  <c r="F22" i="3"/>
  <c r="AB29" i="1" s="1"/>
  <c r="G10" i="3"/>
  <c r="AC17" i="1" s="1"/>
  <c r="F13" i="3"/>
  <c r="AB20" i="1" s="1"/>
  <c r="F18" i="3"/>
  <c r="AB25" i="1" s="1"/>
  <c r="G11" i="3"/>
  <c r="AC18" i="1" s="1"/>
  <c r="F19" i="3"/>
  <c r="AB26" i="1" s="1"/>
  <c r="G23" i="3"/>
  <c r="AC31" i="1" s="1"/>
  <c r="F32" i="3"/>
  <c r="AB40" i="1" s="1"/>
  <c r="F7" i="3"/>
  <c r="AB14" i="1" s="1"/>
  <c r="G38" i="3"/>
  <c r="F38" i="3"/>
</calcChain>
</file>

<file path=xl/comments1.xml><?xml version="1.0" encoding="utf-8"?>
<comments xmlns="http://schemas.openxmlformats.org/spreadsheetml/2006/main">
  <authors>
    <author>SWS_manager</author>
  </authors>
  <commentList>
    <comment ref="M34" authorId="0">
      <text>
        <r>
          <rPr>
            <b/>
            <sz val="9"/>
            <color indexed="81"/>
            <rFont val="Tahoma"/>
            <family val="2"/>
            <charset val="204"/>
          </rPr>
          <t>Указать количество измемяемых детатей - цифра</t>
        </r>
      </text>
    </comment>
    <comment ref="M35" authorId="0">
      <text>
        <r>
          <rPr>
            <b/>
            <sz val="9"/>
            <color indexed="81"/>
            <rFont val="Tahoma"/>
            <family val="2"/>
            <charset val="204"/>
          </rPr>
          <t>Указать количество измемяемых детатей - цифра</t>
        </r>
      </text>
    </comment>
  </commentList>
</comments>
</file>

<file path=xl/comments2.xml><?xml version="1.0" encoding="utf-8"?>
<comments xmlns="http://schemas.openxmlformats.org/spreadsheetml/2006/main">
  <authors>
    <author>SWS_manager</author>
  </authors>
  <commentList>
    <comment ref="B60" authorId="0">
      <text>
        <r>
          <rPr>
            <b/>
            <sz val="9"/>
            <color indexed="81"/>
            <rFont val="Tahoma"/>
            <family val="2"/>
            <charset val="204"/>
          </rPr>
          <t>Медуза ОП ZP</t>
        </r>
      </text>
    </comment>
    <comment ref="B61" authorId="0">
      <text>
        <r>
          <rPr>
            <b/>
            <sz val="9"/>
            <color indexed="81"/>
            <rFont val="Tahoma"/>
            <family val="2"/>
            <charset val="204"/>
          </rPr>
          <t>Медуза ОП - F111</t>
        </r>
      </text>
    </comment>
  </commentList>
</comments>
</file>

<file path=xl/sharedStrings.xml><?xml version="1.0" encoding="utf-8"?>
<sst xmlns="http://schemas.openxmlformats.org/spreadsheetml/2006/main" count="227" uniqueCount="204">
  <si>
    <t>Согласование</t>
  </si>
  <si>
    <t>Счет</t>
  </si>
  <si>
    <t>заказа на систему</t>
  </si>
  <si>
    <t>Fire2</t>
  </si>
  <si>
    <t>Пожалуйста, тщательно проверьте введенную информацию:</t>
  </si>
  <si>
    <t>она будет использована при производстве.</t>
  </si>
  <si>
    <t>Общая информация</t>
  </si>
  <si>
    <t>Размеры заказчика</t>
  </si>
  <si>
    <t>см/кг</t>
  </si>
  <si>
    <t>Дилер</t>
  </si>
  <si>
    <t>Вход номер</t>
  </si>
  <si>
    <t>Пол</t>
  </si>
  <si>
    <t>Торс</t>
  </si>
  <si>
    <t>Заказчик</t>
  </si>
  <si>
    <t>Размер ранца</t>
  </si>
  <si>
    <t>Рост</t>
  </si>
  <si>
    <t>Ножной</t>
  </si>
  <si>
    <t>Наименование позиции прайса</t>
  </si>
  <si>
    <t>Цена</t>
  </si>
  <si>
    <t>Заполнил</t>
  </si>
  <si>
    <t>Основной</t>
  </si>
  <si>
    <t>Вес</t>
  </si>
  <si>
    <t>Бедро</t>
  </si>
  <si>
    <t>Дата заказа</t>
  </si>
  <si>
    <t>Запасной</t>
  </si>
  <si>
    <t>Грудь</t>
  </si>
  <si>
    <t>Размер А</t>
  </si>
  <si>
    <t>Дата рассчет</t>
  </si>
  <si>
    <t>Подв./Укл.</t>
  </si>
  <si>
    <t>Талия</t>
  </si>
  <si>
    <t>Инсем</t>
  </si>
  <si>
    <t>Контейнер</t>
  </si>
  <si>
    <t>Цвет</t>
  </si>
  <si>
    <t>Испол</t>
  </si>
  <si>
    <t>Дата</t>
  </si>
  <si>
    <t>Производственные размеры (не заполнять):</t>
  </si>
  <si>
    <t>Ранец</t>
  </si>
  <si>
    <t>MLW</t>
  </si>
  <si>
    <t>Yoke</t>
  </si>
  <si>
    <t>Поясной</t>
  </si>
  <si>
    <t>СП off/ножн</t>
  </si>
  <si>
    <t>Общая деталь a</t>
  </si>
  <si>
    <t>Ширина спины</t>
  </si>
  <si>
    <t>Общая деталь b</t>
  </si>
  <si>
    <t>Опции подвесной</t>
  </si>
  <si>
    <t>Общая деталь c</t>
  </si>
  <si>
    <t>Металл Cad</t>
  </si>
  <si>
    <t>Blk($)</t>
  </si>
  <si>
    <t>SS($)</t>
  </si>
  <si>
    <t>Пред.клапан ОП</t>
  </si>
  <si>
    <t>КЗУ Mini</t>
  </si>
  <si>
    <t>Big</t>
  </si>
  <si>
    <t>Контейнер ОП</t>
  </si>
  <si>
    <t>Подвесная 2R</t>
  </si>
  <si>
    <t>4R($)</t>
  </si>
  <si>
    <t>Рег($)</t>
  </si>
  <si>
    <t>Боковое ребро</t>
  </si>
  <si>
    <t>Грудная узкая</t>
  </si>
  <si>
    <t>Широкая</t>
  </si>
  <si>
    <t>Ножные пряжки</t>
  </si>
  <si>
    <t>B12($)</t>
  </si>
  <si>
    <t>СК узкие</t>
  </si>
  <si>
    <t>Широкие</t>
  </si>
  <si>
    <t>Swoop Доп.кольцо($)</t>
  </si>
  <si>
    <t>Петля ч/в ($)</t>
  </si>
  <si>
    <t>Сшитые($)</t>
  </si>
  <si>
    <t>Длина СК 500</t>
  </si>
  <si>
    <t>Воротник</t>
  </si>
  <si>
    <t>Матерчатые клеванты ($)</t>
  </si>
  <si>
    <t>Поясная накладка</t>
  </si>
  <si>
    <t>Опции контейнера и спинки</t>
  </si>
  <si>
    <t>Контейнер ОП Std</t>
  </si>
  <si>
    <t>Wingmod</t>
  </si>
  <si>
    <t>Ножные обхваты</t>
  </si>
  <si>
    <t>Спинка ParaPack</t>
  </si>
  <si>
    <t>Spacer ES($)</t>
  </si>
  <si>
    <t>Накладки-карманы</t>
  </si>
  <si>
    <t>Ножной Std</t>
  </si>
  <si>
    <t>Узкий</t>
  </si>
  <si>
    <t>Накладки КЗУ</t>
  </si>
  <si>
    <t>Опции системы раскрытия ЗП</t>
  </si>
  <si>
    <t>Спинка</t>
  </si>
  <si>
    <t>Подушка отцепки (Std)</t>
  </si>
  <si>
    <t>Цвет($)</t>
  </si>
  <si>
    <t>Лучи($)</t>
  </si>
  <si>
    <t>Спецусловия($)</t>
  </si>
  <si>
    <t>Camo</t>
  </si>
  <si>
    <t>RSL нет</t>
  </si>
  <si>
    <t>Brass($)</t>
  </si>
  <si>
    <t>d/e</t>
  </si>
  <si>
    <t>e/f</t>
  </si>
  <si>
    <t>DRD нет</t>
  </si>
  <si>
    <t>a/b</t>
  </si>
  <si>
    <t>b/c</t>
  </si>
  <si>
    <t>Смена цвета</t>
  </si>
  <si>
    <t>Опции системы раскрытия ОП</t>
  </si>
  <si>
    <t>Смена окантовки</t>
  </si>
  <si>
    <t>Pod</t>
  </si>
  <si>
    <t>Мяч</t>
  </si>
  <si>
    <t>Mяч-Pod</t>
  </si>
  <si>
    <t>Трубка</t>
  </si>
  <si>
    <t>Подвесная</t>
  </si>
  <si>
    <t>Окантовка</t>
  </si>
  <si>
    <t>Медуза ОП ZP 725</t>
  </si>
  <si>
    <t>F-111 825</t>
  </si>
  <si>
    <t>Вышивка</t>
  </si>
  <si>
    <t>Std</t>
  </si>
  <si>
    <t>Альтернатива</t>
  </si>
  <si>
    <t>Цвет Std</t>
  </si>
  <si>
    <t>КЗУ правое</t>
  </si>
  <si>
    <t>sws</t>
  </si>
  <si>
    <t>Text($)</t>
  </si>
  <si>
    <t>Logo($)</t>
  </si>
  <si>
    <t>Стреньга 2м</t>
  </si>
  <si>
    <t>КЗУ левое</t>
  </si>
  <si>
    <t>Камера ОП Std</t>
  </si>
  <si>
    <t>Lazy bag ($)</t>
  </si>
  <si>
    <t>Бок правый</t>
  </si>
  <si>
    <t>Защита на карман медузы ОП ($)</t>
  </si>
  <si>
    <t>Бок левый</t>
  </si>
  <si>
    <t>Дополнительные опции ($$$)</t>
  </si>
  <si>
    <t>Центр деталь</t>
  </si>
  <si>
    <t>Dem</t>
  </si>
  <si>
    <t>Текст вышивок</t>
  </si>
  <si>
    <t>Стропорез пластик($)</t>
  </si>
  <si>
    <t>Комплект запасных частей ОП ($)</t>
  </si>
  <si>
    <t>Комплект запасных частей ЗП ($)</t>
  </si>
  <si>
    <t>Заводская укладка($)</t>
  </si>
  <si>
    <t>Особые пожелания</t>
  </si>
  <si>
    <t>Служебная информация (не заполнять)</t>
  </si>
  <si>
    <t>Поясной+Спина</t>
  </si>
  <si>
    <t>Спина+Контейнеры</t>
  </si>
  <si>
    <t>Сборка подвесной</t>
  </si>
  <si>
    <t>Контейнер ОП+Боковое ребро</t>
  </si>
  <si>
    <t>Монтаж шлангов и люверсов</t>
  </si>
  <si>
    <t>Спина+Воротник</t>
  </si>
  <si>
    <t>ОТК</t>
  </si>
  <si>
    <t>Серийный</t>
  </si>
  <si>
    <t>Позиция</t>
  </si>
  <si>
    <t>Стоимость</t>
  </si>
  <si>
    <t>Наличие</t>
  </si>
  <si>
    <t>Зеленый - платные опции</t>
  </si>
  <si>
    <t xml:space="preserve">Расцветка ранца  Camo($$$) </t>
  </si>
  <si>
    <t>КЗУ Mini Std</t>
  </si>
  <si>
    <t>КЗУ Big</t>
  </si>
  <si>
    <t>Пряжки на ножных</t>
  </si>
  <si>
    <t>Карабины на ножных</t>
  </si>
  <si>
    <t>Подушка отцепки Red (Std)</t>
  </si>
  <si>
    <t>Подушка отцепки Custom</t>
  </si>
  <si>
    <t>Кольцо ПЗ (Std)</t>
  </si>
  <si>
    <t>RSL SS</t>
  </si>
  <si>
    <t>Без DRD</t>
  </si>
  <si>
    <t>DRD Brass</t>
  </si>
  <si>
    <t>DRD SS</t>
  </si>
  <si>
    <t>Заводская укладка</t>
  </si>
  <si>
    <t xml:space="preserve">Сумка SWS </t>
  </si>
  <si>
    <t>ИТОГО</t>
  </si>
  <si>
    <t>RSL Brass</t>
  </si>
  <si>
    <t>Подвесная 2-х кольцевая, Металл Cad</t>
  </si>
  <si>
    <t>Подвесная 4-х кольцевая, Металл Cad</t>
  </si>
  <si>
    <t>Подвесная регулируемая, Металл Cad</t>
  </si>
  <si>
    <t>Подвесная 2-х кольцевая, Металл Blk</t>
  </si>
  <si>
    <t>Подвесная 4-х кольцевая, Металл Blk</t>
  </si>
  <si>
    <t>Подвесная 2-х кольцевая, Металл SS</t>
  </si>
  <si>
    <t>Подвесная 4-х кольцевая, Металл SS</t>
  </si>
  <si>
    <t>Грудная широкая</t>
  </si>
  <si>
    <t>СК узкие (Std)</t>
  </si>
  <si>
    <t>СК широкие</t>
  </si>
  <si>
    <t>СК узкие + доп. кольцо</t>
  </si>
  <si>
    <t>СК узкие + петля ч/з верх</t>
  </si>
  <si>
    <t>СК узкие + сшитые</t>
  </si>
  <si>
    <t xml:space="preserve">СК узкие + доп. кольцо + петля ч/з верх </t>
  </si>
  <si>
    <t>СК узкие + доп.кольцо + петля ч/з верх + сшитые</t>
  </si>
  <si>
    <t>Длина 500 мм</t>
  </si>
  <si>
    <t>Длина 550 мм</t>
  </si>
  <si>
    <t>Длина 600 мм</t>
  </si>
  <si>
    <t>Контейнер ОП Wingmod</t>
  </si>
  <si>
    <t>Спинка Spacer ES($)</t>
  </si>
  <si>
    <t>Нозной узкий</t>
  </si>
  <si>
    <t>Кольцо ЗП</t>
  </si>
  <si>
    <t>Под ЗП цвет($)</t>
  </si>
  <si>
    <t>Без RSL</t>
  </si>
  <si>
    <t>Привод медузы ОП FF Pod</t>
  </si>
  <si>
    <t>Привод медузы ОП трубка</t>
  </si>
  <si>
    <t>Привод медузы ОП Мячик-Pod</t>
  </si>
  <si>
    <t>Стреньга ОП - 2м (Std)</t>
  </si>
  <si>
    <t>Стреньга ОП -3м (Wingmod)</t>
  </si>
  <si>
    <t>Камера ОП Lazy bag ($)</t>
  </si>
  <si>
    <t>Стропорез Metal($)</t>
  </si>
  <si>
    <t>Комплект запасных частей ОП (база)</t>
  </si>
  <si>
    <t>Комплект запасных частей ЗП (база)</t>
  </si>
  <si>
    <t>Fire 1</t>
  </si>
  <si>
    <t>Мы благодарим Вас за заказ парашютной системы Fire 1</t>
  </si>
  <si>
    <t>Поясной широкий</t>
  </si>
  <si>
    <t>Cut-in</t>
  </si>
  <si>
    <t>Поясной Cut-in</t>
  </si>
  <si>
    <t>Контейнер ЗП</t>
  </si>
  <si>
    <t>Пред.клапан ЗП d</t>
  </si>
  <si>
    <t>Пред.клапан ЗП e</t>
  </si>
  <si>
    <t>Пред.клапан ЗП f</t>
  </si>
  <si>
    <t>Медуза ЗП</t>
  </si>
  <si>
    <t>Контейнер ЗП+контейнер ОП</t>
  </si>
  <si>
    <t>Контейнер ЗП+Общая деталь</t>
  </si>
  <si>
    <t>Камера ЗП/ОП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</si>
</sst>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rgb="FF000000"/>
      <name val="Calibri"/>
    </font>
    <font>
      <sz val="11"/>
      <name val="Arial"/>
      <family val="2"/>
      <charset val="204"/>
    </font>
    <font>
      <b/>
      <sz val="1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sz val="7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"/>
      <family val="2"/>
      <charset val="204"/>
    </font>
    <font>
      <b/>
      <sz val="1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rgb="FFF8755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Fill="0" applyProtection="0"/>
  </cellStyleXfs>
  <cellXfs count="345">
    <xf numFmtId="0" fontId="0" fillId="0" borderId="0" xfId="0"/>
    <xf numFmtId="0" fontId="17" fillId="0" borderId="0" xfId="0" applyFont="1" applyProtection="1"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3" fillId="4" borderId="0" xfId="0" applyFont="1" applyFill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left" vertical="center"/>
      <protection hidden="1"/>
    </xf>
    <xf numFmtId="0" fontId="19" fillId="0" borderId="0" xfId="0" applyFont="1" applyAlignment="1" applyProtection="1">
      <alignment horizontal="right" vertical="center"/>
      <protection hidden="1"/>
    </xf>
    <xf numFmtId="0" fontId="19" fillId="3" borderId="6" xfId="0" applyFont="1" applyFill="1" applyBorder="1" applyAlignment="1" applyProtection="1">
      <alignment horizontal="center" vertical="center"/>
      <protection locked="0"/>
    </xf>
    <xf numFmtId="0" fontId="19" fillId="3" borderId="7" xfId="0" applyFont="1" applyFill="1" applyBorder="1" applyAlignment="1" applyProtection="1">
      <alignment horizontal="center" vertical="center"/>
      <protection locked="0"/>
    </xf>
    <xf numFmtId="0" fontId="19" fillId="3" borderId="8" xfId="0" applyFont="1" applyFill="1" applyBorder="1" applyAlignment="1" applyProtection="1">
      <alignment horizontal="center" vertical="center"/>
      <protection locked="0"/>
    </xf>
    <xf numFmtId="0" fontId="19" fillId="6" borderId="6" xfId="0" applyFont="1" applyFill="1" applyBorder="1" applyAlignment="1" applyProtection="1">
      <alignment horizontal="center" vertical="center"/>
      <protection locked="0"/>
    </xf>
    <xf numFmtId="0" fontId="19" fillId="6" borderId="7" xfId="0" applyFont="1" applyFill="1" applyBorder="1" applyAlignment="1" applyProtection="1">
      <alignment horizontal="center" vertical="center"/>
      <protection locked="0"/>
    </xf>
    <xf numFmtId="0" fontId="19" fillId="6" borderId="9" xfId="0" applyFont="1" applyFill="1" applyBorder="1" applyAlignment="1" applyProtection="1">
      <alignment horizontal="center" vertical="center"/>
      <protection locked="0"/>
    </xf>
    <xf numFmtId="0" fontId="17" fillId="6" borderId="7" xfId="0" applyFont="1" applyFill="1" applyBorder="1" applyAlignment="1" applyProtection="1">
      <alignment horizontal="center" vertical="center"/>
      <protection locked="0"/>
    </xf>
    <xf numFmtId="0" fontId="19" fillId="3" borderId="12" xfId="0" applyFont="1" applyFill="1" applyBorder="1" applyAlignment="1" applyProtection="1">
      <alignment horizontal="center" vertical="center"/>
      <protection locked="0"/>
    </xf>
    <xf numFmtId="0" fontId="19" fillId="6" borderId="12" xfId="0" applyFont="1" applyFill="1" applyBorder="1" applyAlignment="1" applyProtection="1">
      <alignment horizontal="center" vertical="center"/>
      <protection locked="0"/>
    </xf>
    <xf numFmtId="0" fontId="19" fillId="6" borderId="13" xfId="0" applyFont="1" applyFill="1" applyBorder="1" applyAlignment="1" applyProtection="1">
      <alignment horizontal="center" vertical="center"/>
      <protection locked="0"/>
    </xf>
    <xf numFmtId="0" fontId="19" fillId="6" borderId="47" xfId="0" applyFont="1" applyFill="1" applyBorder="1" applyAlignment="1" applyProtection="1">
      <alignment horizontal="center" vertical="center"/>
      <protection locked="0"/>
    </xf>
    <xf numFmtId="0" fontId="19" fillId="6" borderId="50" xfId="0" applyFont="1" applyFill="1" applyBorder="1" applyAlignment="1" applyProtection="1">
      <alignment horizontal="center" vertical="center"/>
      <protection locked="0"/>
    </xf>
    <xf numFmtId="0" fontId="19" fillId="3" borderId="45" xfId="0" applyFont="1" applyFill="1" applyBorder="1" applyAlignment="1" applyProtection="1">
      <alignment horizontal="center" vertical="center"/>
      <protection locked="0"/>
    </xf>
    <xf numFmtId="0" fontId="19" fillId="6" borderId="45" xfId="0" applyFont="1" applyFill="1" applyBorder="1" applyAlignment="1" applyProtection="1">
      <alignment horizontal="center" vertical="center"/>
      <protection locked="0"/>
    </xf>
    <xf numFmtId="0" fontId="19" fillId="3" borderId="68" xfId="0" applyFont="1" applyFill="1" applyBorder="1" applyAlignment="1" applyProtection="1">
      <alignment horizontal="center" vertical="center"/>
      <protection locked="0"/>
    </xf>
    <xf numFmtId="0" fontId="19" fillId="6" borderId="68" xfId="0" applyFont="1" applyFill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left" vertical="center"/>
      <protection hidden="1"/>
    </xf>
    <xf numFmtId="0" fontId="19" fillId="0" borderId="24" xfId="0" applyFont="1" applyBorder="1" applyAlignment="1" applyProtection="1">
      <alignment horizontal="right" vertical="center"/>
      <protection hidden="1"/>
    </xf>
    <xf numFmtId="0" fontId="17" fillId="0" borderId="0" xfId="0" applyFont="1" applyProtection="1">
      <protection locked="0"/>
    </xf>
    <xf numFmtId="0" fontId="19" fillId="0" borderId="0" xfId="0" applyFont="1" applyAlignment="1" applyProtection="1">
      <alignment vertical="center"/>
      <protection locked="0"/>
    </xf>
    <xf numFmtId="0" fontId="11" fillId="0" borderId="0" xfId="1" applyFont="1" applyFill="1" applyAlignment="1" applyProtection="1">
      <alignment horizontal="center" vertical="center"/>
    </xf>
    <xf numFmtId="0" fontId="12" fillId="0" borderId="0" xfId="1" applyFont="1" applyFill="1" applyAlignment="1" applyProtection="1">
      <alignment horizontal="center"/>
    </xf>
    <xf numFmtId="0" fontId="11" fillId="0" borderId="0" xfId="1" applyFont="1" applyFill="1" applyAlignment="1" applyProtection="1">
      <alignment horizontal="right" vertical="center"/>
    </xf>
    <xf numFmtId="0" fontId="11" fillId="0" borderId="6" xfId="1" applyFont="1" applyFill="1" applyBorder="1" applyAlignment="1" applyProtection="1">
      <alignment horizontal="center" vertical="center"/>
    </xf>
    <xf numFmtId="0" fontId="13" fillId="0" borderId="6" xfId="1" applyFont="1" applyFill="1" applyBorder="1" applyAlignment="1" applyProtection="1">
      <alignment horizontal="center" vertical="center"/>
    </xf>
    <xf numFmtId="0" fontId="13" fillId="0" borderId="6" xfId="1" applyFont="1" applyFill="1" applyBorder="1" applyAlignment="1" applyProtection="1">
      <alignment horizontal="center"/>
    </xf>
    <xf numFmtId="0" fontId="13" fillId="0" borderId="6" xfId="1" applyFont="1" applyFill="1" applyBorder="1" applyAlignment="1" applyProtection="1">
      <alignment horizontal="right"/>
    </xf>
    <xf numFmtId="0" fontId="11" fillId="3" borderId="6" xfId="1" applyFont="1" applyFill="1" applyBorder="1" applyAlignment="1" applyProtection="1">
      <alignment horizontal="center" vertical="center"/>
    </xf>
    <xf numFmtId="0" fontId="11" fillId="3" borderId="6" xfId="1" applyFont="1" applyFill="1" applyBorder="1" applyAlignment="1" applyProtection="1">
      <alignment horizontal="right" vertical="center"/>
    </xf>
    <xf numFmtId="0" fontId="14" fillId="3" borderId="6" xfId="1" applyFont="1" applyFill="1" applyBorder="1" applyAlignment="1" applyProtection="1">
      <alignment vertical="center"/>
    </xf>
    <xf numFmtId="0" fontId="11" fillId="7" borderId="6" xfId="1" applyFont="1" applyFill="1" applyBorder="1" applyAlignment="1" applyProtection="1">
      <alignment horizontal="center"/>
      <protection locked="0"/>
    </xf>
    <xf numFmtId="0" fontId="15" fillId="8" borderId="6" xfId="1" applyFont="1" applyFill="1" applyBorder="1" applyAlignment="1" applyProtection="1">
      <alignment horizontal="center" vertical="center"/>
    </xf>
    <xf numFmtId="0" fontId="15" fillId="8" borderId="6" xfId="1" applyFont="1" applyFill="1" applyBorder="1" applyAlignment="1" applyProtection="1">
      <alignment horizontal="right" vertical="center"/>
    </xf>
    <xf numFmtId="0" fontId="11" fillId="0" borderId="0" xfId="1" applyFont="1" applyFill="1" applyAlignment="1" applyProtection="1">
      <alignment horizontal="center"/>
      <protection locked="0"/>
    </xf>
    <xf numFmtId="0" fontId="10" fillId="0" borderId="0" xfId="1" applyFill="1" applyAlignment="1" applyProtection="1">
      <alignment horizontal="center"/>
    </xf>
    <xf numFmtId="0" fontId="10" fillId="0" borderId="0" xfId="1" applyFill="1" applyProtection="1"/>
    <xf numFmtId="0" fontId="10" fillId="0" borderId="0" xfId="1" applyFill="1" applyAlignment="1" applyProtection="1">
      <alignment horizontal="right"/>
    </xf>
    <xf numFmtId="0" fontId="11" fillId="0" borderId="80" xfId="1" applyFont="1" applyFill="1" applyBorder="1" applyAlignment="1" applyProtection="1">
      <alignment horizontal="center" vertical="center"/>
    </xf>
    <xf numFmtId="0" fontId="11" fillId="9" borderId="79" xfId="1" applyFont="1" applyFill="1" applyBorder="1" applyAlignment="1" applyProtection="1">
      <alignment horizontal="center" vertical="center"/>
    </xf>
    <xf numFmtId="0" fontId="11" fillId="9" borderId="80" xfId="1" applyFont="1" applyFill="1" applyBorder="1" applyAlignment="1" applyProtection="1">
      <alignment horizontal="center" vertical="center"/>
    </xf>
    <xf numFmtId="0" fontId="11" fillId="9" borderId="81" xfId="1" applyFont="1" applyFill="1" applyBorder="1" applyAlignment="1" applyProtection="1">
      <alignment horizontal="center" vertical="center"/>
    </xf>
    <xf numFmtId="0" fontId="11" fillId="10" borderId="6" xfId="1" applyFont="1" applyFill="1" applyBorder="1" applyAlignment="1" applyProtection="1">
      <alignment horizontal="right" vertical="center"/>
    </xf>
    <xf numFmtId="0" fontId="14" fillId="10" borderId="6" xfId="1" applyFont="1" applyFill="1" applyBorder="1" applyAlignment="1" applyProtection="1">
      <alignment vertical="center"/>
    </xf>
    <xf numFmtId="0" fontId="11" fillId="10" borderId="6" xfId="1" applyFont="1" applyFill="1" applyBorder="1" applyAlignment="1" applyProtection="1">
      <alignment horizontal="center" vertical="center"/>
    </xf>
    <xf numFmtId="0" fontId="27" fillId="3" borderId="6" xfId="1" applyFont="1" applyFill="1" applyBorder="1" applyAlignment="1" applyProtection="1">
      <alignment horizontal="right" vertical="center"/>
    </xf>
    <xf numFmtId="0" fontId="27" fillId="3" borderId="6" xfId="1" applyFont="1" applyFill="1" applyBorder="1" applyAlignment="1" applyProtection="1">
      <alignment vertical="center"/>
    </xf>
    <xf numFmtId="0" fontId="27" fillId="3" borderId="6" xfId="1" applyFont="1" applyFill="1" applyBorder="1" applyAlignment="1" applyProtection="1">
      <alignment horizontal="center" vertical="center"/>
    </xf>
    <xf numFmtId="0" fontId="11" fillId="3" borderId="8" xfId="1" applyFont="1" applyFill="1" applyBorder="1" applyAlignment="1" applyProtection="1">
      <alignment horizontal="right" vertical="center"/>
    </xf>
    <xf numFmtId="0" fontId="14" fillId="3" borderId="8" xfId="1" applyFont="1" applyFill="1" applyBorder="1" applyAlignment="1" applyProtection="1">
      <alignment vertical="center"/>
    </xf>
    <xf numFmtId="0" fontId="11" fillId="3" borderId="8" xfId="1" applyFont="1" applyFill="1" applyBorder="1" applyAlignment="1" applyProtection="1">
      <alignment horizontal="center" vertical="center"/>
    </xf>
    <xf numFmtId="0" fontId="11" fillId="3" borderId="82" xfId="1" applyFont="1" applyFill="1" applyBorder="1" applyAlignment="1" applyProtection="1">
      <alignment horizontal="right" vertical="center"/>
    </xf>
    <xf numFmtId="0" fontId="14" fillId="3" borderId="82" xfId="1" applyFont="1" applyFill="1" applyBorder="1" applyAlignment="1" applyProtection="1">
      <alignment vertical="center"/>
    </xf>
    <xf numFmtId="0" fontId="11" fillId="3" borderId="82" xfId="1" applyFont="1" applyFill="1" applyBorder="1" applyAlignment="1" applyProtection="1">
      <alignment horizontal="center" vertical="center"/>
    </xf>
    <xf numFmtId="0" fontId="11" fillId="10" borderId="83" xfId="1" applyFont="1" applyFill="1" applyBorder="1" applyAlignment="1" applyProtection="1">
      <alignment horizontal="right" vertical="center"/>
    </xf>
    <xf numFmtId="0" fontId="14" fillId="10" borderId="84" xfId="1" applyFont="1" applyFill="1" applyBorder="1" applyAlignment="1" applyProtection="1">
      <alignment vertical="center"/>
    </xf>
    <xf numFmtId="0" fontId="11" fillId="10" borderId="84" xfId="1" applyFont="1" applyFill="1" applyBorder="1" applyAlignment="1" applyProtection="1">
      <alignment horizontal="center" vertical="center"/>
    </xf>
    <xf numFmtId="0" fontId="11" fillId="10" borderId="85" xfId="1" applyFont="1" applyFill="1" applyBorder="1" applyAlignment="1" applyProtection="1">
      <alignment horizontal="right" vertical="center"/>
    </xf>
    <xf numFmtId="0" fontId="11" fillId="10" borderId="86" xfId="1" applyFont="1" applyFill="1" applyBorder="1" applyAlignment="1" applyProtection="1">
      <alignment horizontal="right" vertical="center"/>
    </xf>
    <xf numFmtId="0" fontId="14" fillId="10" borderId="12" xfId="1" applyFont="1" applyFill="1" applyBorder="1" applyAlignment="1" applyProtection="1">
      <alignment vertical="center"/>
    </xf>
    <xf numFmtId="0" fontId="11" fillId="10" borderId="12" xfId="1" applyFont="1" applyFill="1" applyBorder="1" applyAlignment="1" applyProtection="1">
      <alignment horizontal="center" vertical="center"/>
    </xf>
    <xf numFmtId="0" fontId="11" fillId="10" borderId="13" xfId="1" applyFont="1" applyFill="1" applyBorder="1" applyAlignment="1" applyProtection="1">
      <alignment horizontal="right" vertical="center"/>
    </xf>
    <xf numFmtId="0" fontId="27" fillId="10" borderId="6" xfId="1" applyFont="1" applyFill="1" applyBorder="1" applyAlignment="1" applyProtection="1">
      <alignment vertical="center"/>
    </xf>
    <xf numFmtId="0" fontId="27" fillId="10" borderId="6" xfId="1" applyFont="1" applyFill="1" applyBorder="1" applyAlignment="1" applyProtection="1">
      <alignment horizontal="center" vertical="center"/>
    </xf>
    <xf numFmtId="0" fontId="27" fillId="10" borderId="6" xfId="1" applyFont="1" applyFill="1" applyBorder="1" applyAlignment="1" applyProtection="1">
      <alignment horizontal="right" vertical="center"/>
    </xf>
    <xf numFmtId="0" fontId="3" fillId="10" borderId="6" xfId="1" applyFont="1" applyFill="1" applyBorder="1" applyAlignment="1" applyProtection="1">
      <alignment vertical="center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 hidden="1"/>
    </xf>
    <xf numFmtId="0" fontId="17" fillId="0" borderId="0" xfId="0" applyFont="1" applyProtection="1">
      <protection locked="0" hidden="1"/>
    </xf>
    <xf numFmtId="0" fontId="19" fillId="0" borderId="0" xfId="0" applyFont="1" applyAlignment="1" applyProtection="1">
      <alignment horizontal="left" vertical="center"/>
      <protection locked="0" hidden="1"/>
    </xf>
    <xf numFmtId="0" fontId="19" fillId="0" borderId="0" xfId="0" applyFont="1" applyAlignment="1" applyProtection="1">
      <alignment horizontal="right" vertical="center"/>
      <protection locked="0" hidden="1"/>
    </xf>
    <xf numFmtId="0" fontId="19" fillId="6" borderId="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7" fillId="0" borderId="20" xfId="0" applyFont="1" applyBorder="1" applyProtection="1"/>
    <xf numFmtId="0" fontId="17" fillId="0" borderId="21" xfId="0" applyFont="1" applyBorder="1" applyProtection="1"/>
    <xf numFmtId="0" fontId="17" fillId="0" borderId="0" xfId="0" applyFont="1" applyBorder="1" applyProtection="1"/>
    <xf numFmtId="0" fontId="19" fillId="0" borderId="0" xfId="0" applyFont="1" applyAlignment="1" applyProtection="1">
      <alignment horizontal="center" vertical="center"/>
    </xf>
    <xf numFmtId="0" fontId="17" fillId="0" borderId="22" xfId="0" applyFont="1" applyBorder="1" applyProtection="1"/>
    <xf numFmtId="0" fontId="17" fillId="0" borderId="0" xfId="0" applyFont="1" applyProtection="1"/>
    <xf numFmtId="0" fontId="17" fillId="0" borderId="24" xfId="0" applyFont="1" applyBorder="1" applyProtection="1"/>
    <xf numFmtId="0" fontId="19" fillId="0" borderId="24" xfId="0" applyFont="1" applyBorder="1" applyAlignment="1" applyProtection="1">
      <alignment horizontal="center" vertical="center"/>
    </xf>
    <xf numFmtId="0" fontId="17" fillId="0" borderId="71" xfId="0" applyFont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4" fillId="2" borderId="0" xfId="0" applyFont="1" applyFill="1" applyBorder="1" applyAlignment="1" applyProtection="1">
      <alignment horizontal="center" vertical="center"/>
    </xf>
    <xf numFmtId="0" fontId="1" fillId="2" borderId="5" xfId="0" applyFont="1" applyFill="1" applyBorder="1" applyProtection="1"/>
    <xf numFmtId="0" fontId="1" fillId="2" borderId="23" xfId="0" applyFont="1" applyFill="1" applyBorder="1" applyProtection="1"/>
    <xf numFmtId="0" fontId="1" fillId="2" borderId="24" xfId="0" applyFont="1" applyFill="1" applyBorder="1" applyProtection="1"/>
    <xf numFmtId="0" fontId="1" fillId="2" borderId="25" xfId="0" applyFont="1" applyFill="1" applyBorder="1" applyProtection="1"/>
    <xf numFmtId="0" fontId="4" fillId="2" borderId="41" xfId="0" applyFont="1" applyFill="1" applyBorder="1" applyAlignment="1" applyProtection="1">
      <alignment horizontal="center" vertical="center"/>
    </xf>
    <xf numFmtId="0" fontId="4" fillId="2" borderId="42" xfId="0" applyFont="1" applyFill="1" applyBorder="1" applyAlignment="1" applyProtection="1">
      <alignment horizontal="center" vertical="center"/>
    </xf>
    <xf numFmtId="0" fontId="4" fillId="2" borderId="43" xfId="0" applyFont="1" applyFill="1" applyBorder="1" applyAlignment="1" applyProtection="1">
      <alignment horizontal="center"/>
    </xf>
    <xf numFmtId="0" fontId="4" fillId="2" borderId="44" xfId="0" applyFont="1" applyFill="1" applyBorder="1" applyAlignment="1" applyProtection="1">
      <alignment horizontal="center" vertical="center"/>
    </xf>
    <xf numFmtId="0" fontId="4" fillId="2" borderId="49" xfId="0" applyFont="1" applyFill="1" applyBorder="1" applyAlignment="1" applyProtection="1">
      <alignment horizontal="center"/>
    </xf>
    <xf numFmtId="0" fontId="4" fillId="2" borderId="53" xfId="0" applyFont="1" applyFill="1" applyBorder="1" applyAlignment="1" applyProtection="1">
      <alignment horizontal="right" vertical="center"/>
    </xf>
    <xf numFmtId="0" fontId="4" fillId="2" borderId="38" xfId="0" applyFont="1" applyFill="1" applyBorder="1" applyAlignment="1" applyProtection="1">
      <alignment horizontal="right" vertical="center"/>
    </xf>
    <xf numFmtId="0" fontId="4" fillId="2" borderId="4" xfId="0" applyFont="1" applyFill="1" applyBorder="1" applyAlignment="1" applyProtection="1">
      <alignment horizontal="right" vertical="center"/>
    </xf>
    <xf numFmtId="0" fontId="4" fillId="2" borderId="23" xfId="0" applyFont="1" applyFill="1" applyBorder="1" applyAlignment="1" applyProtection="1">
      <alignment horizontal="right" vertical="center"/>
    </xf>
    <xf numFmtId="0" fontId="8" fillId="2" borderId="55" xfId="0" applyFont="1" applyFill="1" applyBorder="1" applyAlignment="1" applyProtection="1">
      <alignment horizontal="center" vertical="center"/>
    </xf>
    <xf numFmtId="0" fontId="4" fillId="2" borderId="45" xfId="0" applyFont="1" applyFill="1" applyBorder="1" applyAlignment="1" applyProtection="1">
      <alignment horizontal="center" vertical="center"/>
    </xf>
    <xf numFmtId="0" fontId="4" fillId="2" borderId="56" xfId="0" applyFont="1" applyFill="1" applyBorder="1" applyAlignment="1" applyProtection="1">
      <alignment horizontal="right" vertical="center"/>
    </xf>
    <xf numFmtId="0" fontId="8" fillId="2" borderId="37" xfId="0" applyFont="1" applyFill="1" applyBorder="1" applyAlignment="1" applyProtection="1">
      <alignment horizontal="center" vertical="center"/>
    </xf>
    <xf numFmtId="0" fontId="19" fillId="2" borderId="39" xfId="0" applyFont="1" applyFill="1" applyBorder="1" applyAlignment="1" applyProtection="1">
      <alignment horizontal="right" vertical="center"/>
    </xf>
    <xf numFmtId="0" fontId="8" fillId="2" borderId="0" xfId="0" applyFont="1" applyFill="1" applyBorder="1" applyAlignment="1" applyProtection="1">
      <alignment horizontal="center" vertical="center"/>
    </xf>
    <xf numFmtId="0" fontId="4" fillId="2" borderId="57" xfId="0" applyFont="1" applyFill="1" applyBorder="1" applyAlignment="1" applyProtection="1">
      <alignment horizontal="right" vertical="center"/>
    </xf>
    <xf numFmtId="0" fontId="4" fillId="2" borderId="9" xfId="0" applyFont="1" applyFill="1" applyBorder="1" applyAlignment="1" applyProtection="1">
      <alignment horizontal="center" vertical="center"/>
    </xf>
    <xf numFmtId="0" fontId="8" fillId="2" borderId="45" xfId="0" applyFont="1" applyFill="1" applyBorder="1" applyAlignment="1" applyProtection="1">
      <alignment horizontal="right" vertical="center"/>
    </xf>
    <xf numFmtId="0" fontId="8" fillId="2" borderId="68" xfId="0" applyFont="1" applyFill="1" applyBorder="1" applyAlignment="1" applyProtection="1">
      <alignment horizontal="right" vertical="center"/>
    </xf>
    <xf numFmtId="0" fontId="25" fillId="2" borderId="4" xfId="0" applyFont="1" applyFill="1" applyBorder="1" applyAlignment="1" applyProtection="1">
      <alignment vertical="center"/>
    </xf>
    <xf numFmtId="0" fontId="25" fillId="2" borderId="0" xfId="0" applyFont="1" applyFill="1" applyBorder="1" applyAlignment="1" applyProtection="1">
      <alignment vertical="center"/>
    </xf>
    <xf numFmtId="0" fontId="22" fillId="2" borderId="0" xfId="0" applyFont="1" applyFill="1" applyBorder="1" applyAlignment="1" applyProtection="1">
      <alignment horizontal="right" vertical="center"/>
    </xf>
    <xf numFmtId="0" fontId="11" fillId="10" borderId="0" xfId="1" applyFont="1" applyFill="1" applyAlignment="1" applyProtection="1">
      <alignment horizontal="center" vertical="center"/>
    </xf>
    <xf numFmtId="0" fontId="3" fillId="3" borderId="6" xfId="1" applyFont="1" applyFill="1" applyBorder="1" applyAlignment="1" applyProtection="1">
      <alignment vertical="center"/>
    </xf>
    <xf numFmtId="0" fontId="17" fillId="5" borderId="34" xfId="0" applyFont="1" applyFill="1" applyBorder="1" applyProtection="1">
      <protection locked="0"/>
    </xf>
    <xf numFmtId="0" fontId="17" fillId="5" borderId="32" xfId="0" applyFont="1" applyFill="1" applyBorder="1" applyProtection="1">
      <protection locked="0"/>
    </xf>
    <xf numFmtId="0" fontId="17" fillId="5" borderId="35" xfId="0" applyFont="1" applyFill="1" applyBorder="1" applyProtection="1">
      <protection locked="0"/>
    </xf>
    <xf numFmtId="0" fontId="23" fillId="2" borderId="74" xfId="0" applyFont="1" applyFill="1" applyBorder="1" applyAlignment="1" applyProtection="1">
      <alignment horizontal="center" vertical="center"/>
    </xf>
    <xf numFmtId="0" fontId="23" fillId="2" borderId="75" xfId="0" applyFont="1" applyFill="1" applyBorder="1" applyAlignment="1" applyProtection="1">
      <alignment horizontal="center" vertical="center"/>
    </xf>
    <xf numFmtId="0" fontId="23" fillId="2" borderId="76" xfId="0" applyFont="1" applyFill="1" applyBorder="1" applyAlignment="1" applyProtection="1">
      <alignment horizontal="center" vertical="center"/>
    </xf>
    <xf numFmtId="0" fontId="19" fillId="2" borderId="77" xfId="0" applyFont="1" applyFill="1" applyBorder="1" applyAlignment="1" applyProtection="1">
      <alignment horizontal="left" vertical="center"/>
    </xf>
    <xf numFmtId="0" fontId="19" fillId="2" borderId="75" xfId="0" applyFont="1" applyFill="1" applyBorder="1" applyAlignment="1" applyProtection="1">
      <alignment horizontal="left" vertical="center"/>
    </xf>
    <xf numFmtId="0" fontId="19" fillId="2" borderId="76" xfId="0" applyFont="1" applyFill="1" applyBorder="1" applyAlignment="1" applyProtection="1">
      <alignment horizontal="left" vertical="center"/>
    </xf>
    <xf numFmtId="0" fontId="23" fillId="5" borderId="77" xfId="0" applyFont="1" applyFill="1" applyBorder="1" applyAlignment="1" applyProtection="1">
      <alignment horizontal="center" vertical="center"/>
      <protection locked="0"/>
    </xf>
    <xf numFmtId="0" fontId="23" fillId="5" borderId="75" xfId="0" applyFont="1" applyFill="1" applyBorder="1" applyAlignment="1" applyProtection="1">
      <alignment horizontal="center" vertical="center"/>
      <protection locked="0"/>
    </xf>
    <xf numFmtId="0" fontId="23" fillId="5" borderId="78" xfId="0" applyFont="1" applyFill="1" applyBorder="1" applyAlignment="1" applyProtection="1">
      <alignment horizontal="center" vertical="center"/>
      <protection locked="0"/>
    </xf>
    <xf numFmtId="0" fontId="19" fillId="2" borderId="31" xfId="0" applyFont="1" applyFill="1" applyBorder="1" applyAlignment="1" applyProtection="1">
      <alignment horizontal="left" vertical="center"/>
    </xf>
    <xf numFmtId="0" fontId="19" fillId="2" borderId="32" xfId="0" applyFont="1" applyFill="1" applyBorder="1" applyAlignment="1" applyProtection="1">
      <alignment horizontal="left" vertical="center"/>
    </xf>
    <xf numFmtId="0" fontId="19" fillId="2" borderId="33" xfId="0" applyFont="1" applyFill="1" applyBorder="1" applyAlignment="1" applyProtection="1">
      <alignment horizontal="left" vertical="center"/>
    </xf>
    <xf numFmtId="0" fontId="17" fillId="5" borderId="33" xfId="0" applyFont="1" applyFill="1" applyBorder="1" applyProtection="1">
      <protection locked="0"/>
    </xf>
    <xf numFmtId="0" fontId="19" fillId="2" borderId="34" xfId="0" applyFont="1" applyFill="1" applyBorder="1" applyAlignment="1" applyProtection="1">
      <alignment horizontal="left" vertical="center"/>
    </xf>
    <xf numFmtId="0" fontId="19" fillId="2" borderId="72" xfId="0" applyFont="1" applyFill="1" applyBorder="1" applyAlignment="1" applyProtection="1">
      <alignment horizontal="left" vertical="center"/>
    </xf>
    <xf numFmtId="0" fontId="19" fillId="2" borderId="51" xfId="0" applyFont="1" applyFill="1" applyBorder="1" applyAlignment="1" applyProtection="1">
      <alignment horizontal="left" vertical="center"/>
    </xf>
    <xf numFmtId="0" fontId="19" fillId="2" borderId="52" xfId="0" applyFont="1" applyFill="1" applyBorder="1" applyAlignment="1" applyProtection="1">
      <alignment horizontal="left" vertical="center"/>
    </xf>
    <xf numFmtId="0" fontId="17" fillId="5" borderId="50" xfId="0" applyFont="1" applyFill="1" applyBorder="1" applyProtection="1">
      <protection locked="0"/>
    </xf>
    <xf numFmtId="0" fontId="17" fillId="5" borderId="51" xfId="0" applyFont="1" applyFill="1" applyBorder="1" applyProtection="1">
      <protection locked="0"/>
    </xf>
    <xf numFmtId="0" fontId="17" fillId="5" borderId="52" xfId="0" applyFont="1" applyFill="1" applyBorder="1" applyProtection="1">
      <protection locked="0"/>
    </xf>
    <xf numFmtId="0" fontId="23" fillId="2" borderId="50" xfId="0" applyFont="1" applyFill="1" applyBorder="1" applyAlignment="1" applyProtection="1">
      <alignment horizontal="left" vertical="center"/>
    </xf>
    <xf numFmtId="0" fontId="23" fillId="2" borderId="51" xfId="0" applyFont="1" applyFill="1" applyBorder="1" applyAlignment="1" applyProtection="1">
      <alignment horizontal="left" vertical="center"/>
    </xf>
    <xf numFmtId="0" fontId="23" fillId="2" borderId="52" xfId="0" applyFont="1" applyFill="1" applyBorder="1" applyAlignment="1" applyProtection="1">
      <alignment horizontal="left" vertical="center"/>
    </xf>
    <xf numFmtId="0" fontId="17" fillId="5" borderId="73" xfId="0" applyFont="1" applyFill="1" applyBorder="1" applyProtection="1">
      <protection locked="0"/>
    </xf>
    <xf numFmtId="0" fontId="23" fillId="2" borderId="4" xfId="0" applyFont="1" applyFill="1" applyBorder="1" applyAlignment="1" applyProtection="1">
      <alignment horizontal="center" vertical="center"/>
    </xf>
    <xf numFmtId="0" fontId="23" fillId="2" borderId="0" xfId="0" applyFont="1" applyFill="1" applyBorder="1" applyAlignment="1" applyProtection="1">
      <alignment horizontal="center" vertical="center"/>
    </xf>
    <xf numFmtId="0" fontId="23" fillId="2" borderId="5" xfId="0" applyFont="1" applyFill="1" applyBorder="1" applyAlignment="1" applyProtection="1">
      <alignment horizontal="center" vertical="center"/>
    </xf>
    <xf numFmtId="0" fontId="19" fillId="3" borderId="4" xfId="0" applyFont="1" applyFill="1" applyBorder="1" applyAlignment="1" applyProtection="1">
      <alignment horizontal="center" vertical="center" wrapText="1"/>
      <protection locked="0"/>
    </xf>
    <xf numFmtId="0" fontId="19" fillId="3" borderId="0" xfId="0" applyFont="1" applyFill="1" applyBorder="1" applyAlignment="1" applyProtection="1">
      <alignment horizontal="center" vertical="center" wrapText="1"/>
      <protection locked="0"/>
    </xf>
    <xf numFmtId="0" fontId="19" fillId="3" borderId="5" xfId="0" applyFont="1" applyFill="1" applyBorder="1" applyAlignment="1" applyProtection="1">
      <alignment horizontal="center" vertical="center" wrapText="1"/>
      <protection locked="0"/>
    </xf>
    <xf numFmtId="0" fontId="23" fillId="2" borderId="26" xfId="0" applyFont="1" applyFill="1" applyBorder="1" applyAlignment="1" applyProtection="1">
      <alignment horizontal="center" vertical="center"/>
    </xf>
    <xf numFmtId="0" fontId="23" fillId="2" borderId="27" xfId="0" applyFont="1" applyFill="1" applyBorder="1" applyAlignment="1" applyProtection="1">
      <alignment horizontal="center" vertical="center"/>
    </xf>
    <xf numFmtId="0" fontId="23" fillId="2" borderId="30" xfId="0" applyFont="1" applyFill="1" applyBorder="1" applyAlignment="1" applyProtection="1">
      <alignment horizontal="center" vertical="center"/>
    </xf>
    <xf numFmtId="0" fontId="23" fillId="2" borderId="60" xfId="0" applyFont="1" applyFill="1" applyBorder="1" applyAlignment="1" applyProtection="1">
      <alignment horizontal="center" vertical="center"/>
    </xf>
    <xf numFmtId="0" fontId="23" fillId="2" borderId="61" xfId="0" applyFont="1" applyFill="1" applyBorder="1" applyAlignment="1" applyProtection="1">
      <alignment horizontal="center" vertical="center"/>
    </xf>
    <xf numFmtId="0" fontId="23" fillId="2" borderId="64" xfId="0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right" vertical="center"/>
    </xf>
    <xf numFmtId="0" fontId="19" fillId="2" borderId="11" xfId="0" applyFont="1" applyFill="1" applyBorder="1" applyAlignment="1" applyProtection="1">
      <alignment horizontal="right" vertical="center"/>
    </xf>
    <xf numFmtId="0" fontId="17" fillId="5" borderId="39" xfId="0" applyFont="1" applyFill="1" applyBorder="1" applyAlignment="1" applyProtection="1">
      <alignment horizontal="center"/>
      <protection locked="0"/>
    </xf>
    <xf numFmtId="0" fontId="17" fillId="5" borderId="36" xfId="0" applyFont="1" applyFill="1" applyBorder="1" applyAlignment="1" applyProtection="1">
      <alignment horizontal="center"/>
      <protection locked="0"/>
    </xf>
    <xf numFmtId="0" fontId="17" fillId="5" borderId="37" xfId="0" applyFont="1" applyFill="1" applyBorder="1" applyAlignment="1" applyProtection="1">
      <alignment horizontal="center"/>
      <protection locked="0"/>
    </xf>
    <xf numFmtId="0" fontId="17" fillId="5" borderId="59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/>
      <protection locked="0"/>
    </xf>
    <xf numFmtId="0" fontId="17" fillId="5" borderId="58" xfId="0" applyFont="1" applyFill="1" applyBorder="1" applyAlignment="1" applyProtection="1">
      <alignment horizontal="center"/>
      <protection locked="0"/>
    </xf>
    <xf numFmtId="0" fontId="17" fillId="5" borderId="57" xfId="0" applyFont="1" applyFill="1" applyBorder="1" applyAlignment="1" applyProtection="1">
      <alignment horizontal="center"/>
      <protection locked="0"/>
    </xf>
    <xf numFmtId="0" fontId="17" fillId="5" borderId="24" xfId="0" applyFont="1" applyFill="1" applyBorder="1" applyAlignment="1" applyProtection="1">
      <alignment horizontal="center"/>
      <protection locked="0"/>
    </xf>
    <xf numFmtId="0" fontId="17" fillId="5" borderId="55" xfId="0" applyFont="1" applyFill="1" applyBorder="1" applyAlignment="1" applyProtection="1">
      <alignment horizontal="center"/>
      <protection locked="0"/>
    </xf>
    <xf numFmtId="0" fontId="8" fillId="2" borderId="31" xfId="0" applyFont="1" applyFill="1" applyBorder="1" applyAlignment="1" applyProtection="1">
      <alignment horizontal="right" vertical="center"/>
    </xf>
    <xf numFmtId="0" fontId="8" fillId="2" borderId="32" xfId="0" applyFont="1" applyFill="1" applyBorder="1" applyAlignment="1" applyProtection="1">
      <alignment horizontal="right" vertical="center"/>
    </xf>
    <xf numFmtId="0" fontId="8" fillId="2" borderId="33" xfId="0" applyFont="1" applyFill="1" applyBorder="1" applyAlignment="1" applyProtection="1">
      <alignment horizontal="right" vertical="center"/>
    </xf>
    <xf numFmtId="0" fontId="8" fillId="2" borderId="34" xfId="0" applyFont="1" applyFill="1" applyBorder="1" applyAlignment="1" applyProtection="1">
      <alignment horizontal="right" vertical="center"/>
    </xf>
    <xf numFmtId="0" fontId="1" fillId="2" borderId="33" xfId="0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19" fillId="3" borderId="34" xfId="0" applyFont="1" applyFill="1" applyBorder="1" applyAlignment="1" applyProtection="1">
      <alignment horizontal="center" vertical="center"/>
      <protection locked="0"/>
    </xf>
    <xf numFmtId="0" fontId="19" fillId="3" borderId="35" xfId="0" applyFont="1" applyFill="1" applyBorder="1" applyAlignment="1" applyProtection="1">
      <alignment horizontal="center" vertical="center"/>
      <protection locked="0"/>
    </xf>
    <xf numFmtId="0" fontId="23" fillId="2" borderId="2" xfId="0" applyFont="1" applyFill="1" applyBorder="1" applyAlignment="1" applyProtection="1">
      <alignment horizontal="center" vertical="center"/>
    </xf>
    <xf numFmtId="0" fontId="23" fillId="2" borderId="3" xfId="0" applyFont="1" applyFill="1" applyBorder="1" applyAlignment="1" applyProtection="1">
      <alignment horizontal="center" vertical="center"/>
    </xf>
    <xf numFmtId="0" fontId="17" fillId="2" borderId="14" xfId="0" applyFont="1" applyFill="1" applyBorder="1" applyAlignment="1" applyProtection="1">
      <alignment horizontal="center"/>
    </xf>
    <xf numFmtId="0" fontId="17" fillId="2" borderId="15" xfId="0" applyFont="1" applyFill="1" applyBorder="1" applyAlignment="1" applyProtection="1">
      <alignment horizontal="center"/>
    </xf>
    <xf numFmtId="0" fontId="17" fillId="2" borderId="16" xfId="0" applyFont="1" applyFill="1" applyBorder="1" applyAlignment="1" applyProtection="1">
      <alignment horizontal="center"/>
    </xf>
    <xf numFmtId="0" fontId="17" fillId="2" borderId="5" xfId="0" applyFont="1" applyFill="1" applyBorder="1" applyAlignment="1" applyProtection="1">
      <alignment horizontal="center"/>
    </xf>
    <xf numFmtId="0" fontId="17" fillId="2" borderId="18" xfId="0" applyFont="1" applyFill="1" applyBorder="1" applyAlignment="1" applyProtection="1">
      <alignment horizontal="center"/>
    </xf>
    <xf numFmtId="0" fontId="17" fillId="2" borderId="19" xfId="0" applyFont="1" applyFill="1" applyBorder="1" applyAlignment="1" applyProtection="1">
      <alignment horizontal="center"/>
    </xf>
    <xf numFmtId="0" fontId="8" fillId="2" borderId="65" xfId="0" applyFont="1" applyFill="1" applyBorder="1" applyAlignment="1" applyProtection="1">
      <alignment horizontal="right" vertical="center"/>
    </xf>
    <xf numFmtId="0" fontId="8" fillId="2" borderId="66" xfId="0" applyFont="1" applyFill="1" applyBorder="1" applyAlignment="1" applyProtection="1">
      <alignment horizontal="right" vertical="center"/>
    </xf>
    <xf numFmtId="0" fontId="8" fillId="2" borderId="67" xfId="0" applyFont="1" applyFill="1" applyBorder="1" applyAlignment="1" applyProtection="1">
      <alignment horizontal="right" vertical="center"/>
    </xf>
    <xf numFmtId="0" fontId="8" fillId="2" borderId="69" xfId="0" applyFont="1" applyFill="1" applyBorder="1" applyAlignment="1" applyProtection="1">
      <alignment horizontal="right" vertical="center"/>
    </xf>
    <xf numFmtId="0" fontId="1" fillId="2" borderId="67" xfId="0" applyFont="1" applyFill="1" applyBorder="1" applyProtection="1"/>
    <xf numFmtId="0" fontId="4" fillId="2" borderId="67" xfId="0" applyFont="1" applyFill="1" applyBorder="1" applyAlignment="1" applyProtection="1">
      <alignment horizontal="center" vertical="center"/>
    </xf>
    <xf numFmtId="0" fontId="19" fillId="3" borderId="69" xfId="0" applyFont="1" applyFill="1" applyBorder="1" applyAlignment="1" applyProtection="1">
      <alignment horizontal="center" vertical="center"/>
      <protection locked="0"/>
    </xf>
    <xf numFmtId="0" fontId="19" fillId="3" borderId="70" xfId="0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Border="1" applyAlignment="1" applyProtection="1">
      <alignment horizontal="center" vertical="center"/>
    </xf>
    <xf numFmtId="0" fontId="19" fillId="2" borderId="11" xfId="0" applyFont="1" applyFill="1" applyBorder="1" applyAlignment="1" applyProtection="1">
      <alignment horizontal="center" vertical="center"/>
    </xf>
    <xf numFmtId="0" fontId="19" fillId="2" borderId="17" xfId="0" applyFont="1" applyFill="1" applyBorder="1" applyAlignment="1" applyProtection="1">
      <alignment horizontal="center" vertical="center"/>
    </xf>
    <xf numFmtId="0" fontId="19" fillId="3" borderId="38" xfId="0" applyFont="1" applyFill="1" applyBorder="1" applyAlignment="1" applyProtection="1">
      <alignment horizontal="center" vertical="center" wrapText="1"/>
      <protection locked="0"/>
    </xf>
    <xf numFmtId="0" fontId="19" fillId="3" borderId="36" xfId="0" applyFont="1" applyFill="1" applyBorder="1" applyAlignment="1" applyProtection="1">
      <alignment horizontal="center" vertical="center" wrapText="1"/>
      <protection locked="0"/>
    </xf>
    <xf numFmtId="0" fontId="19" fillId="3" borderId="40" xfId="0" applyFont="1" applyFill="1" applyBorder="1" applyAlignment="1" applyProtection="1">
      <alignment horizontal="center" vertical="center" wrapText="1"/>
      <protection locked="0"/>
    </xf>
    <xf numFmtId="0" fontId="19" fillId="3" borderId="10" xfId="0" applyFont="1" applyFill="1" applyBorder="1" applyAlignment="1" applyProtection="1">
      <alignment horizontal="center" vertical="center" wrapText="1"/>
      <protection locked="0"/>
    </xf>
    <xf numFmtId="0" fontId="19" fillId="3" borderId="11" xfId="0" applyFont="1" applyFill="1" applyBorder="1" applyAlignment="1" applyProtection="1">
      <alignment horizontal="center" vertical="center" wrapText="1"/>
      <protection locked="0"/>
    </xf>
    <xf numFmtId="0" fontId="19" fillId="3" borderId="19" xfId="0" applyFont="1" applyFill="1" applyBorder="1" applyAlignment="1" applyProtection="1">
      <alignment horizontal="center" vertical="center" wrapText="1"/>
      <protection locked="0"/>
    </xf>
    <xf numFmtId="0" fontId="19" fillId="6" borderId="6" xfId="0" applyFont="1" applyFill="1" applyBorder="1" applyAlignment="1" applyProtection="1">
      <alignment horizontal="center" vertical="center"/>
      <protection locked="0"/>
    </xf>
    <xf numFmtId="0" fontId="19" fillId="6" borderId="7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</xf>
    <xf numFmtId="0" fontId="7" fillId="2" borderId="58" xfId="0" applyFont="1" applyFill="1" applyBorder="1" applyAlignment="1" applyProtection="1">
      <alignment horizontal="center" vertical="center"/>
    </xf>
    <xf numFmtId="0" fontId="19" fillId="3" borderId="59" xfId="0" applyFont="1" applyFill="1" applyBorder="1" applyAlignment="1" applyProtection="1">
      <alignment horizontal="center" vertical="center"/>
      <protection locked="0"/>
    </xf>
    <xf numFmtId="0" fontId="17" fillId="3" borderId="58" xfId="0" applyFont="1" applyFill="1" applyBorder="1" applyProtection="1">
      <protection locked="0"/>
    </xf>
    <xf numFmtId="0" fontId="7" fillId="2" borderId="59" xfId="0" applyFont="1" applyFill="1" applyBorder="1" applyAlignment="1" applyProtection="1">
      <alignment horizontal="center" vertical="center"/>
    </xf>
    <xf numFmtId="0" fontId="1" fillId="2" borderId="0" xfId="0" applyFont="1" applyFill="1" applyBorder="1" applyProtection="1"/>
    <xf numFmtId="0" fontId="1" fillId="2" borderId="58" xfId="0" applyFont="1" applyFill="1" applyBorder="1" applyProtection="1"/>
    <xf numFmtId="0" fontId="19" fillId="2" borderId="4" xfId="0" applyFont="1" applyFill="1" applyBorder="1" applyAlignment="1" applyProtection="1">
      <alignment horizontal="right" vertical="center"/>
    </xf>
    <xf numFmtId="0" fontId="23" fillId="2" borderId="1" xfId="0" applyFont="1" applyFill="1" applyBorder="1" applyAlignment="1" applyProtection="1">
      <alignment horizontal="center" vertical="center"/>
    </xf>
    <xf numFmtId="0" fontId="17" fillId="2" borderId="2" xfId="0" applyFont="1" applyFill="1" applyBorder="1" applyProtection="1"/>
    <xf numFmtId="0" fontId="17" fillId="2" borderId="3" xfId="0" applyFont="1" applyFill="1" applyBorder="1" applyProtection="1"/>
    <xf numFmtId="0" fontId="17" fillId="2" borderId="0" xfId="0" applyFont="1" applyFill="1" applyBorder="1" applyAlignment="1" applyProtection="1">
      <alignment horizontal="center"/>
    </xf>
    <xf numFmtId="0" fontId="26" fillId="2" borderId="0" xfId="0" applyFont="1" applyFill="1" applyBorder="1" applyAlignment="1" applyProtection="1">
      <alignment horizontal="right"/>
    </xf>
    <xf numFmtId="0" fontId="25" fillId="2" borderId="0" xfId="0" applyFont="1" applyFill="1" applyBorder="1" applyAlignment="1" applyProtection="1">
      <alignment horizontal="right" vertical="center"/>
    </xf>
    <xf numFmtId="0" fontId="19" fillId="3" borderId="6" xfId="0" applyFont="1" applyFill="1" applyBorder="1" applyAlignment="1" applyProtection="1">
      <alignment horizontal="center" vertical="center"/>
      <protection locked="0"/>
    </xf>
    <xf numFmtId="0" fontId="19" fillId="3" borderId="7" xfId="0" applyFont="1" applyFill="1" applyBorder="1" applyAlignment="1" applyProtection="1">
      <alignment horizontal="center" vertical="center"/>
      <protection locked="0"/>
    </xf>
    <xf numFmtId="0" fontId="7" fillId="2" borderId="60" xfId="0" applyFont="1" applyFill="1" applyBorder="1" applyAlignment="1" applyProtection="1">
      <alignment horizontal="center" vertical="center"/>
    </xf>
    <xf numFmtId="0" fontId="7" fillId="2" borderId="61" xfId="0" applyFont="1" applyFill="1" applyBorder="1" applyAlignment="1" applyProtection="1">
      <alignment horizontal="center" vertical="center"/>
    </xf>
    <xf numFmtId="0" fontId="7" fillId="2" borderId="62" xfId="0" applyFont="1" applyFill="1" applyBorder="1" applyAlignment="1" applyProtection="1">
      <alignment horizontal="center" vertical="center"/>
    </xf>
    <xf numFmtId="0" fontId="7" fillId="2" borderId="63" xfId="0" applyFont="1" applyFill="1" applyBorder="1" applyAlignment="1" applyProtection="1">
      <alignment horizontal="center" vertical="center"/>
    </xf>
    <xf numFmtId="0" fontId="1" fillId="2" borderId="61" xfId="0" applyFont="1" applyFill="1" applyBorder="1" applyProtection="1"/>
    <xf numFmtId="0" fontId="1" fillId="2" borderId="62" xfId="0" applyFont="1" applyFill="1" applyBorder="1" applyProtection="1"/>
    <xf numFmtId="0" fontId="1" fillId="2" borderId="64" xfId="0" applyFont="1" applyFill="1" applyBorder="1" applyProtection="1"/>
    <xf numFmtId="0" fontId="17" fillId="2" borderId="0" xfId="0" applyFont="1" applyFill="1" applyBorder="1" applyProtection="1"/>
    <xf numFmtId="0" fontId="19" fillId="2" borderId="10" xfId="0" applyFont="1" applyFill="1" applyBorder="1" applyAlignment="1" applyProtection="1">
      <alignment horizontal="right" vertical="center"/>
    </xf>
    <xf numFmtId="0" fontId="17" fillId="2" borderId="11" xfId="0" applyFont="1" applyFill="1" applyBorder="1" applyProtection="1"/>
    <xf numFmtId="0" fontId="19" fillId="6" borderId="45" xfId="0" applyFont="1" applyFill="1" applyBorder="1" applyAlignment="1" applyProtection="1">
      <alignment horizontal="center" vertical="center"/>
      <protection locked="0"/>
    </xf>
    <xf numFmtId="0" fontId="4" fillId="2" borderId="54" xfId="0" applyFont="1" applyFill="1" applyBorder="1" applyAlignment="1" applyProtection="1">
      <alignment horizontal="right" vertical="center"/>
    </xf>
    <xf numFmtId="0" fontId="1" fillId="2" borderId="54" xfId="0" applyFont="1" applyFill="1" applyBorder="1" applyProtection="1"/>
    <xf numFmtId="0" fontId="19" fillId="6" borderId="56" xfId="0" applyFont="1" applyFill="1" applyBorder="1" applyAlignment="1" applyProtection="1">
      <alignment horizontal="center" vertical="center"/>
      <protection locked="0"/>
    </xf>
    <xf numFmtId="0" fontId="19" fillId="6" borderId="24" xfId="0" applyFont="1" applyFill="1" applyBorder="1" applyAlignment="1" applyProtection="1">
      <alignment horizontal="right" vertical="center"/>
      <protection locked="0"/>
    </xf>
    <xf numFmtId="0" fontId="19" fillId="6" borderId="24" xfId="0" applyFont="1" applyFill="1" applyBorder="1" applyAlignment="1" applyProtection="1">
      <alignment horizontal="center" vertical="center"/>
      <protection locked="0"/>
    </xf>
    <xf numFmtId="0" fontId="4" fillId="2" borderId="57" xfId="0" applyFont="1" applyFill="1" applyBorder="1" applyAlignment="1" applyProtection="1">
      <alignment horizontal="right" vertical="center"/>
    </xf>
    <xf numFmtId="0" fontId="1" fillId="2" borderId="24" xfId="0" applyFont="1" applyFill="1" applyBorder="1" applyProtection="1"/>
    <xf numFmtId="0" fontId="1" fillId="2" borderId="55" xfId="0" applyFont="1" applyFill="1" applyBorder="1" applyProtection="1"/>
    <xf numFmtId="0" fontId="7" fillId="2" borderId="27" xfId="0" applyFont="1" applyFill="1" applyBorder="1" applyAlignment="1" applyProtection="1">
      <alignment horizontal="center" vertical="center"/>
    </xf>
    <xf numFmtId="0" fontId="1" fillId="2" borderId="27" xfId="0" applyFont="1" applyFill="1" applyBorder="1" applyProtection="1"/>
    <xf numFmtId="0" fontId="1" fillId="2" borderId="20" xfId="0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0" fontId="4" fillId="2" borderId="34" xfId="0" applyFont="1" applyFill="1" applyBorder="1" applyAlignment="1" applyProtection="1">
      <alignment horizontal="left" vertical="center"/>
    </xf>
    <xf numFmtId="0" fontId="1" fillId="2" borderId="32" xfId="0" applyFont="1" applyFill="1" applyBorder="1" applyProtection="1"/>
    <xf numFmtId="0" fontId="17" fillId="3" borderId="33" xfId="0" applyFont="1" applyFill="1" applyBorder="1" applyProtection="1">
      <protection locked="0"/>
    </xf>
    <xf numFmtId="0" fontId="1" fillId="2" borderId="34" xfId="0" applyFont="1" applyFill="1" applyBorder="1" applyProtection="1"/>
    <xf numFmtId="0" fontId="19" fillId="6" borderId="6" xfId="0" applyFont="1" applyFill="1" applyBorder="1" applyAlignment="1" applyProtection="1">
      <alignment horizontal="center"/>
      <protection locked="0"/>
    </xf>
    <xf numFmtId="0" fontId="19" fillId="6" borderId="7" xfId="0" applyFont="1" applyFill="1" applyBorder="1" applyAlignment="1" applyProtection="1">
      <alignment horizontal="center"/>
      <protection locked="0"/>
    </xf>
    <xf numFmtId="0" fontId="4" fillId="2" borderId="50" xfId="0" applyFont="1" applyFill="1" applyBorder="1" applyAlignment="1" applyProtection="1">
      <alignment horizontal="left" vertical="center"/>
    </xf>
    <xf numFmtId="0" fontId="1" fillId="2" borderId="51" xfId="0" applyFont="1" applyFill="1" applyBorder="1" applyProtection="1"/>
    <xf numFmtId="0" fontId="1" fillId="2" borderId="52" xfId="0" applyFont="1" applyFill="1" applyBorder="1" applyProtection="1"/>
    <xf numFmtId="0" fontId="19" fillId="3" borderId="50" xfId="0" applyFont="1" applyFill="1" applyBorder="1" applyAlignment="1" applyProtection="1">
      <alignment horizontal="center" vertical="center"/>
      <protection locked="0"/>
    </xf>
    <xf numFmtId="0" fontId="17" fillId="3" borderId="52" xfId="0" applyFont="1" applyFill="1" applyBorder="1" applyProtection="1">
      <protection locked="0"/>
    </xf>
    <xf numFmtId="0" fontId="1" fillId="2" borderId="50" xfId="0" applyFont="1" applyFill="1" applyBorder="1" applyProtection="1"/>
    <xf numFmtId="0" fontId="26" fillId="2" borderId="4" xfId="0" applyFont="1" applyFill="1" applyBorder="1" applyAlignment="1" applyProtection="1">
      <alignment horizontal="right" vertical="center"/>
    </xf>
    <xf numFmtId="0" fontId="26" fillId="2" borderId="0" xfId="0" applyFont="1" applyFill="1" applyBorder="1" applyAlignment="1" applyProtection="1">
      <alignment horizontal="right" vertical="center"/>
    </xf>
    <xf numFmtId="0" fontId="19" fillId="6" borderId="53" xfId="0" applyFont="1" applyFill="1" applyBorder="1" applyAlignment="1" applyProtection="1">
      <alignment horizontal="center" vertical="center"/>
      <protection locked="0"/>
    </xf>
    <xf numFmtId="0" fontId="19" fillId="6" borderId="0" xfId="0" applyFont="1" applyFill="1" applyBorder="1" applyAlignment="1" applyProtection="1">
      <alignment horizontal="right" vertical="center"/>
      <protection locked="0"/>
    </xf>
    <xf numFmtId="0" fontId="19" fillId="6" borderId="0" xfId="0" applyFont="1" applyFill="1" applyBorder="1" applyAlignment="1" applyProtection="1">
      <alignment horizontal="center" vertical="center"/>
      <protection locked="0"/>
    </xf>
    <xf numFmtId="0" fontId="4" fillId="2" borderId="39" xfId="0" applyFont="1" applyFill="1" applyBorder="1" applyAlignment="1" applyProtection="1">
      <alignment horizontal="right" vertical="center"/>
    </xf>
    <xf numFmtId="0" fontId="1" fillId="2" borderId="36" xfId="0" applyFont="1" applyFill="1" applyBorder="1" applyProtection="1"/>
    <xf numFmtId="0" fontId="4" fillId="2" borderId="6" xfId="0" applyFont="1" applyFill="1" applyBorder="1" applyAlignment="1" applyProtection="1">
      <alignment horizontal="right" vertical="center"/>
    </xf>
    <xf numFmtId="0" fontId="1" fillId="2" borderId="6" xfId="0" applyFont="1" applyFill="1" applyBorder="1" applyProtection="1"/>
    <xf numFmtId="0" fontId="4" fillId="2" borderId="42" xfId="0" applyFont="1" applyFill="1" applyBorder="1" applyAlignment="1" applyProtection="1">
      <alignment horizontal="center" vertical="center"/>
    </xf>
    <xf numFmtId="0" fontId="4" fillId="2" borderId="43" xfId="0" applyFont="1" applyFill="1" applyBorder="1" applyAlignment="1" applyProtection="1">
      <alignment horizontal="center" vertical="center"/>
    </xf>
    <xf numFmtId="0" fontId="4" fillId="2" borderId="44" xfId="0" applyFont="1" applyFill="1" applyBorder="1" applyAlignment="1" applyProtection="1">
      <alignment horizontal="center" vertical="center"/>
    </xf>
    <xf numFmtId="0" fontId="4" fillId="2" borderId="45" xfId="0" applyFont="1" applyFill="1" applyBorder="1" applyAlignment="1" applyProtection="1">
      <alignment horizontal="left" vertical="center"/>
    </xf>
    <xf numFmtId="0" fontId="1" fillId="2" borderId="45" xfId="0" applyFont="1" applyFill="1" applyBorder="1" applyProtection="1"/>
    <xf numFmtId="0" fontId="19" fillId="3" borderId="32" xfId="0" applyFont="1" applyFill="1" applyBorder="1" applyAlignment="1" applyProtection="1">
      <alignment horizontal="center" vertical="center"/>
      <protection locked="0"/>
    </xf>
    <xf numFmtId="0" fontId="4" fillId="2" borderId="46" xfId="0" applyFont="1" applyFill="1" applyBorder="1" applyAlignment="1" applyProtection="1">
      <alignment horizontal="left" vertical="center"/>
    </xf>
    <xf numFmtId="0" fontId="1" fillId="2" borderId="47" xfId="0" applyFont="1" applyFill="1" applyBorder="1" applyProtection="1"/>
    <xf numFmtId="0" fontId="1" fillId="2" borderId="48" xfId="0" applyFont="1" applyFill="1" applyBorder="1" applyProtection="1"/>
    <xf numFmtId="0" fontId="8" fillId="2" borderId="34" xfId="0" applyFont="1" applyFill="1" applyBorder="1" applyAlignment="1" applyProtection="1">
      <alignment horizontal="left" vertical="center"/>
    </xf>
    <xf numFmtId="0" fontId="19" fillId="2" borderId="4" xfId="0" applyFont="1" applyFill="1" applyBorder="1" applyAlignment="1" applyProtection="1">
      <alignment horizontal="center" vertical="center"/>
    </xf>
    <xf numFmtId="0" fontId="19" fillId="2" borderId="87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right" vertical="center"/>
    </xf>
    <xf numFmtId="0" fontId="19" fillId="2" borderId="87" xfId="0" applyFont="1" applyFill="1" applyBorder="1" applyAlignment="1" applyProtection="1">
      <alignment horizontal="right" vertical="center"/>
    </xf>
    <xf numFmtId="0" fontId="7" fillId="2" borderId="26" xfId="0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horizontal="center" vertical="center"/>
    </xf>
    <xf numFmtId="0" fontId="25" fillId="2" borderId="0" xfId="0" applyFont="1" applyFill="1" applyBorder="1" applyAlignment="1" applyProtection="1">
      <alignment horizontal="center" vertical="center"/>
    </xf>
    <xf numFmtId="0" fontId="9" fillId="2" borderId="46" xfId="0" applyFont="1" applyFill="1" applyBorder="1" applyAlignment="1" applyProtection="1">
      <alignment horizontal="left" vertical="center"/>
    </xf>
    <xf numFmtId="0" fontId="9" fillId="2" borderId="47" xfId="0" applyFont="1" applyFill="1" applyBorder="1" applyProtection="1"/>
    <xf numFmtId="0" fontId="9" fillId="2" borderId="48" xfId="0" applyFont="1" applyFill="1" applyBorder="1" applyProtection="1"/>
    <xf numFmtId="0" fontId="19" fillId="2" borderId="5" xfId="0" applyFont="1" applyFill="1" applyBorder="1" applyAlignment="1" applyProtection="1">
      <alignment horizontal="center" vertical="center"/>
    </xf>
    <xf numFmtId="0" fontId="8" fillId="2" borderId="39" xfId="0" applyFont="1" applyFill="1" applyBorder="1" applyAlignment="1" applyProtection="1">
      <alignment horizontal="left" vertical="center"/>
    </xf>
    <xf numFmtId="0" fontId="1" fillId="2" borderId="37" xfId="0" applyFont="1" applyFill="1" applyBorder="1" applyProtection="1"/>
    <xf numFmtId="0" fontId="9" fillId="2" borderId="45" xfId="0" applyFont="1" applyFill="1" applyBorder="1" applyAlignment="1" applyProtection="1">
      <alignment horizontal="left" vertical="center"/>
    </xf>
    <xf numFmtId="0" fontId="9" fillId="2" borderId="45" xfId="0" applyFont="1" applyFill="1" applyBorder="1" applyProtection="1"/>
    <xf numFmtId="0" fontId="19" fillId="3" borderId="33" xfId="0" applyFont="1" applyFill="1" applyBorder="1" applyAlignment="1" applyProtection="1">
      <alignment horizontal="center" vertical="center"/>
      <protection locked="0"/>
    </xf>
    <xf numFmtId="0" fontId="4" fillId="2" borderId="39" xfId="0" applyFont="1" applyFill="1" applyBorder="1" applyAlignment="1" applyProtection="1">
      <alignment horizontal="left" vertical="center"/>
    </xf>
    <xf numFmtId="0" fontId="17" fillId="5" borderId="6" xfId="0" applyFont="1" applyFill="1" applyBorder="1" applyProtection="1">
      <protection locked="0"/>
    </xf>
    <xf numFmtId="0" fontId="17" fillId="5" borderId="7" xfId="0" applyFont="1" applyFill="1" applyBorder="1" applyProtection="1">
      <protection locked="0"/>
    </xf>
    <xf numFmtId="0" fontId="17" fillId="5" borderId="8" xfId="0" applyFont="1" applyFill="1" applyBorder="1" applyProtection="1">
      <protection locked="0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left" vertical="center"/>
    </xf>
    <xf numFmtId="0" fontId="4" fillId="2" borderId="4" xfId="0" applyFont="1" applyFill="1" applyBorder="1" applyAlignment="1" applyProtection="1">
      <alignment horizontal="center" vertical="center"/>
    </xf>
    <xf numFmtId="0" fontId="19" fillId="3" borderId="34" xfId="0" applyFont="1" applyFill="1" applyBorder="1" applyAlignment="1" applyProtection="1">
      <alignment horizontal="left" vertical="center"/>
      <protection locked="0"/>
    </xf>
    <xf numFmtId="0" fontId="17" fillId="3" borderId="33" xfId="0" applyFont="1" applyFill="1" applyBorder="1" applyAlignment="1" applyProtection="1">
      <alignment horizontal="left"/>
      <protection locked="0"/>
    </xf>
    <xf numFmtId="0" fontId="4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14" fontId="24" fillId="3" borderId="39" xfId="0" applyNumberFormat="1" applyFont="1" applyFill="1" applyBorder="1" applyAlignment="1" applyProtection="1">
      <alignment horizontal="center" vertical="center"/>
      <protection locked="0"/>
    </xf>
    <xf numFmtId="0" fontId="24" fillId="3" borderId="36" xfId="0" applyFont="1" applyFill="1" applyBorder="1" applyAlignment="1" applyProtection="1">
      <alignment horizontal="center"/>
      <protection locked="0"/>
    </xf>
    <xf numFmtId="0" fontId="24" fillId="3" borderId="37" xfId="0" applyFont="1" applyFill="1" applyBorder="1" applyAlignment="1" applyProtection="1">
      <alignment horizontal="center"/>
      <protection locked="0"/>
    </xf>
    <xf numFmtId="0" fontId="19" fillId="3" borderId="39" xfId="0" applyFont="1" applyFill="1" applyBorder="1" applyAlignment="1" applyProtection="1">
      <alignment horizontal="center" vertical="center"/>
      <protection locked="0"/>
    </xf>
    <xf numFmtId="0" fontId="19" fillId="3" borderId="36" xfId="0" applyFont="1" applyFill="1" applyBorder="1" applyAlignment="1" applyProtection="1">
      <alignment horizontal="center" vertical="center"/>
      <protection locked="0"/>
    </xf>
    <xf numFmtId="0" fontId="19" fillId="3" borderId="37" xfId="0" applyFont="1" applyFill="1" applyBorder="1" applyAlignment="1" applyProtection="1">
      <alignment horizontal="center" vertical="center"/>
      <protection locked="0"/>
    </xf>
    <xf numFmtId="0" fontId="4" fillId="2" borderId="36" xfId="0" applyFont="1" applyFill="1" applyBorder="1" applyAlignment="1" applyProtection="1">
      <alignment horizontal="left" vertical="center"/>
    </xf>
    <xf numFmtId="0" fontId="19" fillId="3" borderId="39" xfId="0" applyFont="1" applyFill="1" applyBorder="1" applyAlignment="1" applyProtection="1">
      <alignment horizontal="left" vertical="center"/>
      <protection locked="0"/>
    </xf>
    <xf numFmtId="0" fontId="17" fillId="3" borderId="37" xfId="0" applyFont="1" applyFill="1" applyBorder="1" applyAlignment="1" applyProtection="1">
      <alignment horizontal="left"/>
      <protection locked="0"/>
    </xf>
    <xf numFmtId="0" fontId="17" fillId="3" borderId="40" xfId="0" applyFont="1" applyFill="1" applyBorder="1" applyAlignment="1" applyProtection="1">
      <alignment horizontal="left"/>
      <protection locked="0"/>
    </xf>
    <xf numFmtId="0" fontId="7" fillId="2" borderId="29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 vertical="center"/>
    </xf>
    <xf numFmtId="0" fontId="7" fillId="2" borderId="3" xfId="0" applyFont="1" applyFill="1" applyBorder="1" applyAlignment="1" applyProtection="1">
      <alignment horizontal="center" vertical="center"/>
    </xf>
    <xf numFmtId="0" fontId="4" fillId="2" borderId="38" xfId="0" applyFont="1" applyFill="1" applyBorder="1" applyAlignment="1" applyProtection="1">
      <alignment horizontal="left" vertical="center"/>
    </xf>
    <xf numFmtId="0" fontId="17" fillId="3" borderId="35" xfId="0" applyFont="1" applyFill="1" applyBorder="1" applyAlignment="1" applyProtection="1">
      <alignment horizontal="left"/>
      <protection locked="0"/>
    </xf>
    <xf numFmtId="0" fontId="4" fillId="2" borderId="31" xfId="0" applyFont="1" applyFill="1" applyBorder="1" applyAlignment="1" applyProtection="1">
      <alignment horizontal="left" vertical="center"/>
    </xf>
    <xf numFmtId="0" fontId="17" fillId="3" borderId="32" xfId="0" applyFont="1" applyFill="1" applyBorder="1" applyAlignment="1" applyProtection="1">
      <alignment horizontal="center"/>
      <protection locked="0"/>
    </xf>
    <xf numFmtId="0" fontId="17" fillId="3" borderId="33" xfId="0" applyFont="1" applyFill="1" applyBorder="1" applyAlignment="1" applyProtection="1">
      <alignment horizontal="center"/>
      <protection locked="0"/>
    </xf>
    <xf numFmtId="0" fontId="17" fillId="3" borderId="32" xfId="0" applyFont="1" applyFill="1" applyBorder="1" applyAlignment="1" applyProtection="1">
      <alignment horizontal="center" vertical="center"/>
      <protection locked="0"/>
    </xf>
    <xf numFmtId="0" fontId="17" fillId="3" borderId="36" xfId="0" applyFont="1" applyFill="1" applyBorder="1" applyAlignment="1" applyProtection="1">
      <alignment horizontal="center" vertical="center"/>
      <protection locked="0"/>
    </xf>
    <xf numFmtId="0" fontId="17" fillId="3" borderId="37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</xf>
    <xf numFmtId="0" fontId="22" fillId="0" borderId="0" xfId="0" applyFont="1" applyAlignment="1" applyProtection="1">
      <alignment horizontal="center" vertical="center"/>
      <protection hidden="1"/>
    </xf>
    <xf numFmtId="0" fontId="17" fillId="0" borderId="0" xfId="0" applyFont="1" applyProtection="1">
      <protection hidden="1"/>
    </xf>
    <xf numFmtId="0" fontId="1" fillId="2" borderId="28" xfId="0" applyFont="1" applyFill="1" applyBorder="1" applyProtection="1"/>
    <xf numFmtId="0" fontId="1" fillId="2" borderId="27" xfId="0" applyFont="1" applyFill="1" applyBorder="1" applyAlignment="1" applyProtection="1">
      <alignment horizontal="center"/>
    </xf>
    <xf numFmtId="0" fontId="1" fillId="2" borderId="30" xfId="0" applyFont="1" applyFill="1" applyBorder="1" applyAlignment="1" applyProtection="1">
      <alignment horizontal="center"/>
    </xf>
    <xf numFmtId="0" fontId="17" fillId="3" borderId="33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vertical="center"/>
    </xf>
    <xf numFmtId="0" fontId="18" fillId="0" borderId="20" xfId="0" applyFont="1" applyBorder="1" applyAlignment="1" applyProtection="1">
      <alignment horizontal="center" vertical="center"/>
      <protection hidden="1"/>
    </xf>
    <xf numFmtId="0" fontId="17" fillId="0" borderId="20" xfId="0" applyFont="1" applyBorder="1" applyProtection="1">
      <protection hidden="1"/>
    </xf>
    <xf numFmtId="0" fontId="2" fillId="2" borderId="0" xfId="0" applyFont="1" applyFill="1" applyBorder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5" fillId="2" borderId="0" xfId="0" applyFont="1" applyFill="1" applyBorder="1" applyAlignment="1" applyProtection="1">
      <alignment horizontal="center" vertical="center"/>
    </xf>
    <xf numFmtId="0" fontId="21" fillId="0" borderId="0" xfId="0" applyFont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F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80448</xdr:colOff>
      <xdr:row>0</xdr:row>
      <xdr:rowOff>99392</xdr:rowOff>
    </xdr:from>
    <xdr:to>
      <xdr:col>25</xdr:col>
      <xdr:colOff>194436</xdr:colOff>
      <xdr:row>5</xdr:row>
      <xdr:rowOff>66262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9598" y="99392"/>
          <a:ext cx="1914213" cy="1214645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0</xdr:row>
      <xdr:rowOff>83820</xdr:rowOff>
    </xdr:from>
    <xdr:to>
      <xdr:col>7</xdr:col>
      <xdr:colOff>160020</xdr:colOff>
      <xdr:row>4</xdr:row>
      <xdr:rowOff>121920</xdr:rowOff>
    </xdr:to>
    <xdr:pic>
      <xdr:nvPicPr>
        <xdr:cNvPr id="1029" name="Рисунок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83820"/>
          <a:ext cx="199644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7"/>
  <sheetViews>
    <sheetView showZeros="0" tabSelected="1" zoomScaleNormal="100" zoomScaleSheetLayoutView="100" workbookViewId="0">
      <selection activeCell="A8" sqref="A8:C8"/>
    </sheetView>
  </sheetViews>
  <sheetFormatPr defaultColWidth="8.85546875" defaultRowHeight="15" x14ac:dyDescent="0.25"/>
  <cols>
    <col min="1" max="26" width="3.85546875" style="24" customWidth="1"/>
    <col min="27" max="27" width="9.28515625" style="24" customWidth="1"/>
    <col min="28" max="28" width="65.7109375" style="73" customWidth="1"/>
    <col min="29" max="29" width="13.7109375" style="73" customWidth="1"/>
    <col min="30" max="30" width="9.140625" style="24" customWidth="1"/>
    <col min="31" max="16384" width="8.85546875" style="79"/>
  </cols>
  <sheetData>
    <row r="1" spans="1:33" s="71" customFormat="1" ht="23.25" customHeight="1" x14ac:dyDescent="0.2">
      <c r="A1" s="89"/>
      <c r="B1" s="90"/>
      <c r="C1" s="90"/>
      <c r="D1" s="90"/>
      <c r="E1" s="90"/>
      <c r="F1" s="90"/>
      <c r="G1" s="90"/>
      <c r="H1" s="335" t="s">
        <v>0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90"/>
      <c r="U1" s="90"/>
      <c r="V1" s="90"/>
      <c r="W1" s="90"/>
      <c r="X1" s="90"/>
      <c r="Y1" s="90"/>
      <c r="Z1" s="91"/>
      <c r="AA1" s="80"/>
      <c r="AB1" s="337" t="s">
        <v>1</v>
      </c>
      <c r="AC1" s="338"/>
      <c r="AD1" s="80"/>
      <c r="AE1" s="81"/>
    </row>
    <row r="2" spans="1:33" s="71" customFormat="1" ht="23.25" customHeight="1" x14ac:dyDescent="0.2">
      <c r="A2" s="92"/>
      <c r="B2" s="93"/>
      <c r="C2" s="93"/>
      <c r="D2" s="93"/>
      <c r="E2" s="93"/>
      <c r="F2" s="93"/>
      <c r="G2" s="93"/>
      <c r="H2" s="339" t="s">
        <v>2</v>
      </c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93"/>
      <c r="U2" s="93"/>
      <c r="V2" s="93"/>
      <c r="W2" s="93"/>
      <c r="X2" s="93"/>
      <c r="Y2" s="93"/>
      <c r="Z2" s="94"/>
      <c r="AA2" s="82"/>
      <c r="AB2" s="340" t="s">
        <v>2</v>
      </c>
      <c r="AC2" s="341"/>
      <c r="AD2" s="83"/>
      <c r="AE2" s="84"/>
      <c r="AG2" s="72">
        <f>COUNTBLANK(H38:H42)</f>
        <v>5</v>
      </c>
    </row>
    <row r="3" spans="1:33" s="71" customFormat="1" ht="23.25" customHeight="1" x14ac:dyDescent="0.2">
      <c r="A3" s="92"/>
      <c r="B3" s="93"/>
      <c r="C3" s="93"/>
      <c r="D3" s="93"/>
      <c r="E3" s="93"/>
      <c r="F3" s="93"/>
      <c r="G3" s="93"/>
      <c r="H3" s="339" t="s">
        <v>191</v>
      </c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93"/>
      <c r="U3" s="93"/>
      <c r="V3" s="93"/>
      <c r="W3" s="93"/>
      <c r="X3" s="93"/>
      <c r="Y3" s="93"/>
      <c r="Z3" s="94"/>
      <c r="AA3" s="82"/>
      <c r="AB3" s="340" t="s">
        <v>191</v>
      </c>
      <c r="AC3" s="341"/>
      <c r="AD3" s="83"/>
      <c r="AE3" s="84"/>
      <c r="AG3" s="72">
        <f>COUNTBLANK(K38:K42)</f>
        <v>5</v>
      </c>
    </row>
    <row r="4" spans="1:33" s="71" customFormat="1" ht="14.25" x14ac:dyDescent="0.2">
      <c r="A4" s="92"/>
      <c r="B4" s="93"/>
      <c r="C4" s="93"/>
      <c r="D4" s="93"/>
      <c r="E4" s="93"/>
      <c r="F4" s="93"/>
      <c r="G4" s="93"/>
      <c r="H4" s="342" t="s">
        <v>192</v>
      </c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93"/>
      <c r="U4" s="93"/>
      <c r="V4" s="93"/>
      <c r="W4" s="93"/>
      <c r="X4" s="93"/>
      <c r="Y4" s="93"/>
      <c r="Z4" s="94"/>
      <c r="AA4" s="82"/>
      <c r="AB4" s="343" t="str">
        <f>H4</f>
        <v>Мы благодарим Вас за заказ парашютной системы Fire 1</v>
      </c>
      <c r="AC4" s="341"/>
      <c r="AD4" s="83"/>
      <c r="AE4" s="84"/>
    </row>
    <row r="5" spans="1:33" s="71" customFormat="1" ht="14.25" x14ac:dyDescent="0.2">
      <c r="A5" s="92"/>
      <c r="B5" s="93"/>
      <c r="C5" s="93"/>
      <c r="D5" s="93"/>
      <c r="E5" s="93"/>
      <c r="F5" s="93"/>
      <c r="G5" s="93"/>
      <c r="H5" s="344" t="s">
        <v>4</v>
      </c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  <c r="T5" s="93"/>
      <c r="U5" s="93"/>
      <c r="V5" s="93"/>
      <c r="W5" s="93"/>
      <c r="X5" s="93"/>
      <c r="Y5" s="93"/>
      <c r="Z5" s="94"/>
      <c r="AA5" s="82"/>
      <c r="AB5" s="329" t="str">
        <f>H5</f>
        <v>Пожалуйста, тщательно проверьте введенную информацию:</v>
      </c>
      <c r="AC5" s="341"/>
      <c r="AD5" s="83"/>
      <c r="AE5" s="84"/>
    </row>
    <row r="6" spans="1:33" s="71" customFormat="1" ht="15" customHeight="1" thickBot="1" x14ac:dyDescent="0.25">
      <c r="A6" s="95"/>
      <c r="B6" s="96"/>
      <c r="C6" s="96"/>
      <c r="D6" s="96"/>
      <c r="E6" s="96"/>
      <c r="F6" s="96"/>
      <c r="G6" s="96"/>
      <c r="H6" s="328" t="s">
        <v>5</v>
      </c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96"/>
      <c r="U6" s="96"/>
      <c r="V6" s="96"/>
      <c r="W6" s="96"/>
      <c r="X6" s="96"/>
      <c r="Y6" s="96"/>
      <c r="Z6" s="97"/>
      <c r="AA6" s="82"/>
      <c r="AB6" s="329" t="str">
        <f>H6</f>
        <v>она будет использована при производстве.</v>
      </c>
      <c r="AC6" s="330"/>
      <c r="AD6" s="85"/>
      <c r="AE6" s="84"/>
    </row>
    <row r="7" spans="1:33" s="71" customFormat="1" ht="15" customHeight="1" x14ac:dyDescent="0.2">
      <c r="A7" s="282" t="s">
        <v>6</v>
      </c>
      <c r="B7" s="244"/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331"/>
      <c r="S7" s="316" t="s">
        <v>7</v>
      </c>
      <c r="T7" s="243"/>
      <c r="U7" s="243"/>
      <c r="V7" s="243"/>
      <c r="W7" s="243"/>
      <c r="X7" s="243"/>
      <c r="Y7" s="332" t="s">
        <v>8</v>
      </c>
      <c r="Z7" s="333"/>
      <c r="AA7" s="82"/>
      <c r="AB7" s="1"/>
      <c r="AC7" s="1"/>
      <c r="AD7" s="85"/>
      <c r="AE7" s="84"/>
    </row>
    <row r="8" spans="1:33" s="71" customFormat="1" ht="14.25" x14ac:dyDescent="0.2">
      <c r="A8" s="322" t="s">
        <v>9</v>
      </c>
      <c r="B8" s="248"/>
      <c r="C8" s="176"/>
      <c r="D8" s="178"/>
      <c r="E8" s="323"/>
      <c r="F8" s="323"/>
      <c r="G8" s="323"/>
      <c r="H8" s="323"/>
      <c r="I8" s="323"/>
      <c r="J8" s="323"/>
      <c r="K8" s="324"/>
      <c r="L8" s="247" t="s">
        <v>10</v>
      </c>
      <c r="M8" s="248"/>
      <c r="N8" s="176"/>
      <c r="O8" s="178"/>
      <c r="P8" s="325"/>
      <c r="Q8" s="325"/>
      <c r="R8" s="334"/>
      <c r="S8" s="247" t="s">
        <v>11</v>
      </c>
      <c r="T8" s="176"/>
      <c r="U8" s="302"/>
      <c r="V8" s="303"/>
      <c r="W8" s="247" t="s">
        <v>12</v>
      </c>
      <c r="X8" s="176"/>
      <c r="Y8" s="302"/>
      <c r="Z8" s="321"/>
      <c r="AA8" s="82"/>
      <c r="AB8" s="2"/>
      <c r="AC8" s="2"/>
      <c r="AD8" s="83"/>
      <c r="AE8" s="84"/>
    </row>
    <row r="9" spans="1:33" s="71" customFormat="1" ht="14.25" x14ac:dyDescent="0.2">
      <c r="A9" s="322" t="s">
        <v>13</v>
      </c>
      <c r="B9" s="248"/>
      <c r="C9" s="176"/>
      <c r="D9" s="178"/>
      <c r="E9" s="323"/>
      <c r="F9" s="323"/>
      <c r="G9" s="323"/>
      <c r="H9" s="323"/>
      <c r="I9" s="323"/>
      <c r="J9" s="323"/>
      <c r="K9" s="324"/>
      <c r="L9" s="277" t="s">
        <v>14</v>
      </c>
      <c r="M9" s="248"/>
      <c r="N9" s="176"/>
      <c r="O9" s="178"/>
      <c r="P9" s="325"/>
      <c r="Q9" s="325"/>
      <c r="R9" s="334"/>
      <c r="S9" s="247" t="s">
        <v>15</v>
      </c>
      <c r="T9" s="176"/>
      <c r="U9" s="302"/>
      <c r="V9" s="303"/>
      <c r="W9" s="247" t="s">
        <v>16</v>
      </c>
      <c r="X9" s="176"/>
      <c r="Y9" s="302"/>
      <c r="Z9" s="321"/>
      <c r="AA9" s="82"/>
      <c r="AB9" s="3" t="s">
        <v>17</v>
      </c>
      <c r="AC9" s="3" t="s">
        <v>18</v>
      </c>
      <c r="AD9" s="83"/>
      <c r="AE9" s="84"/>
    </row>
    <row r="10" spans="1:33" s="71" customFormat="1" ht="14.25" x14ac:dyDescent="0.2">
      <c r="A10" s="322" t="s">
        <v>19</v>
      </c>
      <c r="B10" s="248"/>
      <c r="C10" s="176"/>
      <c r="D10" s="178"/>
      <c r="E10" s="323"/>
      <c r="F10" s="323"/>
      <c r="G10" s="323"/>
      <c r="H10" s="323"/>
      <c r="I10" s="323"/>
      <c r="J10" s="323"/>
      <c r="K10" s="324"/>
      <c r="L10" s="247" t="s">
        <v>20</v>
      </c>
      <c r="M10" s="248"/>
      <c r="N10" s="176"/>
      <c r="O10" s="178"/>
      <c r="P10" s="325"/>
      <c r="Q10" s="325"/>
      <c r="R10" s="334"/>
      <c r="S10" s="247" t="s">
        <v>21</v>
      </c>
      <c r="T10" s="176"/>
      <c r="U10" s="302"/>
      <c r="V10" s="303"/>
      <c r="W10" s="247" t="s">
        <v>22</v>
      </c>
      <c r="X10" s="176"/>
      <c r="Y10" s="302"/>
      <c r="Z10" s="321"/>
      <c r="AA10" s="82"/>
      <c r="AB10" s="4" t="str">
        <f>PriceList!F3</f>
        <v>Ранец Fire 1</v>
      </c>
      <c r="AC10" s="5">
        <f>PriceList!G3</f>
        <v>1350</v>
      </c>
      <c r="AD10" s="83"/>
      <c r="AE10" s="84"/>
    </row>
    <row r="11" spans="1:33" s="71" customFormat="1" ht="14.25" x14ac:dyDescent="0.2">
      <c r="A11" s="322" t="s">
        <v>23</v>
      </c>
      <c r="B11" s="248"/>
      <c r="C11" s="176"/>
      <c r="D11" s="178"/>
      <c r="E11" s="323"/>
      <c r="F11" s="323"/>
      <c r="G11" s="323"/>
      <c r="H11" s="323"/>
      <c r="I11" s="323"/>
      <c r="J11" s="323"/>
      <c r="K11" s="324"/>
      <c r="L11" s="247" t="s">
        <v>24</v>
      </c>
      <c r="M11" s="248"/>
      <c r="N11" s="176"/>
      <c r="O11" s="178"/>
      <c r="P11" s="325"/>
      <c r="Q11" s="326"/>
      <c r="R11" s="327"/>
      <c r="S11" s="247" t="s">
        <v>25</v>
      </c>
      <c r="T11" s="176"/>
      <c r="U11" s="302"/>
      <c r="V11" s="303"/>
      <c r="W11" s="277" t="s">
        <v>26</v>
      </c>
      <c r="X11" s="176"/>
      <c r="Y11" s="302"/>
      <c r="Z11" s="321"/>
      <c r="AA11" s="82"/>
      <c r="AB11" s="4" t="str">
        <f>PriceList!F4</f>
        <v>Проверь цвет ПОДВЕСНОЙ</v>
      </c>
      <c r="AC11" s="5">
        <f>PriceList!G4</f>
        <v>0</v>
      </c>
      <c r="AD11" s="83"/>
      <c r="AE11" s="84"/>
    </row>
    <row r="12" spans="1:33" s="71" customFormat="1" ht="15" customHeight="1" thickBot="1" x14ac:dyDescent="0.3">
      <c r="A12" s="320" t="s">
        <v>27</v>
      </c>
      <c r="B12" s="265"/>
      <c r="C12" s="290"/>
      <c r="D12" s="306"/>
      <c r="E12" s="307"/>
      <c r="F12" s="307"/>
      <c r="G12" s="307"/>
      <c r="H12" s="307"/>
      <c r="I12" s="307"/>
      <c r="J12" s="307"/>
      <c r="K12" s="308"/>
      <c r="L12" s="294" t="s">
        <v>28</v>
      </c>
      <c r="M12" s="265"/>
      <c r="N12" s="290"/>
      <c r="O12" s="309"/>
      <c r="P12" s="310"/>
      <c r="Q12" s="309"/>
      <c r="R12" s="311"/>
      <c r="S12" s="312" t="s">
        <v>29</v>
      </c>
      <c r="T12" s="290"/>
      <c r="U12" s="313"/>
      <c r="V12" s="314"/>
      <c r="W12" s="294" t="s">
        <v>30</v>
      </c>
      <c r="X12" s="290"/>
      <c r="Y12" s="313"/>
      <c r="Z12" s="315"/>
      <c r="AA12" s="82"/>
      <c r="AB12" s="4" t="str">
        <f>PriceList!F5</f>
        <v>Проверь цвет ОКАНТОВКИ</v>
      </c>
      <c r="AC12" s="5">
        <f>PriceList!G5</f>
        <v>0</v>
      </c>
      <c r="AD12" s="83"/>
      <c r="AE12" s="84"/>
    </row>
    <row r="13" spans="1:33" s="71" customFormat="1" ht="14.25" x14ac:dyDescent="0.2">
      <c r="A13" s="282" t="s">
        <v>31</v>
      </c>
      <c r="B13" s="243"/>
      <c r="C13" s="243"/>
      <c r="D13" s="243"/>
      <c r="E13" s="283"/>
      <c r="F13" s="316" t="s">
        <v>32</v>
      </c>
      <c r="G13" s="283"/>
      <c r="H13" s="316" t="s">
        <v>33</v>
      </c>
      <c r="I13" s="243"/>
      <c r="J13" s="283"/>
      <c r="K13" s="316" t="s">
        <v>34</v>
      </c>
      <c r="L13" s="243"/>
      <c r="M13" s="243"/>
      <c r="N13" s="317" t="s">
        <v>35</v>
      </c>
      <c r="O13" s="318"/>
      <c r="P13" s="318"/>
      <c r="Q13" s="318"/>
      <c r="R13" s="318"/>
      <c r="S13" s="318"/>
      <c r="T13" s="318"/>
      <c r="U13" s="318"/>
      <c r="V13" s="318"/>
      <c r="W13" s="318"/>
      <c r="X13" s="318"/>
      <c r="Y13" s="318"/>
      <c r="Z13" s="319"/>
      <c r="AA13" s="82"/>
      <c r="AB13" s="4" t="str">
        <f>PriceList!F6</f>
        <v>Без стандартный вышивок</v>
      </c>
      <c r="AC13" s="5">
        <f>PriceList!G6</f>
        <v>0</v>
      </c>
      <c r="AD13" s="83"/>
      <c r="AE13" s="84"/>
    </row>
    <row r="14" spans="1:33" s="71" customFormat="1" ht="14.25" x14ac:dyDescent="0.2">
      <c r="A14" s="98">
        <v>1</v>
      </c>
      <c r="B14" s="247" t="s">
        <v>196</v>
      </c>
      <c r="C14" s="248"/>
      <c r="D14" s="248"/>
      <c r="E14" s="176"/>
      <c r="F14" s="178"/>
      <c r="G14" s="249"/>
      <c r="H14" s="250"/>
      <c r="I14" s="248"/>
      <c r="J14" s="176"/>
      <c r="K14" s="250"/>
      <c r="L14" s="248"/>
      <c r="M14" s="248"/>
      <c r="N14" s="300" t="s">
        <v>36</v>
      </c>
      <c r="O14" s="213"/>
      <c r="P14" s="295"/>
      <c r="Q14" s="295"/>
      <c r="R14" s="304" t="s">
        <v>37</v>
      </c>
      <c r="S14" s="213"/>
      <c r="T14" s="295"/>
      <c r="U14" s="295"/>
      <c r="V14" s="304" t="s">
        <v>16</v>
      </c>
      <c r="W14" s="213"/>
      <c r="X14" s="213"/>
      <c r="Y14" s="295"/>
      <c r="Z14" s="296"/>
      <c r="AA14" s="82"/>
      <c r="AB14" s="4" t="str">
        <f>PriceList!F7</f>
        <v>ИТОГО</v>
      </c>
      <c r="AC14" s="5">
        <f>PriceList!G7</f>
        <v>1350</v>
      </c>
      <c r="AD14" s="83"/>
      <c r="AE14" s="84"/>
    </row>
    <row r="15" spans="1:33" s="71" customFormat="1" ht="15" customHeight="1" x14ac:dyDescent="0.2">
      <c r="A15" s="268">
        <v>2</v>
      </c>
      <c r="B15" s="247" t="s">
        <v>41</v>
      </c>
      <c r="C15" s="248"/>
      <c r="D15" s="248"/>
      <c r="E15" s="176"/>
      <c r="F15" s="178"/>
      <c r="G15" s="249"/>
      <c r="H15" s="250"/>
      <c r="I15" s="248"/>
      <c r="J15" s="176"/>
      <c r="K15" s="250"/>
      <c r="L15" s="248"/>
      <c r="M15" s="248"/>
      <c r="N15" s="300" t="s">
        <v>38</v>
      </c>
      <c r="O15" s="213"/>
      <c r="P15" s="295"/>
      <c r="Q15" s="295"/>
      <c r="R15" s="305" t="s">
        <v>39</v>
      </c>
      <c r="S15" s="213"/>
      <c r="T15" s="295"/>
      <c r="U15" s="295"/>
      <c r="V15" s="305" t="s">
        <v>40</v>
      </c>
      <c r="W15" s="213"/>
      <c r="X15" s="213"/>
      <c r="Y15" s="295"/>
      <c r="Z15" s="296"/>
      <c r="AA15" s="82"/>
      <c r="AB15" s="4" t="str">
        <f>PriceList!F8</f>
        <v/>
      </c>
      <c r="AC15" s="5" t="str">
        <f>PriceList!G8</f>
        <v/>
      </c>
      <c r="AD15" s="83"/>
      <c r="AE15" s="84"/>
    </row>
    <row r="16" spans="1:33" s="71" customFormat="1" ht="15" customHeight="1" thickBot="1" x14ac:dyDescent="0.25">
      <c r="A16" s="269"/>
      <c r="B16" s="247" t="s">
        <v>43</v>
      </c>
      <c r="C16" s="248"/>
      <c r="D16" s="248"/>
      <c r="E16" s="176"/>
      <c r="F16" s="178"/>
      <c r="G16" s="249"/>
      <c r="H16" s="250"/>
      <c r="I16" s="248"/>
      <c r="J16" s="176"/>
      <c r="K16" s="250"/>
      <c r="L16" s="248"/>
      <c r="M16" s="248"/>
      <c r="N16" s="301" t="s">
        <v>42</v>
      </c>
      <c r="O16" s="298"/>
      <c r="P16" s="298"/>
      <c r="Q16" s="298"/>
      <c r="R16" s="298"/>
      <c r="S16" s="298"/>
      <c r="T16" s="297"/>
      <c r="U16" s="297"/>
      <c r="V16" s="298"/>
      <c r="W16" s="298"/>
      <c r="X16" s="298"/>
      <c r="Y16" s="298"/>
      <c r="Z16" s="299"/>
      <c r="AA16" s="82"/>
      <c r="AB16" s="4" t="str">
        <f>PriceList!F9</f>
        <v/>
      </c>
      <c r="AC16" s="5" t="str">
        <f>PriceList!G9</f>
        <v/>
      </c>
      <c r="AD16" s="83"/>
      <c r="AE16" s="84"/>
    </row>
    <row r="17" spans="1:31" s="71" customFormat="1" ht="14.25" x14ac:dyDescent="0.2">
      <c r="A17" s="270"/>
      <c r="B17" s="247" t="s">
        <v>45</v>
      </c>
      <c r="C17" s="248"/>
      <c r="D17" s="248"/>
      <c r="E17" s="176"/>
      <c r="F17" s="178"/>
      <c r="G17" s="249"/>
      <c r="H17" s="250"/>
      <c r="I17" s="248"/>
      <c r="J17" s="176"/>
      <c r="K17" s="250"/>
      <c r="L17" s="248"/>
      <c r="M17" s="248"/>
      <c r="N17" s="216" t="s">
        <v>44</v>
      </c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8"/>
      <c r="AA17" s="82"/>
      <c r="AB17" s="4" t="str">
        <f>PriceList!F10</f>
        <v/>
      </c>
      <c r="AC17" s="5" t="str">
        <f>PriceList!G10</f>
        <v/>
      </c>
      <c r="AD17" s="83"/>
      <c r="AE17" s="84"/>
    </row>
    <row r="18" spans="1:31" s="71" customFormat="1" ht="14.25" x14ac:dyDescent="0.2">
      <c r="A18" s="98">
        <v>3</v>
      </c>
      <c r="B18" s="247" t="s">
        <v>49</v>
      </c>
      <c r="C18" s="248"/>
      <c r="D18" s="248"/>
      <c r="E18" s="176"/>
      <c r="F18" s="178"/>
      <c r="G18" s="293"/>
      <c r="H18" s="250"/>
      <c r="I18" s="248"/>
      <c r="J18" s="176"/>
      <c r="K18" s="250"/>
      <c r="L18" s="248"/>
      <c r="M18" s="248"/>
      <c r="N18" s="215" t="s">
        <v>46</v>
      </c>
      <c r="O18" s="231"/>
      <c r="P18" s="231"/>
      <c r="Q18" s="231"/>
      <c r="R18" s="231"/>
      <c r="S18" s="6"/>
      <c r="T18" s="161" t="s">
        <v>47</v>
      </c>
      <c r="U18" s="231"/>
      <c r="V18" s="231"/>
      <c r="W18" s="9"/>
      <c r="X18" s="161" t="s">
        <v>48</v>
      </c>
      <c r="Y18" s="231"/>
      <c r="Z18" s="10"/>
      <c r="AA18" s="82"/>
      <c r="AB18" s="4" t="str">
        <f>PriceList!F11</f>
        <v/>
      </c>
      <c r="AC18" s="5" t="str">
        <f>PriceList!G11</f>
        <v/>
      </c>
      <c r="AD18" s="83"/>
      <c r="AE18" s="84"/>
    </row>
    <row r="19" spans="1:31" s="71" customFormat="1" ht="14.25" x14ac:dyDescent="0.2">
      <c r="A19" s="99">
        <v>4</v>
      </c>
      <c r="B19" s="294" t="s">
        <v>52</v>
      </c>
      <c r="C19" s="265"/>
      <c r="D19" s="265"/>
      <c r="E19" s="290"/>
      <c r="F19" s="178"/>
      <c r="G19" s="249"/>
      <c r="H19" s="250"/>
      <c r="I19" s="248"/>
      <c r="J19" s="176"/>
      <c r="K19" s="250"/>
      <c r="L19" s="248"/>
      <c r="M19" s="248"/>
      <c r="N19" s="215" t="s">
        <v>50</v>
      </c>
      <c r="O19" s="231"/>
      <c r="P19" s="231"/>
      <c r="Q19" s="231"/>
      <c r="R19" s="231"/>
      <c r="S19" s="6"/>
      <c r="T19" s="161" t="s">
        <v>51</v>
      </c>
      <c r="U19" s="231"/>
      <c r="V19" s="231"/>
      <c r="W19" s="6"/>
      <c r="X19" s="196"/>
      <c r="Y19" s="196"/>
      <c r="Z19" s="288"/>
      <c r="AA19" s="82"/>
      <c r="AB19" s="4" t="str">
        <f>PriceList!F12</f>
        <v/>
      </c>
      <c r="AC19" s="5" t="str">
        <f>PriceList!G12</f>
        <v/>
      </c>
      <c r="AD19" s="83"/>
      <c r="AE19" s="84"/>
    </row>
    <row r="20" spans="1:31" s="71" customFormat="1" ht="14.25" x14ac:dyDescent="0.2">
      <c r="A20" s="98">
        <v>5</v>
      </c>
      <c r="B20" s="271" t="s">
        <v>56</v>
      </c>
      <c r="C20" s="272"/>
      <c r="D20" s="272"/>
      <c r="E20" s="272"/>
      <c r="F20" s="273"/>
      <c r="G20" s="249"/>
      <c r="H20" s="250"/>
      <c r="I20" s="248"/>
      <c r="J20" s="176"/>
      <c r="K20" s="250"/>
      <c r="L20" s="248"/>
      <c r="M20" s="248"/>
      <c r="N20" s="215" t="s">
        <v>53</v>
      </c>
      <c r="O20" s="231"/>
      <c r="P20" s="231"/>
      <c r="Q20" s="231"/>
      <c r="R20" s="231"/>
      <c r="S20" s="6"/>
      <c r="T20" s="161" t="s">
        <v>54</v>
      </c>
      <c r="U20" s="231"/>
      <c r="V20" s="231"/>
      <c r="W20" s="9"/>
      <c r="X20" s="161" t="s">
        <v>55</v>
      </c>
      <c r="Y20" s="231"/>
      <c r="Z20" s="10"/>
      <c r="AA20" s="82"/>
      <c r="AB20" s="4" t="str">
        <f>PriceList!F13</f>
        <v/>
      </c>
      <c r="AC20" s="5" t="str">
        <f>PriceList!G13</f>
        <v/>
      </c>
      <c r="AD20" s="83"/>
      <c r="AE20" s="84"/>
    </row>
    <row r="21" spans="1:31" s="71" customFormat="1" ht="14.25" x14ac:dyDescent="0.2">
      <c r="A21" s="268">
        <v>6</v>
      </c>
      <c r="B21" s="291" t="s">
        <v>197</v>
      </c>
      <c r="C21" s="292"/>
      <c r="D21" s="292"/>
      <c r="E21" s="292"/>
      <c r="F21" s="273"/>
      <c r="G21" s="249"/>
      <c r="H21" s="250"/>
      <c r="I21" s="248"/>
      <c r="J21" s="176"/>
      <c r="K21" s="250"/>
      <c r="L21" s="248"/>
      <c r="M21" s="248"/>
      <c r="N21" s="215" t="s">
        <v>57</v>
      </c>
      <c r="O21" s="231"/>
      <c r="P21" s="231"/>
      <c r="Q21" s="231"/>
      <c r="R21" s="231"/>
      <c r="S21" s="6"/>
      <c r="T21" s="161" t="s">
        <v>58</v>
      </c>
      <c r="U21" s="231"/>
      <c r="V21" s="231"/>
      <c r="W21" s="6"/>
      <c r="X21" s="196"/>
      <c r="Y21" s="196"/>
      <c r="Z21" s="288"/>
      <c r="AA21" s="82"/>
      <c r="AB21" s="4" t="str">
        <f>PriceList!F14</f>
        <v/>
      </c>
      <c r="AC21" s="5" t="str">
        <f>PriceList!G14</f>
        <v/>
      </c>
      <c r="AD21" s="83"/>
      <c r="AE21" s="84"/>
    </row>
    <row r="22" spans="1:31" s="71" customFormat="1" ht="14.25" x14ac:dyDescent="0.2">
      <c r="A22" s="269"/>
      <c r="B22" s="291" t="s">
        <v>198</v>
      </c>
      <c r="C22" s="292"/>
      <c r="D22" s="292"/>
      <c r="E22" s="292"/>
      <c r="F22" s="273"/>
      <c r="G22" s="249"/>
      <c r="H22" s="250"/>
      <c r="I22" s="248"/>
      <c r="J22" s="176"/>
      <c r="K22" s="250"/>
      <c r="L22" s="248"/>
      <c r="M22" s="248"/>
      <c r="N22" s="215" t="s">
        <v>59</v>
      </c>
      <c r="O22" s="231"/>
      <c r="P22" s="231"/>
      <c r="Q22" s="231"/>
      <c r="R22" s="231"/>
      <c r="S22" s="6"/>
      <c r="T22" s="161" t="s">
        <v>60</v>
      </c>
      <c r="U22" s="231"/>
      <c r="V22" s="231"/>
      <c r="W22" s="9"/>
      <c r="X22" s="196"/>
      <c r="Y22" s="196"/>
      <c r="Z22" s="288"/>
      <c r="AA22" s="82"/>
      <c r="AB22" s="4" t="str">
        <f>PriceList!F15</f>
        <v/>
      </c>
      <c r="AC22" s="5" t="str">
        <f>PriceList!G15</f>
        <v/>
      </c>
      <c r="AD22" s="83"/>
      <c r="AE22" s="84"/>
    </row>
    <row r="23" spans="1:31" s="71" customFormat="1" ht="14.25" x14ac:dyDescent="0.2">
      <c r="A23" s="270"/>
      <c r="B23" s="285" t="s">
        <v>199</v>
      </c>
      <c r="C23" s="286"/>
      <c r="D23" s="286"/>
      <c r="E23" s="287"/>
      <c r="F23" s="178"/>
      <c r="G23" s="249"/>
      <c r="H23" s="250"/>
      <c r="I23" s="248"/>
      <c r="J23" s="176"/>
      <c r="K23" s="250"/>
      <c r="L23" s="248"/>
      <c r="M23" s="248"/>
      <c r="N23" s="215" t="s">
        <v>61</v>
      </c>
      <c r="O23" s="231"/>
      <c r="P23" s="231"/>
      <c r="Q23" s="231"/>
      <c r="R23" s="231"/>
      <c r="S23" s="6"/>
      <c r="T23" s="161" t="s">
        <v>62</v>
      </c>
      <c r="U23" s="231"/>
      <c r="V23" s="231"/>
      <c r="W23" s="6"/>
      <c r="X23" s="196"/>
      <c r="Y23" s="196"/>
      <c r="Z23" s="288"/>
      <c r="AA23" s="82"/>
      <c r="AB23" s="4" t="str">
        <f>PriceList!F16</f>
        <v/>
      </c>
      <c r="AC23" s="5" t="str">
        <f>PriceList!G16</f>
        <v/>
      </c>
      <c r="AD23" s="83"/>
      <c r="AE23" s="84"/>
    </row>
    <row r="24" spans="1:31" s="71" customFormat="1" ht="15" customHeight="1" x14ac:dyDescent="0.2">
      <c r="A24" s="98">
        <v>7</v>
      </c>
      <c r="B24" s="247" t="s">
        <v>67</v>
      </c>
      <c r="C24" s="248"/>
      <c r="D24" s="248"/>
      <c r="E24" s="176"/>
      <c r="F24" s="178"/>
      <c r="G24" s="249"/>
      <c r="H24" s="250"/>
      <c r="I24" s="248"/>
      <c r="J24" s="176"/>
      <c r="K24" s="250"/>
      <c r="L24" s="248"/>
      <c r="M24" s="248"/>
      <c r="N24" s="215" t="s">
        <v>63</v>
      </c>
      <c r="O24" s="161"/>
      <c r="P24" s="161"/>
      <c r="Q24" s="161"/>
      <c r="R24" s="161"/>
      <c r="S24" s="9"/>
      <c r="T24" s="161" t="s">
        <v>64</v>
      </c>
      <c r="U24" s="161"/>
      <c r="V24" s="161"/>
      <c r="W24" s="9"/>
      <c r="X24" s="284" t="s">
        <v>65</v>
      </c>
      <c r="Y24" s="284"/>
      <c r="Z24" s="10"/>
      <c r="AA24" s="82"/>
      <c r="AB24" s="4" t="str">
        <f>PriceList!F17</f>
        <v/>
      </c>
      <c r="AC24" s="5" t="str">
        <f>PriceList!G17</f>
        <v/>
      </c>
      <c r="AD24" s="83"/>
      <c r="AE24" s="84"/>
    </row>
    <row r="25" spans="1:31" s="71" customFormat="1" ht="14.25" x14ac:dyDescent="0.2">
      <c r="A25" s="100">
        <v>8</v>
      </c>
      <c r="B25" s="289" t="s">
        <v>69</v>
      </c>
      <c r="C25" s="265"/>
      <c r="D25" s="265"/>
      <c r="E25" s="290"/>
      <c r="F25" s="178"/>
      <c r="G25" s="249"/>
      <c r="H25" s="250"/>
      <c r="I25" s="248"/>
      <c r="J25" s="176"/>
      <c r="K25" s="250"/>
      <c r="L25" s="248"/>
      <c r="M25" s="248"/>
      <c r="N25" s="215" t="s">
        <v>66</v>
      </c>
      <c r="O25" s="231"/>
      <c r="P25" s="231"/>
      <c r="Q25" s="231"/>
      <c r="R25" s="231"/>
      <c r="S25" s="6"/>
      <c r="T25" s="161">
        <v>550</v>
      </c>
      <c r="U25" s="231"/>
      <c r="V25" s="231"/>
      <c r="W25" s="6"/>
      <c r="X25" s="161">
        <v>600</v>
      </c>
      <c r="Y25" s="231"/>
      <c r="Z25" s="7"/>
      <c r="AA25" s="82"/>
      <c r="AB25" s="4" t="str">
        <f>PriceList!F18</f>
        <v/>
      </c>
      <c r="AC25" s="5" t="str">
        <f>PriceList!G18</f>
        <v/>
      </c>
      <c r="AD25" s="83"/>
      <c r="AE25" s="84"/>
    </row>
    <row r="26" spans="1:31" s="71" customFormat="1" ht="14.45" customHeight="1" thickBot="1" x14ac:dyDescent="0.25">
      <c r="A26" s="98">
        <v>9</v>
      </c>
      <c r="B26" s="271" t="s">
        <v>200</v>
      </c>
      <c r="C26" s="272"/>
      <c r="D26" s="272"/>
      <c r="E26" s="272"/>
      <c r="F26" s="273"/>
      <c r="G26" s="249"/>
      <c r="H26" s="250"/>
      <c r="I26" s="248"/>
      <c r="J26" s="176"/>
      <c r="K26" s="250"/>
      <c r="L26" s="248"/>
      <c r="M26" s="248"/>
      <c r="N26" s="278" t="s">
        <v>68</v>
      </c>
      <c r="O26" s="196"/>
      <c r="P26" s="196"/>
      <c r="Q26" s="196"/>
      <c r="R26" s="196"/>
      <c r="S26" s="196"/>
      <c r="T26" s="196"/>
      <c r="U26" s="196"/>
      <c r="V26" s="196"/>
      <c r="W26" s="76"/>
      <c r="X26" s="196"/>
      <c r="Y26" s="196"/>
      <c r="Z26" s="288"/>
      <c r="AA26" s="82"/>
      <c r="AB26" s="4" t="str">
        <f>PriceList!F19</f>
        <v/>
      </c>
      <c r="AC26" s="5" t="str">
        <f>PriceList!G19</f>
        <v/>
      </c>
      <c r="AD26" s="83"/>
      <c r="AE26" s="84"/>
    </row>
    <row r="27" spans="1:31" s="71" customFormat="1" ht="14.25" x14ac:dyDescent="0.2">
      <c r="A27" s="101">
        <v>10</v>
      </c>
      <c r="B27" s="274" t="s">
        <v>73</v>
      </c>
      <c r="C27" s="275"/>
      <c r="D27" s="275"/>
      <c r="E27" s="276"/>
      <c r="F27" s="178"/>
      <c r="G27" s="249"/>
      <c r="H27" s="250"/>
      <c r="I27" s="248"/>
      <c r="J27" s="176"/>
      <c r="K27" s="250"/>
      <c r="L27" s="248"/>
      <c r="M27" s="248"/>
      <c r="N27" s="216" t="s">
        <v>70</v>
      </c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8"/>
      <c r="AA27" s="82"/>
      <c r="AB27" s="4" t="str">
        <f>PriceList!F20</f>
        <v/>
      </c>
      <c r="AC27" s="5" t="str">
        <f>PriceList!G20</f>
        <v/>
      </c>
      <c r="AD27" s="83"/>
      <c r="AE27" s="84"/>
    </row>
    <row r="28" spans="1:31" s="71" customFormat="1" ht="14.45" customHeight="1" x14ac:dyDescent="0.2">
      <c r="A28" s="98">
        <v>11</v>
      </c>
      <c r="B28" s="277" t="s">
        <v>76</v>
      </c>
      <c r="C28" s="248"/>
      <c r="D28" s="248"/>
      <c r="E28" s="176"/>
      <c r="F28" s="178"/>
      <c r="G28" s="249"/>
      <c r="H28" s="250"/>
      <c r="I28" s="248"/>
      <c r="J28" s="176"/>
      <c r="K28" s="250"/>
      <c r="L28" s="248"/>
      <c r="M28" s="248"/>
      <c r="N28" s="215" t="s">
        <v>71</v>
      </c>
      <c r="O28" s="231"/>
      <c r="P28" s="231"/>
      <c r="Q28" s="231"/>
      <c r="R28" s="231"/>
      <c r="S28" s="6"/>
      <c r="T28" s="161" t="s">
        <v>72</v>
      </c>
      <c r="U28" s="231"/>
      <c r="V28" s="231"/>
      <c r="W28" s="6"/>
      <c r="X28" s="219"/>
      <c r="Y28" s="219"/>
      <c r="Z28" s="185"/>
      <c r="AA28" s="82"/>
      <c r="AB28" s="4" t="str">
        <f>PriceList!F21</f>
        <v/>
      </c>
      <c r="AC28" s="5" t="str">
        <f>PriceList!G21</f>
        <v/>
      </c>
      <c r="AD28" s="83"/>
      <c r="AE28" s="84"/>
    </row>
    <row r="29" spans="1:31" s="71" customFormat="1" ht="15" customHeight="1" x14ac:dyDescent="0.2">
      <c r="A29" s="98">
        <v>12</v>
      </c>
      <c r="B29" s="247" t="s">
        <v>79</v>
      </c>
      <c r="C29" s="248"/>
      <c r="D29" s="248"/>
      <c r="E29" s="176"/>
      <c r="F29" s="178"/>
      <c r="G29" s="249"/>
      <c r="H29" s="250"/>
      <c r="I29" s="248"/>
      <c r="J29" s="176"/>
      <c r="K29" s="250"/>
      <c r="L29" s="248"/>
      <c r="M29" s="248"/>
      <c r="N29" s="215" t="s">
        <v>74</v>
      </c>
      <c r="O29" s="231"/>
      <c r="P29" s="231"/>
      <c r="Q29" s="231"/>
      <c r="R29" s="231"/>
      <c r="S29" s="6"/>
      <c r="T29" s="161" t="s">
        <v>75</v>
      </c>
      <c r="U29" s="231"/>
      <c r="V29" s="231"/>
      <c r="W29" s="9"/>
      <c r="X29" s="219"/>
      <c r="Y29" s="219"/>
      <c r="Z29" s="185"/>
      <c r="AA29" s="82"/>
      <c r="AB29" s="4" t="str">
        <f>PriceList!F22</f>
        <v/>
      </c>
      <c r="AC29" s="5" t="str">
        <f>PriceList!G22</f>
        <v/>
      </c>
      <c r="AD29" s="83"/>
      <c r="AE29" s="84"/>
    </row>
    <row r="30" spans="1:31" s="71" customFormat="1" ht="15" customHeight="1" thickBot="1" x14ac:dyDescent="0.25">
      <c r="A30" s="102">
        <v>13</v>
      </c>
      <c r="B30" s="253" t="s">
        <v>81</v>
      </c>
      <c r="C30" s="254"/>
      <c r="D30" s="254"/>
      <c r="E30" s="255"/>
      <c r="F30" s="256"/>
      <c r="G30" s="257"/>
      <c r="H30" s="258"/>
      <c r="I30" s="254"/>
      <c r="J30" s="255"/>
      <c r="K30" s="258"/>
      <c r="L30" s="254"/>
      <c r="M30" s="254"/>
      <c r="N30" s="278" t="s">
        <v>193</v>
      </c>
      <c r="O30" s="196"/>
      <c r="P30" s="196"/>
      <c r="Q30" s="196"/>
      <c r="R30" s="279"/>
      <c r="S30" s="8"/>
      <c r="T30" s="280" t="s">
        <v>194</v>
      </c>
      <c r="U30" s="161"/>
      <c r="V30" s="281"/>
      <c r="W30" s="8"/>
      <c r="X30" s="219"/>
      <c r="Y30" s="219"/>
      <c r="Z30" s="185"/>
      <c r="AA30" s="82"/>
      <c r="AB30" s="4"/>
      <c r="AC30" s="5"/>
      <c r="AD30" s="83"/>
      <c r="AE30" s="84"/>
    </row>
    <row r="31" spans="1:31" s="71" customFormat="1" ht="15" customHeight="1" thickBot="1" x14ac:dyDescent="0.25">
      <c r="A31" s="282" t="s">
        <v>84</v>
      </c>
      <c r="B31" s="243"/>
      <c r="C31" s="243"/>
      <c r="D31" s="243"/>
      <c r="E31" s="243"/>
      <c r="F31" s="243"/>
      <c r="G31" s="243"/>
      <c r="H31" s="283"/>
      <c r="I31" s="243" t="s">
        <v>85</v>
      </c>
      <c r="J31" s="244"/>
      <c r="K31" s="244"/>
      <c r="L31" s="244"/>
      <c r="M31" s="245"/>
      <c r="N31" s="215" t="s">
        <v>77</v>
      </c>
      <c r="O31" s="231"/>
      <c r="P31" s="231"/>
      <c r="Q31" s="231"/>
      <c r="R31" s="231"/>
      <c r="S31" s="8"/>
      <c r="T31" s="161" t="s">
        <v>78</v>
      </c>
      <c r="U31" s="231"/>
      <c r="V31" s="231"/>
      <c r="W31" s="8"/>
      <c r="X31" s="219"/>
      <c r="Y31" s="219"/>
      <c r="Z31" s="185"/>
      <c r="AA31" s="82"/>
      <c r="AB31" s="4" t="str">
        <f>PriceList!F23</f>
        <v/>
      </c>
      <c r="AC31" s="5" t="str">
        <f>PriceList!G23</f>
        <v/>
      </c>
      <c r="AD31" s="83"/>
      <c r="AE31" s="84"/>
    </row>
    <row r="32" spans="1:31" s="71" customFormat="1" ht="14.25" x14ac:dyDescent="0.2">
      <c r="A32" s="104"/>
      <c r="B32" s="77"/>
      <c r="C32" s="103">
        <v>9</v>
      </c>
      <c r="D32" s="261"/>
      <c r="E32" s="262"/>
      <c r="F32" s="263"/>
      <c r="G32" s="111"/>
      <c r="H32" s="110"/>
      <c r="I32" s="264" t="s">
        <v>86</v>
      </c>
      <c r="J32" s="265"/>
      <c r="K32" s="265"/>
      <c r="L32" s="265"/>
      <c r="M32" s="11"/>
      <c r="N32" s="216" t="s">
        <v>80</v>
      </c>
      <c r="O32" s="217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8"/>
      <c r="AA32" s="82"/>
      <c r="AB32" s="4" t="str">
        <f>PriceList!F24</f>
        <v/>
      </c>
      <c r="AC32" s="5" t="str">
        <f>PriceList!G24</f>
        <v/>
      </c>
      <c r="AD32" s="83"/>
      <c r="AE32" s="84"/>
    </row>
    <row r="33" spans="1:31" s="71" customFormat="1" ht="15" customHeight="1" x14ac:dyDescent="0.2">
      <c r="A33" s="105"/>
      <c r="B33" s="108" t="s">
        <v>89</v>
      </c>
      <c r="C33" s="234"/>
      <c r="D33" s="234"/>
      <c r="E33" s="108" t="s">
        <v>90</v>
      </c>
      <c r="F33" s="234"/>
      <c r="G33" s="234"/>
      <c r="H33" s="112"/>
      <c r="I33" s="266"/>
      <c r="J33" s="267"/>
      <c r="K33" s="267"/>
      <c r="L33" s="267"/>
      <c r="M33" s="114"/>
      <c r="N33" s="259" t="s">
        <v>82</v>
      </c>
      <c r="O33" s="260"/>
      <c r="P33" s="260"/>
      <c r="Q33" s="260"/>
      <c r="R33" s="260"/>
      <c r="S33" s="6"/>
      <c r="T33" s="196" t="s">
        <v>83</v>
      </c>
      <c r="U33" s="196"/>
      <c r="V33" s="196"/>
      <c r="W33" s="196"/>
      <c r="X33" s="205"/>
      <c r="Y33" s="205"/>
      <c r="Z33" s="206"/>
      <c r="AA33" s="82"/>
      <c r="AB33" s="4" t="str">
        <f>PriceList!F25</f>
        <v/>
      </c>
      <c r="AC33" s="5" t="str">
        <f>PriceList!G25</f>
        <v/>
      </c>
      <c r="AD33" s="83"/>
      <c r="AE33" s="84"/>
    </row>
    <row r="34" spans="1:31" s="71" customFormat="1" ht="14.25" x14ac:dyDescent="0.2">
      <c r="A34" s="105"/>
      <c r="B34" s="108" t="s">
        <v>92</v>
      </c>
      <c r="C34" s="234"/>
      <c r="D34" s="234"/>
      <c r="E34" s="108" t="s">
        <v>93</v>
      </c>
      <c r="F34" s="234"/>
      <c r="G34" s="234"/>
      <c r="H34" s="112"/>
      <c r="I34" s="235" t="s">
        <v>94</v>
      </c>
      <c r="J34" s="236"/>
      <c r="K34" s="236"/>
      <c r="L34" s="236"/>
      <c r="M34" s="16"/>
      <c r="N34" s="215" t="s">
        <v>179</v>
      </c>
      <c r="O34" s="161"/>
      <c r="P34" s="161"/>
      <c r="Q34" s="161"/>
      <c r="R34" s="161"/>
      <c r="S34" s="6"/>
      <c r="T34" s="246" t="s">
        <v>180</v>
      </c>
      <c r="U34" s="246"/>
      <c r="V34" s="246"/>
      <c r="W34" s="246"/>
      <c r="X34" s="251"/>
      <c r="Y34" s="251"/>
      <c r="Z34" s="252"/>
      <c r="AA34" s="82"/>
      <c r="AB34" s="4" t="str">
        <f>PriceList!F26</f>
        <v/>
      </c>
      <c r="AC34" s="5" t="str">
        <f>PriceList!G26</f>
        <v/>
      </c>
      <c r="AD34" s="83"/>
      <c r="AE34" s="84"/>
    </row>
    <row r="35" spans="1:31" s="71" customFormat="1" ht="15" customHeight="1" thickBot="1" x14ac:dyDescent="0.25">
      <c r="A35" s="106"/>
      <c r="B35" s="107"/>
      <c r="C35" s="109">
        <v>3</v>
      </c>
      <c r="D35" s="237"/>
      <c r="E35" s="238"/>
      <c r="F35" s="239"/>
      <c r="G35" s="113"/>
      <c r="H35" s="107"/>
      <c r="I35" s="240" t="s">
        <v>96</v>
      </c>
      <c r="J35" s="241"/>
      <c r="K35" s="241"/>
      <c r="L35" s="242"/>
      <c r="M35" s="17"/>
      <c r="N35" s="215" t="s">
        <v>87</v>
      </c>
      <c r="O35" s="161"/>
      <c r="P35" s="161"/>
      <c r="Q35" s="161"/>
      <c r="R35" s="161"/>
      <c r="S35" s="6"/>
      <c r="T35" s="161" t="s">
        <v>88</v>
      </c>
      <c r="U35" s="231"/>
      <c r="V35" s="231"/>
      <c r="W35" s="9"/>
      <c r="X35" s="161" t="s">
        <v>48</v>
      </c>
      <c r="Y35" s="231"/>
      <c r="Z35" s="12"/>
      <c r="AA35" s="85"/>
      <c r="AB35" s="4" t="str">
        <f>PriceList!F27</f>
        <v/>
      </c>
      <c r="AC35" s="5" t="str">
        <f>PriceList!G27</f>
        <v/>
      </c>
      <c r="AD35" s="83"/>
      <c r="AE35" s="84"/>
    </row>
    <row r="36" spans="1:31" s="71" customFormat="1" thickBot="1" x14ac:dyDescent="0.25">
      <c r="A36" s="207" t="s">
        <v>101</v>
      </c>
      <c r="B36" s="208"/>
      <c r="C36" s="209"/>
      <c r="D36" s="210"/>
      <c r="E36" s="211"/>
      <c r="F36" s="212" t="s">
        <v>102</v>
      </c>
      <c r="G36" s="213"/>
      <c r="H36" s="214"/>
      <c r="I36" s="210"/>
      <c r="J36" s="211"/>
      <c r="K36" s="213"/>
      <c r="L36" s="213"/>
      <c r="M36" s="213"/>
      <c r="N36" s="232" t="s">
        <v>91</v>
      </c>
      <c r="O36" s="162"/>
      <c r="P36" s="162"/>
      <c r="Q36" s="162"/>
      <c r="R36" s="162"/>
      <c r="S36" s="13"/>
      <c r="T36" s="162" t="s">
        <v>88</v>
      </c>
      <c r="U36" s="233"/>
      <c r="V36" s="233"/>
      <c r="W36" s="14"/>
      <c r="X36" s="162" t="s">
        <v>48</v>
      </c>
      <c r="Y36" s="233"/>
      <c r="Z36" s="15"/>
      <c r="AA36" s="85"/>
      <c r="AB36" s="4" t="str">
        <f>PriceList!F28</f>
        <v/>
      </c>
      <c r="AC36" s="5" t="str">
        <f>PriceList!G28</f>
        <v/>
      </c>
      <c r="AD36" s="83"/>
      <c r="AE36" s="84"/>
    </row>
    <row r="37" spans="1:31" s="71" customFormat="1" ht="14.25" x14ac:dyDescent="0.2">
      <c r="A37" s="224" t="s">
        <v>105</v>
      </c>
      <c r="B37" s="225"/>
      <c r="C37" s="226"/>
      <c r="D37" s="227" t="s">
        <v>106</v>
      </c>
      <c r="E37" s="226"/>
      <c r="F37" s="227" t="s">
        <v>107</v>
      </c>
      <c r="G37" s="228"/>
      <c r="H37" s="228"/>
      <c r="I37" s="228"/>
      <c r="J37" s="228"/>
      <c r="K37" s="229"/>
      <c r="L37" s="227" t="s">
        <v>32</v>
      </c>
      <c r="M37" s="230"/>
      <c r="N37" s="216" t="s">
        <v>95</v>
      </c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8"/>
      <c r="AA37" s="85"/>
      <c r="AB37" s="4" t="str">
        <f>PriceList!F29</f>
        <v/>
      </c>
      <c r="AC37" s="5" t="str">
        <f>PriceList!G29</f>
        <v/>
      </c>
      <c r="AD37" s="83"/>
      <c r="AE37" s="84"/>
    </row>
    <row r="38" spans="1:31" s="71" customFormat="1" ht="15" customHeight="1" x14ac:dyDescent="0.2">
      <c r="A38" s="172" t="s">
        <v>109</v>
      </c>
      <c r="B38" s="173"/>
      <c r="C38" s="174"/>
      <c r="D38" s="115" t="s">
        <v>110</v>
      </c>
      <c r="E38" s="18"/>
      <c r="F38" s="175" t="s">
        <v>111</v>
      </c>
      <c r="G38" s="176"/>
      <c r="H38" s="19"/>
      <c r="I38" s="175" t="s">
        <v>112</v>
      </c>
      <c r="J38" s="177"/>
      <c r="K38" s="19"/>
      <c r="L38" s="178"/>
      <c r="M38" s="179"/>
      <c r="N38" s="117" t="s">
        <v>97</v>
      </c>
      <c r="O38" s="6"/>
      <c r="P38" s="118" t="s">
        <v>98</v>
      </c>
      <c r="Q38" s="6"/>
      <c r="R38" s="220" t="s">
        <v>99</v>
      </c>
      <c r="S38" s="220"/>
      <c r="T38" s="6"/>
      <c r="U38" s="221" t="s">
        <v>100</v>
      </c>
      <c r="V38" s="221"/>
      <c r="W38" s="6"/>
      <c r="X38" s="119" t="s">
        <v>32</v>
      </c>
      <c r="Y38" s="222"/>
      <c r="Z38" s="223"/>
      <c r="AA38" s="85"/>
      <c r="AB38" s="4" t="str">
        <f>PriceList!F30</f>
        <v/>
      </c>
      <c r="AC38" s="5" t="str">
        <f>PriceList!G30</f>
        <v/>
      </c>
      <c r="AD38" s="83"/>
      <c r="AE38" s="84"/>
    </row>
    <row r="39" spans="1:31" s="71" customFormat="1" ht="15" customHeight="1" x14ac:dyDescent="0.2">
      <c r="A39" s="172" t="s">
        <v>114</v>
      </c>
      <c r="B39" s="173"/>
      <c r="C39" s="174"/>
      <c r="D39" s="115" t="s">
        <v>3</v>
      </c>
      <c r="E39" s="18"/>
      <c r="F39" s="175" t="s">
        <v>111</v>
      </c>
      <c r="G39" s="176"/>
      <c r="H39" s="19"/>
      <c r="I39" s="175" t="s">
        <v>112</v>
      </c>
      <c r="J39" s="177"/>
      <c r="K39" s="19"/>
      <c r="L39" s="178"/>
      <c r="M39" s="179"/>
      <c r="N39" s="215" t="s">
        <v>103</v>
      </c>
      <c r="O39" s="161"/>
      <c r="P39" s="161"/>
      <c r="Q39" s="161"/>
      <c r="R39" s="161"/>
      <c r="S39" s="6"/>
      <c r="T39" s="196" t="s">
        <v>104</v>
      </c>
      <c r="U39" s="196"/>
      <c r="V39" s="196"/>
      <c r="W39" s="196"/>
      <c r="X39" s="6"/>
      <c r="Y39" s="219"/>
      <c r="Z39" s="185"/>
      <c r="AA39" s="85"/>
      <c r="AB39" s="4" t="str">
        <f>PriceList!F31</f>
        <v/>
      </c>
      <c r="AC39" s="5" t="str">
        <f>PriceList!G31</f>
        <v/>
      </c>
      <c r="AD39" s="83"/>
      <c r="AE39" s="84"/>
    </row>
    <row r="40" spans="1:31" s="71" customFormat="1" ht="14.25" x14ac:dyDescent="0.2">
      <c r="A40" s="172" t="s">
        <v>117</v>
      </c>
      <c r="B40" s="173"/>
      <c r="C40" s="174"/>
      <c r="D40" s="115" t="s">
        <v>3</v>
      </c>
      <c r="E40" s="18"/>
      <c r="F40" s="175" t="s">
        <v>111</v>
      </c>
      <c r="G40" s="176"/>
      <c r="H40" s="19"/>
      <c r="I40" s="175" t="s">
        <v>112</v>
      </c>
      <c r="J40" s="177"/>
      <c r="K40" s="19"/>
      <c r="L40" s="178"/>
      <c r="M40" s="179"/>
      <c r="N40" s="161" t="s">
        <v>108</v>
      </c>
      <c r="O40" s="161"/>
      <c r="P40" s="161"/>
      <c r="Q40" s="161"/>
      <c r="R40" s="161"/>
      <c r="S40" s="6"/>
      <c r="T40" s="161" t="s">
        <v>83</v>
      </c>
      <c r="U40" s="161"/>
      <c r="V40" s="161"/>
      <c r="W40" s="161"/>
      <c r="X40" s="205"/>
      <c r="Y40" s="205"/>
      <c r="Z40" s="206"/>
      <c r="AA40" s="85"/>
      <c r="AB40" s="4" t="str">
        <f>PriceList!F32</f>
        <v/>
      </c>
      <c r="AC40" s="5" t="str">
        <f>PriceList!G32</f>
        <v/>
      </c>
      <c r="AD40" s="83"/>
      <c r="AE40" s="84"/>
    </row>
    <row r="41" spans="1:31" s="71" customFormat="1" ht="15" customHeight="1" x14ac:dyDescent="0.2">
      <c r="A41" s="172" t="s">
        <v>119</v>
      </c>
      <c r="B41" s="173"/>
      <c r="C41" s="174"/>
      <c r="D41" s="115" t="s">
        <v>3</v>
      </c>
      <c r="E41" s="18"/>
      <c r="F41" s="175" t="s">
        <v>111</v>
      </c>
      <c r="G41" s="176"/>
      <c r="H41" s="19"/>
      <c r="I41" s="175" t="s">
        <v>112</v>
      </c>
      <c r="J41" s="177"/>
      <c r="K41" s="19"/>
      <c r="L41" s="178"/>
      <c r="M41" s="179"/>
      <c r="N41" s="161" t="s">
        <v>113</v>
      </c>
      <c r="O41" s="161"/>
      <c r="P41" s="161"/>
      <c r="Q41" s="161"/>
      <c r="R41" s="161"/>
      <c r="S41" s="6"/>
      <c r="T41" s="196" t="s">
        <v>72</v>
      </c>
      <c r="U41" s="196"/>
      <c r="V41" s="196"/>
      <c r="W41" s="196"/>
      <c r="X41" s="6"/>
      <c r="Y41" s="182"/>
      <c r="Z41" s="183"/>
      <c r="AA41" s="85"/>
      <c r="AB41" s="4" t="str">
        <f>PriceList!F33</f>
        <v/>
      </c>
      <c r="AC41" s="5" t="str">
        <f>PriceList!G33</f>
        <v/>
      </c>
      <c r="AD41" s="83"/>
      <c r="AE41" s="84"/>
    </row>
    <row r="42" spans="1:31" s="71" customFormat="1" thickBot="1" x14ac:dyDescent="0.25">
      <c r="A42" s="188" t="s">
        <v>121</v>
      </c>
      <c r="B42" s="189"/>
      <c r="C42" s="190"/>
      <c r="D42" s="116" t="s">
        <v>122</v>
      </c>
      <c r="E42" s="20"/>
      <c r="F42" s="191" t="s">
        <v>111</v>
      </c>
      <c r="G42" s="192"/>
      <c r="H42" s="21"/>
      <c r="I42" s="191" t="s">
        <v>112</v>
      </c>
      <c r="J42" s="193"/>
      <c r="K42" s="21"/>
      <c r="L42" s="194"/>
      <c r="M42" s="195"/>
      <c r="N42" s="161" t="s">
        <v>115</v>
      </c>
      <c r="O42" s="161"/>
      <c r="P42" s="161"/>
      <c r="Q42" s="161"/>
      <c r="R42" s="161"/>
      <c r="S42" s="6"/>
      <c r="T42" s="196" t="s">
        <v>116</v>
      </c>
      <c r="U42" s="196"/>
      <c r="V42" s="196"/>
      <c r="W42" s="196"/>
      <c r="X42" s="76"/>
      <c r="Y42" s="184"/>
      <c r="Z42" s="185"/>
      <c r="AA42" s="85"/>
      <c r="AB42" s="4" t="str">
        <f>PriceList!F34</f>
        <v/>
      </c>
      <c r="AC42" s="5" t="str">
        <f>PriceList!G34</f>
        <v/>
      </c>
      <c r="AD42" s="83"/>
      <c r="AE42" s="84"/>
    </row>
    <row r="43" spans="1:31" s="71" customFormat="1" thickBot="1" x14ac:dyDescent="0.25">
      <c r="A43" s="158" t="s">
        <v>123</v>
      </c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60"/>
      <c r="N43" s="197" t="s">
        <v>118</v>
      </c>
      <c r="O43" s="197"/>
      <c r="P43" s="197"/>
      <c r="Q43" s="197"/>
      <c r="R43" s="197"/>
      <c r="S43" s="197"/>
      <c r="T43" s="197"/>
      <c r="U43" s="197"/>
      <c r="V43" s="197"/>
      <c r="W43" s="198"/>
      <c r="X43" s="14"/>
      <c r="Y43" s="186"/>
      <c r="Z43" s="187"/>
      <c r="AA43" s="85"/>
      <c r="AB43" s="4" t="str">
        <f>PriceList!F35</f>
        <v/>
      </c>
      <c r="AC43" s="5" t="str">
        <f>PriceList!G35</f>
        <v/>
      </c>
      <c r="AD43" s="83"/>
      <c r="AE43" s="84"/>
    </row>
    <row r="44" spans="1:31" s="71" customFormat="1" ht="14.45" customHeight="1" x14ac:dyDescent="0.2">
      <c r="A44" s="199"/>
      <c r="B44" s="200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1"/>
      <c r="N44" s="180" t="s">
        <v>120</v>
      </c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1"/>
      <c r="AA44" s="82"/>
      <c r="AB44" s="4" t="str">
        <f>PriceList!F36</f>
        <v/>
      </c>
      <c r="AC44" s="5" t="str">
        <f>PriceList!G36</f>
        <v/>
      </c>
      <c r="AD44" s="83"/>
      <c r="AE44" s="84"/>
    </row>
    <row r="45" spans="1:31" s="71" customFormat="1" ht="15" customHeight="1" x14ac:dyDescent="0.2">
      <c r="A45" s="152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4"/>
      <c r="N45" s="161" t="s">
        <v>124</v>
      </c>
      <c r="O45" s="161"/>
      <c r="P45" s="161"/>
      <c r="Q45" s="161"/>
      <c r="R45" s="161"/>
      <c r="S45" s="161"/>
      <c r="T45" s="9"/>
      <c r="U45" s="161" t="s">
        <v>188</v>
      </c>
      <c r="V45" s="161"/>
      <c r="W45" s="161"/>
      <c r="X45" s="161"/>
      <c r="Y45" s="161"/>
      <c r="Z45" s="10"/>
      <c r="AA45" s="82"/>
      <c r="AB45" s="4" t="str">
        <f>PriceList!F41</f>
        <v/>
      </c>
      <c r="AC45" s="5" t="str">
        <f>PriceList!G41</f>
        <v/>
      </c>
      <c r="AD45" s="83"/>
      <c r="AE45" s="84"/>
    </row>
    <row r="46" spans="1:31" s="71" customFormat="1" ht="15" customHeight="1" x14ac:dyDescent="0.2">
      <c r="A46" s="152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4"/>
      <c r="N46" s="161" t="s">
        <v>125</v>
      </c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0"/>
      <c r="AA46" s="82"/>
      <c r="AB46" s="4" t="str">
        <f>PriceList!F42</f>
        <v/>
      </c>
      <c r="AC46" s="5" t="str">
        <f>PriceList!G42</f>
        <v/>
      </c>
      <c r="AD46" s="83"/>
      <c r="AE46" s="84"/>
    </row>
    <row r="47" spans="1:31" s="71" customFormat="1" ht="15" customHeight="1" x14ac:dyDescent="0.2">
      <c r="A47" s="152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4"/>
      <c r="N47" s="161" t="s">
        <v>126</v>
      </c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2"/>
      <c r="AA47" s="82"/>
      <c r="AB47" s="4" t="str">
        <f>PriceList!F43</f>
        <v/>
      </c>
      <c r="AC47" s="5" t="str">
        <f>PriceList!G43</f>
        <v/>
      </c>
      <c r="AD47" s="83"/>
      <c r="AE47" s="84"/>
    </row>
    <row r="48" spans="1:31" s="71" customFormat="1" ht="15" customHeight="1" thickBot="1" x14ac:dyDescent="0.25">
      <c r="A48" s="202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4"/>
      <c r="N48" s="162" t="s">
        <v>127</v>
      </c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5"/>
      <c r="AA48" s="82"/>
      <c r="AB48" s="4" t="str">
        <f>PriceList!F44</f>
        <v/>
      </c>
      <c r="AC48" s="5" t="str">
        <f>PriceList!G44</f>
        <v/>
      </c>
      <c r="AD48" s="83"/>
      <c r="AE48" s="84"/>
    </row>
    <row r="49" spans="1:31" s="71" customFormat="1" ht="15" customHeight="1" x14ac:dyDescent="0.2">
      <c r="A49" s="149" t="s">
        <v>128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1"/>
      <c r="AA49" s="82"/>
      <c r="AB49" s="4" t="str">
        <f>PriceList!F47</f>
        <v/>
      </c>
      <c r="AC49" s="5" t="str">
        <f>PriceList!G47</f>
        <v/>
      </c>
      <c r="AD49" s="83"/>
      <c r="AE49" s="84"/>
    </row>
    <row r="50" spans="1:31" s="71" customFormat="1" ht="15" customHeight="1" x14ac:dyDescent="0.2">
      <c r="A50" s="152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4"/>
      <c r="AA50" s="82"/>
      <c r="AB50" s="4" t="str">
        <f>PriceList!F48</f>
        <v/>
      </c>
      <c r="AC50" s="5" t="str">
        <f>PriceList!G48</f>
        <v/>
      </c>
      <c r="AD50" s="83"/>
      <c r="AE50" s="84"/>
    </row>
    <row r="51" spans="1:31" s="71" customFormat="1" ht="15" customHeight="1" x14ac:dyDescent="0.2">
      <c r="A51" s="152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4"/>
      <c r="AA51" s="82"/>
      <c r="AB51" s="4" t="str">
        <f>PriceList!F49</f>
        <v/>
      </c>
      <c r="AC51" s="5" t="str">
        <f>PriceList!G49</f>
        <v/>
      </c>
      <c r="AD51" s="83"/>
      <c r="AE51" s="84"/>
    </row>
    <row r="52" spans="1:31" s="71" customFormat="1" ht="15" customHeight="1" x14ac:dyDescent="0.2">
      <c r="A52" s="152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4"/>
      <c r="AA52" s="82"/>
      <c r="AB52" s="4" t="str">
        <f>PriceList!F50</f>
        <v/>
      </c>
      <c r="AC52" s="5" t="str">
        <f>PriceList!G50</f>
        <v/>
      </c>
      <c r="AD52" s="83"/>
      <c r="AE52" s="84"/>
    </row>
    <row r="53" spans="1:31" s="71" customFormat="1" ht="15" customHeight="1" x14ac:dyDescent="0.2">
      <c r="A53" s="152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4"/>
      <c r="AA53" s="82"/>
      <c r="AB53" s="4" t="str">
        <f>PriceList!F51</f>
        <v/>
      </c>
      <c r="AC53" s="5" t="str">
        <f>PriceList!G51</f>
        <v/>
      </c>
      <c r="AD53" s="83"/>
      <c r="AE53" s="84"/>
    </row>
    <row r="54" spans="1:31" s="71" customFormat="1" ht="15" customHeight="1" thickBot="1" x14ac:dyDescent="0.25">
      <c r="A54" s="152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4"/>
      <c r="AA54" s="82"/>
      <c r="AB54" s="4" t="str">
        <f>PriceList!F52</f>
        <v/>
      </c>
      <c r="AC54" s="5" t="str">
        <f>PriceList!G52</f>
        <v/>
      </c>
      <c r="AD54" s="83"/>
      <c r="AE54" s="84"/>
    </row>
    <row r="55" spans="1:31" s="71" customFormat="1" ht="14.25" x14ac:dyDescent="0.2">
      <c r="A55" s="155" t="s">
        <v>129</v>
      </c>
      <c r="B55" s="156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7"/>
      <c r="AA55" s="82"/>
      <c r="AB55" s="4" t="str">
        <f>PriceList!F53</f>
        <v/>
      </c>
      <c r="AC55" s="5" t="str">
        <f>PriceList!G53</f>
        <v/>
      </c>
      <c r="AD55" s="83"/>
      <c r="AE55" s="84"/>
    </row>
    <row r="56" spans="1:31" s="71" customFormat="1" ht="14.25" x14ac:dyDescent="0.2">
      <c r="A56" s="134" t="s">
        <v>130</v>
      </c>
      <c r="B56" s="135"/>
      <c r="C56" s="135"/>
      <c r="D56" s="135"/>
      <c r="E56" s="135"/>
      <c r="F56" s="135"/>
      <c r="G56" s="136"/>
      <c r="H56" s="122"/>
      <c r="I56" s="123"/>
      <c r="J56" s="137"/>
      <c r="K56" s="163"/>
      <c r="L56" s="164"/>
      <c r="M56" s="165"/>
      <c r="N56" s="138" t="s">
        <v>131</v>
      </c>
      <c r="O56" s="135"/>
      <c r="P56" s="135"/>
      <c r="Q56" s="135"/>
      <c r="R56" s="135"/>
      <c r="S56" s="135"/>
      <c r="T56" s="136"/>
      <c r="U56" s="122"/>
      <c r="V56" s="123"/>
      <c r="W56" s="137"/>
      <c r="X56" s="122"/>
      <c r="Y56" s="123"/>
      <c r="Z56" s="124"/>
      <c r="AA56" s="82"/>
      <c r="AB56" s="4" t="str">
        <f>PriceList!F54</f>
        <v/>
      </c>
      <c r="AC56" s="5" t="str">
        <f>PriceList!G54</f>
        <v/>
      </c>
      <c r="AD56" s="83"/>
      <c r="AE56" s="84"/>
    </row>
    <row r="57" spans="1:31" s="71" customFormat="1" ht="14.25" x14ac:dyDescent="0.2">
      <c r="A57" s="134" t="s">
        <v>201</v>
      </c>
      <c r="B57" s="135"/>
      <c r="C57" s="135"/>
      <c r="D57" s="135"/>
      <c r="E57" s="135"/>
      <c r="F57" s="135"/>
      <c r="G57" s="136"/>
      <c r="H57" s="122"/>
      <c r="I57" s="123"/>
      <c r="J57" s="137"/>
      <c r="K57" s="166"/>
      <c r="L57" s="167"/>
      <c r="M57" s="168"/>
      <c r="N57" s="138" t="s">
        <v>203</v>
      </c>
      <c r="O57" s="135"/>
      <c r="P57" s="135"/>
      <c r="Q57" s="135"/>
      <c r="R57" s="135"/>
      <c r="S57" s="135"/>
      <c r="T57" s="136"/>
      <c r="U57" s="122"/>
      <c r="V57" s="123"/>
      <c r="W57" s="137"/>
      <c r="X57" s="122"/>
      <c r="Y57" s="123"/>
      <c r="Z57" s="124"/>
      <c r="AA57" s="82"/>
      <c r="AB57" s="4" t="str">
        <f>PriceList!F55</f>
        <v/>
      </c>
      <c r="AC57" s="5" t="str">
        <f>PriceList!G55</f>
        <v/>
      </c>
      <c r="AD57" s="83"/>
      <c r="AE57" s="84"/>
    </row>
    <row r="58" spans="1:31" s="71" customFormat="1" ht="14.25" x14ac:dyDescent="0.2">
      <c r="A58" s="134" t="s">
        <v>202</v>
      </c>
      <c r="B58" s="135"/>
      <c r="C58" s="135"/>
      <c r="D58" s="135"/>
      <c r="E58" s="135"/>
      <c r="F58" s="135"/>
      <c r="G58" s="136"/>
      <c r="H58" s="122"/>
      <c r="I58" s="123"/>
      <c r="J58" s="137"/>
      <c r="K58" s="166"/>
      <c r="L58" s="167"/>
      <c r="M58" s="168"/>
      <c r="N58" s="138" t="s">
        <v>132</v>
      </c>
      <c r="O58" s="135"/>
      <c r="P58" s="135"/>
      <c r="Q58" s="135"/>
      <c r="R58" s="135"/>
      <c r="S58" s="135"/>
      <c r="T58" s="136"/>
      <c r="U58" s="122"/>
      <c r="V58" s="123"/>
      <c r="W58" s="137"/>
      <c r="X58" s="122"/>
      <c r="Y58" s="123"/>
      <c r="Z58" s="124"/>
      <c r="AA58" s="82"/>
      <c r="AB58" s="4" t="str">
        <f>PriceList!F56</f>
        <v/>
      </c>
      <c r="AC58" s="5" t="str">
        <f>PriceList!G56</f>
        <v/>
      </c>
      <c r="AD58" s="83"/>
      <c r="AE58" s="84"/>
    </row>
    <row r="59" spans="1:31" s="71" customFormat="1" ht="14.25" x14ac:dyDescent="0.2">
      <c r="A59" s="134" t="s">
        <v>133</v>
      </c>
      <c r="B59" s="135"/>
      <c r="C59" s="135"/>
      <c r="D59" s="135"/>
      <c r="E59" s="135"/>
      <c r="F59" s="135"/>
      <c r="G59" s="136"/>
      <c r="H59" s="122"/>
      <c r="I59" s="123"/>
      <c r="J59" s="137"/>
      <c r="K59" s="166"/>
      <c r="L59" s="167"/>
      <c r="M59" s="168"/>
      <c r="N59" s="138" t="s">
        <v>134</v>
      </c>
      <c r="O59" s="135"/>
      <c r="P59" s="135"/>
      <c r="Q59" s="135"/>
      <c r="R59" s="135"/>
      <c r="S59" s="135"/>
      <c r="T59" s="136"/>
      <c r="U59" s="122"/>
      <c r="V59" s="123"/>
      <c r="W59" s="137"/>
      <c r="X59" s="122"/>
      <c r="Y59" s="123"/>
      <c r="Z59" s="124"/>
      <c r="AA59" s="82"/>
      <c r="AB59" s="4" t="str">
        <f>PriceList!F57</f>
        <v/>
      </c>
      <c r="AC59" s="5" t="str">
        <f>PriceList!G57</f>
        <v/>
      </c>
      <c r="AD59" s="83"/>
      <c r="AE59" s="84"/>
    </row>
    <row r="60" spans="1:31" s="71" customFormat="1" ht="15" customHeight="1" thickBot="1" x14ac:dyDescent="0.25">
      <c r="A60" s="139" t="s">
        <v>135</v>
      </c>
      <c r="B60" s="140"/>
      <c r="C60" s="140"/>
      <c r="D60" s="140"/>
      <c r="E60" s="140"/>
      <c r="F60" s="140"/>
      <c r="G60" s="141"/>
      <c r="H60" s="142"/>
      <c r="I60" s="143"/>
      <c r="J60" s="144"/>
      <c r="K60" s="169"/>
      <c r="L60" s="170"/>
      <c r="M60" s="171"/>
      <c r="N60" s="145" t="s">
        <v>136</v>
      </c>
      <c r="O60" s="146"/>
      <c r="P60" s="146"/>
      <c r="Q60" s="146"/>
      <c r="R60" s="146"/>
      <c r="S60" s="146"/>
      <c r="T60" s="147"/>
      <c r="U60" s="142"/>
      <c r="V60" s="143"/>
      <c r="W60" s="144"/>
      <c r="X60" s="142"/>
      <c r="Y60" s="143"/>
      <c r="Z60" s="148"/>
      <c r="AA60" s="82"/>
      <c r="AB60" s="4" t="str">
        <f>PriceList!F58</f>
        <v/>
      </c>
      <c r="AC60" s="5" t="str">
        <f>PriceList!G58</f>
        <v/>
      </c>
      <c r="AD60" s="83"/>
      <c r="AE60" s="84"/>
    </row>
    <row r="61" spans="1:31" s="71" customFormat="1" ht="15" customHeight="1" thickBot="1" x14ac:dyDescent="0.25">
      <c r="A61" s="125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7"/>
      <c r="N61" s="128" t="s">
        <v>137</v>
      </c>
      <c r="O61" s="129"/>
      <c r="P61" s="129"/>
      <c r="Q61" s="129"/>
      <c r="R61" s="129"/>
      <c r="S61" s="129"/>
      <c r="T61" s="130"/>
      <c r="U61" s="131"/>
      <c r="V61" s="132"/>
      <c r="W61" s="132"/>
      <c r="X61" s="132"/>
      <c r="Y61" s="132"/>
      <c r="Z61" s="133"/>
      <c r="AA61" s="86"/>
      <c r="AB61" s="22"/>
      <c r="AC61" s="23"/>
      <c r="AD61" s="87"/>
      <c r="AE61" s="88"/>
    </row>
    <row r="62" spans="1:31" s="71" customFormat="1" ht="14.25" x14ac:dyDescent="0.2">
      <c r="AA62" s="24"/>
      <c r="AB62" s="74"/>
      <c r="AC62" s="75"/>
      <c r="AE62" s="24"/>
    </row>
    <row r="63" spans="1:31" s="71" customFormat="1" ht="14.25" x14ac:dyDescent="0.2">
      <c r="A63" s="25"/>
      <c r="B63" s="24"/>
      <c r="C63" s="24"/>
      <c r="D63" s="24"/>
      <c r="E63" s="24"/>
      <c r="F63" s="24"/>
      <c r="G63" s="25"/>
      <c r="H63" s="24"/>
      <c r="I63" s="24"/>
      <c r="J63" s="24"/>
      <c r="K63" s="24"/>
      <c r="L63" s="24"/>
      <c r="M63" s="25"/>
      <c r="N63" s="24"/>
      <c r="O63" s="24"/>
      <c r="P63" s="24"/>
      <c r="Q63" s="24"/>
      <c r="R63" s="24"/>
      <c r="S63" s="78"/>
      <c r="T63" s="24"/>
      <c r="U63" s="24"/>
      <c r="V63" s="24"/>
      <c r="W63" s="24"/>
      <c r="X63" s="24"/>
      <c r="Y63" s="24"/>
      <c r="Z63" s="24"/>
      <c r="AA63" s="24"/>
      <c r="AB63" s="74"/>
      <c r="AC63" s="75"/>
      <c r="AE63" s="24"/>
    </row>
    <row r="64" spans="1:31" s="71" customFormat="1" ht="14.25" x14ac:dyDescent="0.2">
      <c r="A64" s="25"/>
      <c r="B64" s="24"/>
      <c r="C64" s="24"/>
      <c r="D64" s="24"/>
      <c r="E64" s="24"/>
      <c r="F64" s="24"/>
      <c r="G64" s="25"/>
      <c r="H64" s="24"/>
      <c r="I64" s="24"/>
      <c r="J64" s="24"/>
      <c r="K64" s="24"/>
      <c r="L64" s="24"/>
      <c r="M64" s="25"/>
      <c r="N64" s="24"/>
      <c r="O64" s="24"/>
      <c r="P64" s="24"/>
      <c r="Q64" s="24"/>
      <c r="R64" s="24"/>
      <c r="S64" s="25"/>
      <c r="T64" s="24"/>
      <c r="U64" s="24"/>
      <c r="V64" s="24"/>
      <c r="W64" s="24"/>
      <c r="X64" s="24"/>
      <c r="Y64" s="24"/>
      <c r="Z64" s="24"/>
      <c r="AA64" s="24"/>
      <c r="AB64" s="74"/>
      <c r="AC64" s="75"/>
      <c r="AE64" s="24"/>
    </row>
    <row r="65" spans="27:31" s="71" customFormat="1" ht="14.25" x14ac:dyDescent="0.2">
      <c r="AA65" s="24"/>
      <c r="AB65" s="74"/>
      <c r="AC65" s="75"/>
      <c r="AE65" s="24"/>
    </row>
    <row r="66" spans="27:31" s="71" customFormat="1" ht="14.25" x14ac:dyDescent="0.2">
      <c r="AA66" s="24"/>
      <c r="AB66" s="74"/>
      <c r="AC66" s="75"/>
      <c r="AE66" s="24"/>
    </row>
    <row r="67" spans="27:31" s="71" customFormat="1" ht="14.25" x14ac:dyDescent="0.2">
      <c r="AA67" s="24"/>
      <c r="AB67" s="73"/>
      <c r="AC67" s="73"/>
      <c r="AD67" s="24"/>
      <c r="AE67" s="24"/>
    </row>
    <row r="82" spans="1:13" x14ac:dyDescent="0.25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1:13" x14ac:dyDescent="0.25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1:13" x14ac:dyDescent="0.25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1:13" x14ac:dyDescent="0.2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1:13" x14ac:dyDescent="0.25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1:13" x14ac:dyDescent="0.25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</sheetData>
  <sheetProtection formatCells="0" formatColumns="0" formatRows="0" insertColumns="0" insertRows="0" insertHyperlinks="0" deleteColumns="0" deleteRows="0" sort="0" autoFilter="0" pivotTables="0"/>
  <mergeCells count="291">
    <mergeCell ref="H1:S1"/>
    <mergeCell ref="AB1:AC1"/>
    <mergeCell ref="H2:S2"/>
    <mergeCell ref="AB2:AC2"/>
    <mergeCell ref="H3:S3"/>
    <mergeCell ref="AB3:AC3"/>
    <mergeCell ref="H4:S4"/>
    <mergeCell ref="AB4:AC4"/>
    <mergeCell ref="H5:S5"/>
    <mergeCell ref="AB5:AC5"/>
    <mergeCell ref="S9:T9"/>
    <mergeCell ref="U9:V9"/>
    <mergeCell ref="W9:X9"/>
    <mergeCell ref="Y9:Z9"/>
    <mergeCell ref="Y10:Z10"/>
    <mergeCell ref="W10:X10"/>
    <mergeCell ref="D10:K10"/>
    <mergeCell ref="L10:N10"/>
    <mergeCell ref="O10:R10"/>
    <mergeCell ref="S10:T10"/>
    <mergeCell ref="Y11:Z11"/>
    <mergeCell ref="A11:C11"/>
    <mergeCell ref="D11:K11"/>
    <mergeCell ref="L11:N11"/>
    <mergeCell ref="O11:R11"/>
    <mergeCell ref="H6:S6"/>
    <mergeCell ref="AB6:AC6"/>
    <mergeCell ref="A7:R7"/>
    <mergeCell ref="S7:X7"/>
    <mergeCell ref="Y7:Z7"/>
    <mergeCell ref="A8:C8"/>
    <mergeCell ref="D8:K8"/>
    <mergeCell ref="L8:N8"/>
    <mergeCell ref="O8:R8"/>
    <mergeCell ref="S8:T8"/>
    <mergeCell ref="U8:V8"/>
    <mergeCell ref="W8:X8"/>
    <mergeCell ref="A10:C10"/>
    <mergeCell ref="U10:V10"/>
    <mergeCell ref="Y8:Z8"/>
    <mergeCell ref="A9:C9"/>
    <mergeCell ref="D9:K9"/>
    <mergeCell ref="L9:N9"/>
    <mergeCell ref="O9:R9"/>
    <mergeCell ref="T14:U14"/>
    <mergeCell ref="V14:X14"/>
    <mergeCell ref="Y14:Z14"/>
    <mergeCell ref="D12:K12"/>
    <mergeCell ref="L12:N12"/>
    <mergeCell ref="O12:P12"/>
    <mergeCell ref="Q12:R12"/>
    <mergeCell ref="S12:T12"/>
    <mergeCell ref="B14:E14"/>
    <mergeCell ref="U12:V12"/>
    <mergeCell ref="W12:X12"/>
    <mergeCell ref="Y12:Z12"/>
    <mergeCell ref="A13:E13"/>
    <mergeCell ref="F13:G13"/>
    <mergeCell ref="H13:J13"/>
    <mergeCell ref="K13:M13"/>
    <mergeCell ref="N13:Z13"/>
    <mergeCell ref="A12:C12"/>
    <mergeCell ref="B15:E15"/>
    <mergeCell ref="F15:G15"/>
    <mergeCell ref="H15:J15"/>
    <mergeCell ref="K15:M15"/>
    <mergeCell ref="A15:A17"/>
    <mergeCell ref="S11:T11"/>
    <mergeCell ref="U11:V11"/>
    <mergeCell ref="R14:S14"/>
    <mergeCell ref="F14:G14"/>
    <mergeCell ref="H14:J14"/>
    <mergeCell ref="K14:M14"/>
    <mergeCell ref="N14:O14"/>
    <mergeCell ref="B16:E16"/>
    <mergeCell ref="F16:G16"/>
    <mergeCell ref="H16:J16"/>
    <mergeCell ref="K16:M16"/>
    <mergeCell ref="P15:Q15"/>
    <mergeCell ref="R15:S15"/>
    <mergeCell ref="B17:E17"/>
    <mergeCell ref="F17:G17"/>
    <mergeCell ref="T15:U15"/>
    <mergeCell ref="V15:X15"/>
    <mergeCell ref="W11:X11"/>
    <mergeCell ref="P14:Q14"/>
    <mergeCell ref="Y15:Z15"/>
    <mergeCell ref="H17:J17"/>
    <mergeCell ref="K17:M17"/>
    <mergeCell ref="N18:R18"/>
    <mergeCell ref="T18:V18"/>
    <mergeCell ref="T16:U16"/>
    <mergeCell ref="V16:Z16"/>
    <mergeCell ref="X18:Y18"/>
    <mergeCell ref="N15:O15"/>
    <mergeCell ref="N17:Z17"/>
    <mergeCell ref="N16:S16"/>
    <mergeCell ref="T21:V21"/>
    <mergeCell ref="X21:Z23"/>
    <mergeCell ref="T22:V22"/>
    <mergeCell ref="N23:R23"/>
    <mergeCell ref="T23:V23"/>
    <mergeCell ref="B18:E18"/>
    <mergeCell ref="F18:G18"/>
    <mergeCell ref="H18:J18"/>
    <mergeCell ref="K18:M18"/>
    <mergeCell ref="N19:R19"/>
    <mergeCell ref="T19:V19"/>
    <mergeCell ref="X19:Z19"/>
    <mergeCell ref="B19:E19"/>
    <mergeCell ref="F19:G19"/>
    <mergeCell ref="H19:J19"/>
    <mergeCell ref="K19:M19"/>
    <mergeCell ref="N20:R20"/>
    <mergeCell ref="T20:V20"/>
    <mergeCell ref="X20:Y20"/>
    <mergeCell ref="B20:E20"/>
    <mergeCell ref="F20:G20"/>
    <mergeCell ref="H20:J20"/>
    <mergeCell ref="K20:M20"/>
    <mergeCell ref="N22:R22"/>
    <mergeCell ref="B21:E21"/>
    <mergeCell ref="F21:G21"/>
    <mergeCell ref="H21:J21"/>
    <mergeCell ref="K21:M21"/>
    <mergeCell ref="B22:E22"/>
    <mergeCell ref="F22:G22"/>
    <mergeCell ref="H22:J22"/>
    <mergeCell ref="K22:M22"/>
    <mergeCell ref="N21:R21"/>
    <mergeCell ref="N27:Z27"/>
    <mergeCell ref="T24:V24"/>
    <mergeCell ref="X24:Y24"/>
    <mergeCell ref="B23:E23"/>
    <mergeCell ref="F23:G23"/>
    <mergeCell ref="H23:J23"/>
    <mergeCell ref="K23:M23"/>
    <mergeCell ref="N25:R25"/>
    <mergeCell ref="T25:V25"/>
    <mergeCell ref="X25:Y25"/>
    <mergeCell ref="N24:R24"/>
    <mergeCell ref="F24:G24"/>
    <mergeCell ref="H24:J24"/>
    <mergeCell ref="K24:M24"/>
    <mergeCell ref="N26:V26"/>
    <mergeCell ref="X26:Z26"/>
    <mergeCell ref="B25:E25"/>
    <mergeCell ref="F25:G25"/>
    <mergeCell ref="H25:J25"/>
    <mergeCell ref="K25:M25"/>
    <mergeCell ref="A21:A23"/>
    <mergeCell ref="B26:E26"/>
    <mergeCell ref="F26:G26"/>
    <mergeCell ref="H26:J26"/>
    <mergeCell ref="K26:M26"/>
    <mergeCell ref="N28:R28"/>
    <mergeCell ref="T28:V28"/>
    <mergeCell ref="X28:Z31"/>
    <mergeCell ref="B27:E27"/>
    <mergeCell ref="F27:G27"/>
    <mergeCell ref="H27:J27"/>
    <mergeCell ref="K27:M27"/>
    <mergeCell ref="N29:R29"/>
    <mergeCell ref="T29:V29"/>
    <mergeCell ref="B28:E28"/>
    <mergeCell ref="F28:G28"/>
    <mergeCell ref="H28:J28"/>
    <mergeCell ref="K28:M28"/>
    <mergeCell ref="N31:R31"/>
    <mergeCell ref="T31:V31"/>
    <mergeCell ref="N30:R30"/>
    <mergeCell ref="T30:V30"/>
    <mergeCell ref="B24:E24"/>
    <mergeCell ref="A31:H31"/>
    <mergeCell ref="I31:M31"/>
    <mergeCell ref="N34:R34"/>
    <mergeCell ref="T34:W34"/>
    <mergeCell ref="B29:E29"/>
    <mergeCell ref="F29:G29"/>
    <mergeCell ref="H29:J29"/>
    <mergeCell ref="K29:M29"/>
    <mergeCell ref="N32:Z32"/>
    <mergeCell ref="X34:Z34"/>
    <mergeCell ref="B30:E30"/>
    <mergeCell ref="F30:G30"/>
    <mergeCell ref="H30:J30"/>
    <mergeCell ref="K30:M30"/>
    <mergeCell ref="N33:R33"/>
    <mergeCell ref="T33:W33"/>
    <mergeCell ref="D32:F32"/>
    <mergeCell ref="I32:L32"/>
    <mergeCell ref="C33:D33"/>
    <mergeCell ref="F33:G33"/>
    <mergeCell ref="I33:L33"/>
    <mergeCell ref="N35:R35"/>
    <mergeCell ref="T35:V35"/>
    <mergeCell ref="X35:Y35"/>
    <mergeCell ref="N36:R36"/>
    <mergeCell ref="T36:V36"/>
    <mergeCell ref="X36:Y36"/>
    <mergeCell ref="X33:Z33"/>
    <mergeCell ref="C34:D34"/>
    <mergeCell ref="F34:G34"/>
    <mergeCell ref="I34:L34"/>
    <mergeCell ref="D35:F35"/>
    <mergeCell ref="I35:L35"/>
    <mergeCell ref="N40:R40"/>
    <mergeCell ref="T40:W40"/>
    <mergeCell ref="X40:Z40"/>
    <mergeCell ref="A36:C36"/>
    <mergeCell ref="A38:C38"/>
    <mergeCell ref="F38:G38"/>
    <mergeCell ref="I38:J38"/>
    <mergeCell ref="L38:M38"/>
    <mergeCell ref="D36:E36"/>
    <mergeCell ref="F36:H36"/>
    <mergeCell ref="I36:J36"/>
    <mergeCell ref="K36:M36"/>
    <mergeCell ref="N39:R39"/>
    <mergeCell ref="N37:Z37"/>
    <mergeCell ref="T39:W39"/>
    <mergeCell ref="Y39:Z39"/>
    <mergeCell ref="R38:S38"/>
    <mergeCell ref="U38:V38"/>
    <mergeCell ref="Y38:Z38"/>
    <mergeCell ref="A37:C37"/>
    <mergeCell ref="D37:E37"/>
    <mergeCell ref="F37:K37"/>
    <mergeCell ref="L37:M37"/>
    <mergeCell ref="A41:C41"/>
    <mergeCell ref="F41:G41"/>
    <mergeCell ref="I41:J41"/>
    <mergeCell ref="L41:M41"/>
    <mergeCell ref="N44:Z44"/>
    <mergeCell ref="Y41:Z43"/>
    <mergeCell ref="A39:C39"/>
    <mergeCell ref="F39:G39"/>
    <mergeCell ref="A42:C42"/>
    <mergeCell ref="F42:G42"/>
    <mergeCell ref="I42:J42"/>
    <mergeCell ref="L42:M42"/>
    <mergeCell ref="I39:J39"/>
    <mergeCell ref="L39:M39"/>
    <mergeCell ref="N42:R42"/>
    <mergeCell ref="T42:W42"/>
    <mergeCell ref="A40:C40"/>
    <mergeCell ref="F40:G40"/>
    <mergeCell ref="I40:J40"/>
    <mergeCell ref="L40:M40"/>
    <mergeCell ref="N43:W43"/>
    <mergeCell ref="A44:M48"/>
    <mergeCell ref="N41:R41"/>
    <mergeCell ref="T41:W41"/>
    <mergeCell ref="A49:Z49"/>
    <mergeCell ref="A50:Z54"/>
    <mergeCell ref="A55:Z55"/>
    <mergeCell ref="A56:G56"/>
    <mergeCell ref="H56:J56"/>
    <mergeCell ref="A43:M43"/>
    <mergeCell ref="X56:Z56"/>
    <mergeCell ref="A57:G57"/>
    <mergeCell ref="N45:S45"/>
    <mergeCell ref="U45:Y45"/>
    <mergeCell ref="N46:Y46"/>
    <mergeCell ref="N47:Y47"/>
    <mergeCell ref="N48:Y48"/>
    <mergeCell ref="H57:J57"/>
    <mergeCell ref="N57:T57"/>
    <mergeCell ref="U57:W57"/>
    <mergeCell ref="X57:Z57"/>
    <mergeCell ref="K56:M60"/>
    <mergeCell ref="N56:T56"/>
    <mergeCell ref="U56:W56"/>
    <mergeCell ref="A58:G58"/>
    <mergeCell ref="H58:J58"/>
    <mergeCell ref="N58:T58"/>
    <mergeCell ref="U58:W58"/>
    <mergeCell ref="X58:Z58"/>
    <mergeCell ref="A61:M61"/>
    <mergeCell ref="N61:T61"/>
    <mergeCell ref="U61:Z61"/>
    <mergeCell ref="A59:G59"/>
    <mergeCell ref="H59:J59"/>
    <mergeCell ref="N59:T59"/>
    <mergeCell ref="U59:W59"/>
    <mergeCell ref="X59:Z59"/>
    <mergeCell ref="A60:G60"/>
    <mergeCell ref="H60:J60"/>
    <mergeCell ref="N60:T60"/>
    <mergeCell ref="U60:W60"/>
    <mergeCell ref="X60:Z60"/>
  </mergeCells>
  <printOptions horizontalCentered="1" verticalCentered="1"/>
  <pageMargins left="0.11811023622047245" right="0.11811023622047245" top="0.11811023622047245" bottom="0.11811023622047245" header="0" footer="0"/>
  <pageSetup paperSize="9" scale="84" fitToWidth="2" orientation="portrait" blackAndWhite="1" r:id="rId1"/>
  <headerFooter alignWithMargins="0">
    <oddFooter>&amp;RRev. 01.2021</oddFooter>
  </headerFooter>
  <colBreaks count="1" manualBreakCount="1">
    <brk id="26" max="63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0"/>
  <sheetViews>
    <sheetView showZeros="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4" sqref="C4"/>
    </sheetView>
  </sheetViews>
  <sheetFormatPr defaultColWidth="8.85546875" defaultRowHeight="15" customHeight="1" x14ac:dyDescent="0.25"/>
  <cols>
    <col min="1" max="1" width="4.28515625" style="40" customWidth="1"/>
    <col min="2" max="2" width="50" style="41" customWidth="1"/>
    <col min="3" max="3" width="11.85546875" style="41" customWidth="1"/>
    <col min="4" max="4" width="11.140625" style="40" customWidth="1"/>
    <col min="5" max="5" width="10.42578125" style="42" customWidth="1"/>
    <col min="6" max="6" width="51" style="41" customWidth="1"/>
    <col min="7" max="7" width="12.140625" style="41" customWidth="1"/>
    <col min="8" max="16384" width="8.85546875" style="41"/>
  </cols>
  <sheetData>
    <row r="1" spans="1:11" s="26" customFormat="1" ht="20.25" customHeight="1" x14ac:dyDescent="0.3">
      <c r="B1" s="27" t="str">
        <f>CONCATENATE("Ранец ",Agreement!H3)</f>
        <v>Ранец Fire 1</v>
      </c>
      <c r="E1" s="28"/>
    </row>
    <row r="2" spans="1:11" s="26" customFormat="1" ht="12.75" customHeight="1" x14ac:dyDescent="0.2">
      <c r="A2" s="29"/>
      <c r="B2" s="30" t="s">
        <v>138</v>
      </c>
      <c r="C2" s="30" t="s">
        <v>139</v>
      </c>
      <c r="D2" s="31" t="s">
        <v>140</v>
      </c>
      <c r="E2" s="32" t="s">
        <v>18</v>
      </c>
    </row>
    <row r="3" spans="1:11" s="26" customFormat="1" ht="12.75" customHeight="1" x14ac:dyDescent="0.25">
      <c r="A3" s="34">
        <f>IF(E3=0,"",MAX(A2:A2)+1)</f>
        <v>1</v>
      </c>
      <c r="B3" s="35" t="str">
        <f>B1</f>
        <v>Ранец Fire 1</v>
      </c>
      <c r="C3" s="33">
        <v>1350</v>
      </c>
      <c r="D3" s="33">
        <v>1</v>
      </c>
      <c r="E3" s="34">
        <f>C3*D3</f>
        <v>1350</v>
      </c>
      <c r="F3" s="28" t="str">
        <f>IF(MAX(A1:$A$78)&lt;ROW(A1:A14),"",VLOOKUP(ROW(A1:A14),A1:$B$78,2))</f>
        <v>Ранец Fire 1</v>
      </c>
      <c r="G3" s="28">
        <f>IF(MAX(A1:$A$78)&lt;ROW(A1:A14),"",VLOOKUP(ROW(A1:A14),A1:$E$78,5))</f>
        <v>1350</v>
      </c>
      <c r="I3" s="120"/>
      <c r="J3" s="120" t="s">
        <v>141</v>
      </c>
      <c r="K3" s="120"/>
    </row>
    <row r="4" spans="1:11" s="26" customFormat="1" ht="12.75" customHeight="1" x14ac:dyDescent="0.25">
      <c r="A4" s="34" t="str">
        <f>IF(D4=0,"",MAX($A$2:A3)+1)</f>
        <v/>
      </c>
      <c r="B4" s="35"/>
      <c r="C4" s="33"/>
      <c r="D4" s="33"/>
      <c r="E4" s="34">
        <f>C4*D4</f>
        <v>0</v>
      </c>
      <c r="F4" s="28" t="str">
        <f>IF(MAX(A2:$A$78)&lt;ROW(A2:A15),"",VLOOKUP(ROW(A2:A15),A2:$B$78,2))</f>
        <v>Проверь цвет ПОДВЕСНОЙ</v>
      </c>
      <c r="G4" s="28">
        <f>IF(MAX(A2:$A$78)&lt;ROW(A2:A15),"",VLOOKUP(ROW(A2:A15),A2:$E$78,5))</f>
        <v>0</v>
      </c>
    </row>
    <row r="5" spans="1:11" s="26" customFormat="1" ht="12.75" customHeight="1" x14ac:dyDescent="0.25">
      <c r="A5" s="47" t="str">
        <f>IF(D5=0,"",MAX($A$2:A4)+1)</f>
        <v/>
      </c>
      <c r="B5" s="48" t="s">
        <v>142</v>
      </c>
      <c r="C5" s="49">
        <v>60</v>
      </c>
      <c r="D5" s="49">
        <f>IF(Agreement!M32&lt;&gt;0,1,0)</f>
        <v>0</v>
      </c>
      <c r="E5" s="47">
        <f>C5*D5</f>
        <v>0</v>
      </c>
      <c r="F5" s="28" t="str">
        <f>IF(MAX(A3:$A$78)&lt;ROW(A3:A16),"",VLOOKUP(ROW(A3:A16),A3:$B$78,2))</f>
        <v>Проверь цвет ОКАНТОВКИ</v>
      </c>
      <c r="G5" s="28">
        <f>IF(MAX(A3:$A$78)&lt;ROW(A3:A16),"",VLOOKUP(ROW(A3:A16),A3:$E$78,5))</f>
        <v>0</v>
      </c>
    </row>
    <row r="6" spans="1:11" s="26" customFormat="1" ht="12.75" customHeight="1" x14ac:dyDescent="0.25">
      <c r="A6" s="34">
        <f>IF(D6=0,"",MAX($A$2:A5)+1)</f>
        <v>2</v>
      </c>
      <c r="B6" s="35" t="str">
        <f>IF(Agreement!D36=0,"Проверь цвет ПОДВЕСНОЙ",CONCATENATE("Подвесная, цвет - ",Agreement!D36))</f>
        <v>Проверь цвет ПОДВЕСНОЙ</v>
      </c>
      <c r="C6" s="33">
        <v>0</v>
      </c>
      <c r="D6" s="33">
        <v>1</v>
      </c>
      <c r="E6" s="34">
        <f>C6*D6</f>
        <v>0</v>
      </c>
      <c r="F6" s="28" t="str">
        <f>IF(MAX(A4:$A$78)&lt;ROW(A4:A17),"",VLOOKUP(ROW(A4:A17),A4:$B$78,2))</f>
        <v>Без стандартный вышивок</v>
      </c>
      <c r="G6" s="28">
        <f>IF(MAX(A4:$A$78)&lt;ROW(A4:A17),"",VLOOKUP(ROW(A4:A17),A4:$E$78,5))</f>
        <v>0</v>
      </c>
    </row>
    <row r="7" spans="1:11" s="26" customFormat="1" ht="12.75" customHeight="1" x14ac:dyDescent="0.25">
      <c r="A7" s="34">
        <f>IF(D7=0,"",MAX($A$2:A6)+1)</f>
        <v>3</v>
      </c>
      <c r="B7" s="35" t="str">
        <f>IF(Agreement!I36=0,"Проверь цвет ОКАНТОВКИ",CONCATENATE("Окантовка, цвет - ",Agreement!I36))</f>
        <v>Проверь цвет ОКАНТОВКИ</v>
      </c>
      <c r="C7" s="33">
        <v>0</v>
      </c>
      <c r="D7" s="33">
        <v>1</v>
      </c>
      <c r="E7" s="34">
        <f>C7*D7</f>
        <v>0</v>
      </c>
      <c r="F7" s="28" t="str">
        <f>IF(MAX(A5:$A$78)&lt;ROW(A5:A18),"",VLOOKUP(ROW(A5:A18),A5:$B$78,2))</f>
        <v>ИТОГО</v>
      </c>
      <c r="G7" s="28">
        <f>IF(MAX(A5:$A$78)&lt;ROW(A5:A18),"",VLOOKUP(ROW(A5:A18),A5:$E$78,5))</f>
        <v>1350</v>
      </c>
    </row>
    <row r="8" spans="1:11" s="26" customFormat="1" ht="12.75" customHeight="1" x14ac:dyDescent="0.25">
      <c r="A8" s="34" t="str">
        <f>IF(D8=0,"",MAX($A$2:A7)+1)</f>
        <v/>
      </c>
      <c r="B8" s="35" t="str">
        <f>Agreement!A31</f>
        <v>Лучи($)</v>
      </c>
      <c r="C8" s="33">
        <v>30</v>
      </c>
      <c r="D8" s="33">
        <f>IF(OR(Agreement!D32&gt;0,Agreement!C33&gt;0,Agreement!F33&gt;0,Agreement!C34&gt;0,Agreement!F34&gt;0,Agreement!D35&gt;0),1,0)</f>
        <v>0</v>
      </c>
      <c r="E8" s="34">
        <f t="shared" ref="E8" si="0">C8*D8</f>
        <v>0</v>
      </c>
      <c r="F8" s="28" t="str">
        <f>IF(MAX(A6:$A$78)&lt;ROW(A6:A19),"",VLOOKUP(ROW(A6:A19),A6:$B$78,2))</f>
        <v/>
      </c>
      <c r="G8" s="28" t="str">
        <f>IF(MAX(A6:$A$78)&lt;ROW(A6:A19),"",VLOOKUP(ROW(A6:A19),A6:$E$78,5))</f>
        <v/>
      </c>
    </row>
    <row r="9" spans="1:11" s="26" customFormat="1" ht="12.75" customHeight="1" x14ac:dyDescent="0.25">
      <c r="A9" s="34" t="str">
        <f>IF(D9=0,"",MAX($A$2:A8)+1)</f>
        <v/>
      </c>
      <c r="B9" s="35"/>
      <c r="C9" s="33"/>
      <c r="D9" s="33"/>
      <c r="E9" s="34"/>
      <c r="F9" s="28" t="str">
        <f>IF(MAX(A7:$A$78)&lt;ROW(A7:A20),"",VLOOKUP(ROW(A7:A20),A7:$B$78,2))</f>
        <v/>
      </c>
      <c r="G9" s="28" t="str">
        <f>IF(MAX(A7:$A$78)&lt;ROW(A7:A20),"",VLOOKUP(ROW(A7:A20),A7:$E$78,5))</f>
        <v/>
      </c>
    </row>
    <row r="10" spans="1:11" s="26" customFormat="1" ht="12.75" customHeight="1" x14ac:dyDescent="0.25">
      <c r="A10" s="47" t="str">
        <f>IF(D10=0,"",MAX($A$2:A9)+1)</f>
        <v/>
      </c>
      <c r="B10" s="48" t="str">
        <f>IF(ISNUMBER(Agreement!M34)=TRUE,CONCATENATE("Изменение цвета материала на ",Agreement!M34," деталях"),"Изменение цвета материала -Значение д/б ЦИФРОЙ")</f>
        <v>Изменение цвета материала -Значение д/б ЦИФРОЙ</v>
      </c>
      <c r="C10" s="49">
        <v>50</v>
      </c>
      <c r="D10" s="49">
        <f>IF(Agreement!M34&lt;&gt;0,1,0)</f>
        <v>0</v>
      </c>
      <c r="E10" s="47">
        <f>IF(ISNUMBER(Agreement!M34)=TRUE,C10*Agreement!M34,0)</f>
        <v>0</v>
      </c>
      <c r="F10" s="28" t="str">
        <f>IF(MAX(A8:$A$78)&lt;ROW(A8:A21),"",VLOOKUP(ROW(A8:A21),A8:$B$78,2))</f>
        <v/>
      </c>
      <c r="G10" s="28" t="str">
        <f>IF(MAX(A8:$A$78)&lt;ROW(A8:A21),"",VLOOKUP(ROW(A8:A21),A8:$E$78,5))</f>
        <v/>
      </c>
    </row>
    <row r="11" spans="1:11" s="26" customFormat="1" ht="12.75" customHeight="1" x14ac:dyDescent="0.25">
      <c r="A11" s="47" t="str">
        <f>IF(D11=0,"",MAX($A$2:A10)+1)</f>
        <v/>
      </c>
      <c r="B11" s="48" t="str">
        <f>IF(ISNUMBER(Agreement!M35)=TRUE,CONCATENATE("Изменение цвета окантовки на ",Agreement!M35," деталях"),"Изменение цвета окантовки -Значение д/б ЦИФРОЙ")</f>
        <v>Изменение цвета окантовки -Значение д/б ЦИФРОЙ</v>
      </c>
      <c r="C11" s="49">
        <v>50</v>
      </c>
      <c r="D11" s="49">
        <f>IF(Agreement!M35&lt;&gt;0,1,0)</f>
        <v>0</v>
      </c>
      <c r="E11" s="47">
        <f>IF(ISNUMBER(Agreement!M35)=TRUE,C11*Agreement!M35,0)</f>
        <v>0</v>
      </c>
      <c r="F11" s="28" t="str">
        <f>IF(MAX(A9:$A$78)&lt;ROW(A9:A22),"",VLOOKUP(ROW(A9:A22),A9:$B$78,2))</f>
        <v/>
      </c>
      <c r="G11" s="28" t="str">
        <f>IF(MAX(A9:$A$78)&lt;ROW(A9:A22),"",VLOOKUP(ROW(A9:A22),A9:$E$78,5))</f>
        <v/>
      </c>
    </row>
    <row r="12" spans="1:11" s="26" customFormat="1" ht="12.75" customHeight="1" x14ac:dyDescent="0.25">
      <c r="A12" s="34">
        <f>IF(D12=0,"",MAX($A$2:A11)+1)</f>
        <v>4</v>
      </c>
      <c r="B12" s="35" t="str">
        <f>IF(COUNTA(Agreement!E38:E42)=0,"Без стандартный вышивок",CONCATENATE("Стандартные вышивки на  ",COUNTA(Agreement!E38:E42)," детатях"))</f>
        <v>Без стандартный вышивок</v>
      </c>
      <c r="C12" s="33">
        <v>0</v>
      </c>
      <c r="D12" s="33">
        <v>1</v>
      </c>
      <c r="E12" s="34">
        <f>C12*D12</f>
        <v>0</v>
      </c>
      <c r="F12" s="28" t="str">
        <f>IF(MAX(A10:$A$78)&lt;ROW(A10:A23),"",VLOOKUP(ROW(A10:A23),A10:$B$78,2))</f>
        <v/>
      </c>
      <c r="G12" s="28" t="str">
        <f>IF(MAX(A10:$A$78)&lt;ROW(A10:A23),"",VLOOKUP(ROW(A10:A23),A10:$E$78,5))</f>
        <v/>
      </c>
    </row>
    <row r="13" spans="1:11" s="26" customFormat="1" ht="12.75" customHeight="1" x14ac:dyDescent="0.25">
      <c r="A13" s="47" t="str">
        <f>IF(D13=0,"",MAX($A$2:A12)+1)</f>
        <v/>
      </c>
      <c r="B13" s="48" t="str">
        <f>CONCATENATE("Вышивка текст на ",COUNTA(Agreement!H38:H42)," детатях")</f>
        <v>Вышивка текст на 0 детатях</v>
      </c>
      <c r="C13" s="49">
        <v>30</v>
      </c>
      <c r="D13" s="49">
        <f>IF(COUNTBLANK(Agreement!H38:H42)=5,0,COUNTA(Agreement!H38:H42))</f>
        <v>0</v>
      </c>
      <c r="E13" s="47">
        <f>C13*D13</f>
        <v>0</v>
      </c>
      <c r="F13" s="28" t="str">
        <f>IF(MAX(A11:$A$78)&lt;ROW(A11:A24),"",VLOOKUP(ROW(A11:A24),A11:$B$78,2))</f>
        <v/>
      </c>
      <c r="G13" s="28" t="str">
        <f>IF(MAX(A11:$A$78)&lt;ROW(A11:A24),"",VLOOKUP(ROW(A11:A24),A11:$E$78,5))</f>
        <v/>
      </c>
    </row>
    <row r="14" spans="1:11" s="26" customFormat="1" ht="12.75" customHeight="1" x14ac:dyDescent="0.25">
      <c r="A14" s="47" t="str">
        <f>IF(D14=0,"",MAX($A$2:A13)+1)</f>
        <v/>
      </c>
      <c r="B14" s="48" t="str">
        <f>CONCATENATE("Вышивка Logo на ",COUNTA(Agreement!K38:K42)," детатях")</f>
        <v>Вышивка Logo на 0 детатях</v>
      </c>
      <c r="C14" s="49">
        <v>50</v>
      </c>
      <c r="D14" s="49">
        <f>IF(COUNTBLANK(Agreement!K38:K42)=5,0,COUNTA(Agreement!K38:K42))</f>
        <v>0</v>
      </c>
      <c r="E14" s="47">
        <f>C14*D14</f>
        <v>0</v>
      </c>
      <c r="F14" s="28" t="str">
        <f>IF(MAX(A12:$A$78)&lt;ROW(A12:A25),"",VLOOKUP(ROW(A12:A25),A12:$B$78,2))</f>
        <v/>
      </c>
      <c r="G14" s="28" t="str">
        <f>IF(MAX(A12:$A$78)&lt;ROW(A12:A25),"",VLOOKUP(ROW(A12:A25),A12:$E$78,5))</f>
        <v/>
      </c>
    </row>
    <row r="15" spans="1:11" s="26" customFormat="1" ht="12.75" customHeight="1" x14ac:dyDescent="0.25">
      <c r="A15" s="34" t="str">
        <f>IF(D15=0,"",MAX($A$2:A14)+1)</f>
        <v/>
      </c>
      <c r="B15" s="35" t="s">
        <v>158</v>
      </c>
      <c r="C15" s="33">
        <v>0</v>
      </c>
      <c r="D15" s="33">
        <f>IF(AND(Agreement!S18&lt;&gt;0,Agreement!S20&lt;&gt;0),1,0)</f>
        <v>0</v>
      </c>
      <c r="E15" s="34">
        <f t="shared" ref="E15:E76" si="1">C15*D15</f>
        <v>0</v>
      </c>
      <c r="F15" s="28" t="str">
        <f>IF(MAX(A13:$A$78)&lt;ROW(A13:A26),"",VLOOKUP(ROW(A13:A26),A13:$B$78,2))</f>
        <v/>
      </c>
      <c r="G15" s="28" t="str">
        <f>IF(MAX(A13:$A$78)&lt;ROW(A13:A26),"",VLOOKUP(ROW(A13:A26),A13:$E$78,5))</f>
        <v/>
      </c>
    </row>
    <row r="16" spans="1:11" s="26" customFormat="1" ht="12.75" customHeight="1" x14ac:dyDescent="0.25">
      <c r="A16" s="47" t="str">
        <f>IF(D16=0,"",MAX($A$2:A15)+1)</f>
        <v/>
      </c>
      <c r="B16" s="48" t="s">
        <v>159</v>
      </c>
      <c r="C16" s="49">
        <v>125</v>
      </c>
      <c r="D16" s="49">
        <f>IF(AND(Agreement!S18&lt;&gt;0,Agreement!W20&lt;&gt;0),1,0)</f>
        <v>0</v>
      </c>
      <c r="E16" s="47">
        <f t="shared" si="1"/>
        <v>0</v>
      </c>
      <c r="F16" s="28" t="str">
        <f>IF(MAX(A14:$A$78)&lt;ROW(A14:A27),"",VLOOKUP(ROW(A14:A27),A14:$B$78,2))</f>
        <v/>
      </c>
      <c r="G16" s="28" t="str">
        <f>IF(MAX(A14:$A$78)&lt;ROW(A14:A27),"",VLOOKUP(ROW(A14:A27),A14:$E$78,5))</f>
        <v/>
      </c>
    </row>
    <row r="17" spans="1:10" s="26" customFormat="1" ht="12.75" customHeight="1" x14ac:dyDescent="0.25">
      <c r="A17" s="47" t="str">
        <f>IF(D17=0,"",MAX($A$2:A16)+1)</f>
        <v/>
      </c>
      <c r="B17" s="48" t="s">
        <v>160</v>
      </c>
      <c r="C17" s="49">
        <v>200</v>
      </c>
      <c r="D17" s="49">
        <f>IF(AND(Agreement!S18&lt;&gt;0,Agreement!Z20&lt;&gt;0),1,0)</f>
        <v>0</v>
      </c>
      <c r="E17" s="47">
        <f t="shared" si="1"/>
        <v>0</v>
      </c>
      <c r="F17" s="28" t="str">
        <f>IF(MAX(A15:$A$78)&lt;ROW(A15:A28),"",VLOOKUP(ROW(A15:A28),A15:$B$78,2))</f>
        <v/>
      </c>
      <c r="G17" s="28" t="str">
        <f>IF(MAX(A15:$A$78)&lt;ROW(A15:A28),"",VLOOKUP(ROW(A15:A28),A15:$E$78,5))</f>
        <v/>
      </c>
    </row>
    <row r="18" spans="1:10" s="26" customFormat="1" ht="12.75" customHeight="1" x14ac:dyDescent="0.25">
      <c r="A18" s="47" t="str">
        <f>IF(D18=0,"",MAX($A$2:A17)+1)</f>
        <v/>
      </c>
      <c r="B18" s="48" t="s">
        <v>161</v>
      </c>
      <c r="C18" s="49">
        <v>175</v>
      </c>
      <c r="D18" s="49">
        <f>IF(AND(Agreement!W18&lt;&gt;0,Agreement!S20&lt;&gt;0),1,0)</f>
        <v>0</v>
      </c>
      <c r="E18" s="47">
        <f t="shared" si="1"/>
        <v>0</v>
      </c>
      <c r="F18" s="28" t="str">
        <f>IF(MAX(A16:$A$78)&lt;ROW(A16:A29),"",VLOOKUP(ROW(A16:A29),A16:$B$78,2))</f>
        <v/>
      </c>
      <c r="G18" s="28" t="str">
        <f>IF(MAX(A16:$A$78)&lt;ROW(A16:A29),"",VLOOKUP(ROW(A16:A29),A16:$E$78,5))</f>
        <v/>
      </c>
    </row>
    <row r="19" spans="1:10" s="26" customFormat="1" ht="12.75" customHeight="1" x14ac:dyDescent="0.25">
      <c r="A19" s="47" t="str">
        <f>IF(D19=0,"",MAX($A$2:A18)+1)</f>
        <v/>
      </c>
      <c r="B19" s="48" t="s">
        <v>162</v>
      </c>
      <c r="C19" s="49">
        <v>225</v>
      </c>
      <c r="D19" s="49">
        <f>IF(AND(Agreement!W18&lt;&gt;0,Agreement!W20&lt;&gt;0),1,0)</f>
        <v>0</v>
      </c>
      <c r="E19" s="47">
        <f t="shared" si="1"/>
        <v>0</v>
      </c>
      <c r="F19" s="28" t="str">
        <f>IF(MAX(A17:$A$78)&lt;ROW(A17:A30),"",VLOOKUP(ROW(A17:A30),A17:$B$78,2))</f>
        <v/>
      </c>
      <c r="G19" s="28" t="str">
        <f>IF(MAX(A17:$A$78)&lt;ROW(A17:A30),"",VLOOKUP(ROW(A17:A30),A17:$E$78,5))</f>
        <v/>
      </c>
    </row>
    <row r="20" spans="1:10" s="26" customFormat="1" ht="12.75" customHeight="1" x14ac:dyDescent="0.25">
      <c r="A20" s="50" t="str">
        <f>IF(D20=0,"",MAX($A$2:A19)+1)</f>
        <v/>
      </c>
      <c r="B20" s="67" t="s">
        <v>160</v>
      </c>
      <c r="C20" s="68">
        <v>200</v>
      </c>
      <c r="D20" s="68">
        <f>IF(AND(Agreement!W18&lt;&gt;0,Agreement!Z20&lt;&gt;0),1,0)</f>
        <v>0</v>
      </c>
      <c r="E20" s="69">
        <f t="shared" si="1"/>
        <v>0</v>
      </c>
      <c r="F20" s="28" t="str">
        <f>IF(MAX(A18:$A$78)&lt;ROW(A18:A31),"",VLOOKUP(ROW(A18:A31),A18:$B$78,2))</f>
        <v/>
      </c>
      <c r="G20" s="28" t="str">
        <f>IF(MAX(A18:$A$78)&lt;ROW(A18:A31),"",VLOOKUP(ROW(A18:A31),A18:$E$78,5))</f>
        <v/>
      </c>
    </row>
    <row r="21" spans="1:10" s="26" customFormat="1" ht="12.75" customHeight="1" x14ac:dyDescent="0.25">
      <c r="A21" s="47" t="str">
        <f>IF(D21=0,"",MAX($A$2:A20)+1)</f>
        <v/>
      </c>
      <c r="B21" s="48" t="s">
        <v>163</v>
      </c>
      <c r="C21" s="49">
        <v>175</v>
      </c>
      <c r="D21" s="49">
        <f>IF(AND(Agreement!Z18&lt;&gt;0,Agreement!S20&lt;&gt;0),1,0)</f>
        <v>0</v>
      </c>
      <c r="E21" s="47">
        <f t="shared" si="1"/>
        <v>0</v>
      </c>
      <c r="F21" s="28" t="str">
        <f>IF(MAX(A19:$A$78)&lt;ROW(A19:A32),"",VLOOKUP(ROW(A19:A32),A19:$B$78,2))</f>
        <v/>
      </c>
      <c r="G21" s="28" t="str">
        <f>IF(MAX(A19:$A$78)&lt;ROW(A19:A32),"",VLOOKUP(ROW(A19:A32),A19:$E$78,5))</f>
        <v/>
      </c>
    </row>
    <row r="22" spans="1:10" s="26" customFormat="1" ht="12.75" customHeight="1" x14ac:dyDescent="0.25">
      <c r="A22" s="47" t="str">
        <f>IF(D22=0,"",MAX($A$2:A21)+1)</f>
        <v/>
      </c>
      <c r="B22" s="48" t="s">
        <v>164</v>
      </c>
      <c r="C22" s="49">
        <v>225</v>
      </c>
      <c r="D22" s="49">
        <f>IF(AND(Agreement!Z18&lt;&gt;0,Agreement!W20&lt;&gt;0),1,0)</f>
        <v>0</v>
      </c>
      <c r="E22" s="47">
        <f t="shared" si="1"/>
        <v>0</v>
      </c>
      <c r="F22" s="28" t="str">
        <f>IF(MAX(A20:$A$78)&lt;ROW(A20:A33),"",VLOOKUP(ROW(A20:A33),A20:$B$78,2))</f>
        <v/>
      </c>
      <c r="G22" s="28" t="str">
        <f>IF(MAX(A20:$A$78)&lt;ROW(A20:A33),"",VLOOKUP(ROW(A20:A33),A20:$E$78,5))</f>
        <v/>
      </c>
    </row>
    <row r="23" spans="1:10" s="26" customFormat="1" ht="12.75" customHeight="1" x14ac:dyDescent="0.25">
      <c r="A23" s="50" t="str">
        <f>IF(D23=0,"",MAX($A$2:A22)+1)</f>
        <v/>
      </c>
      <c r="B23" s="67" t="s">
        <v>160</v>
      </c>
      <c r="C23" s="68">
        <v>200</v>
      </c>
      <c r="D23" s="68">
        <f>IF(AND(Agreement!Z18&lt;&gt;0,Agreement!Z20&lt;&gt;0),1,0)</f>
        <v>0</v>
      </c>
      <c r="E23" s="69">
        <f t="shared" si="1"/>
        <v>0</v>
      </c>
      <c r="F23" s="28" t="str">
        <f>IF(MAX(A21:$A$78)&lt;ROW(A21:A34),"",VLOOKUP(ROW(A21:A34),A21:$B$78,2))</f>
        <v/>
      </c>
      <c r="G23" s="28" t="str">
        <f>IF(MAX(A21:$A$78)&lt;ROW(A21:A34),"",VLOOKUP(ROW(A21:A34),A21:$E$78,5))</f>
        <v/>
      </c>
    </row>
    <row r="24" spans="1:10" s="26" customFormat="1" ht="12.75" customHeight="1" x14ac:dyDescent="0.25">
      <c r="A24" s="34" t="str">
        <f>IF(D24=0,"",MAX($A$2:A23)+1)</f>
        <v/>
      </c>
      <c r="B24" s="35" t="s">
        <v>143</v>
      </c>
      <c r="C24" s="33">
        <v>0</v>
      </c>
      <c r="D24" s="33">
        <f>IF(Agreement!S19&lt;&gt;0,1,0)</f>
        <v>0</v>
      </c>
      <c r="E24" s="34">
        <f t="shared" si="1"/>
        <v>0</v>
      </c>
      <c r="F24" s="28" t="str">
        <f>IF(MAX(A22:$A$78)&lt;ROW(A22:A35),"",VLOOKUP(ROW(A22:A35),A22:$B$78,2))</f>
        <v/>
      </c>
      <c r="G24" s="28" t="str">
        <f>IF(MAX(A22:$A$78)&lt;ROW(A22:A35),"",VLOOKUP(ROW(A22:A35),A22:$E$78,5))</f>
        <v/>
      </c>
    </row>
    <row r="25" spans="1:10" s="26" customFormat="1" ht="12.75" customHeight="1" x14ac:dyDescent="0.25">
      <c r="A25" s="34" t="str">
        <f>IF(D25=0,"",MAX($A$2:A24)+1)</f>
        <v/>
      </c>
      <c r="B25" s="35" t="s">
        <v>144</v>
      </c>
      <c r="C25" s="33">
        <v>0</v>
      </c>
      <c r="D25" s="33">
        <f>IF(Agreement!W19&lt;&gt;0,1,0)</f>
        <v>0</v>
      </c>
      <c r="E25" s="34">
        <f t="shared" si="1"/>
        <v>0</v>
      </c>
      <c r="F25" s="28" t="str">
        <f>IF(MAX(A23:$A$78)&lt;ROW(A23:A36),"",VLOOKUP(ROW(A23:A36),A23:$B$78,2))</f>
        <v/>
      </c>
      <c r="G25" s="28" t="str">
        <f>IF(MAX(A23:$A$78)&lt;ROW(A23:A36),"",VLOOKUP(ROW(A23:A36),A23:$E$78,5))</f>
        <v/>
      </c>
    </row>
    <row r="26" spans="1:10" s="26" customFormat="1" ht="12.75" customHeight="1" x14ac:dyDescent="0.25">
      <c r="A26" s="34" t="str">
        <f>IF(D26=0,"",MAX($A$2:A25)+1)</f>
        <v/>
      </c>
      <c r="B26" s="35" t="str">
        <f>Agreement!N21</f>
        <v>Грудная узкая</v>
      </c>
      <c r="C26" s="33"/>
      <c r="D26" s="33">
        <f>IF(Agreement!S21&lt;&gt;0,1,0)</f>
        <v>0</v>
      </c>
      <c r="E26" s="34">
        <f t="shared" si="1"/>
        <v>0</v>
      </c>
      <c r="F26" s="28" t="str">
        <f>IF(MAX(A24:$A$78)&lt;ROW(A24:A37),"",VLOOKUP(ROW(A24:A37),A24:$B$78,2))</f>
        <v/>
      </c>
      <c r="G26" s="28" t="str">
        <f>IF(MAX(A24:$A$78)&lt;ROW(A24:A37),"",VLOOKUP(ROW(A24:A37),A24:$E$78,5))</f>
        <v/>
      </c>
    </row>
    <row r="27" spans="1:10" s="26" customFormat="1" ht="12.75" customHeight="1" x14ac:dyDescent="0.25">
      <c r="A27" s="34" t="str">
        <f>IF(D27=0,"",MAX($A$2:A26)+1)</f>
        <v/>
      </c>
      <c r="B27" s="35" t="s">
        <v>165</v>
      </c>
      <c r="C27" s="33"/>
      <c r="D27" s="33">
        <f>IF(Agreement!W21&lt;&gt;0,1,0)</f>
        <v>0</v>
      </c>
      <c r="E27" s="34">
        <f t="shared" si="1"/>
        <v>0</v>
      </c>
      <c r="F27" s="28" t="str">
        <f>IF(MAX(A25:$A$78)&lt;ROW(A25:A38),"",VLOOKUP(ROW(A25:A38),A25:$B$78,2))</f>
        <v/>
      </c>
      <c r="G27" s="28" t="str">
        <f>IF(MAX(A25:$A$78)&lt;ROW(A25:A38),"",VLOOKUP(ROW(A25:A38),A25:$E$78,5))</f>
        <v/>
      </c>
    </row>
    <row r="28" spans="1:10" s="26" customFormat="1" ht="12.75" customHeight="1" x14ac:dyDescent="0.25">
      <c r="A28" s="34" t="str">
        <f>IF(D28=0,"",MAX($A$2:A27)+1)</f>
        <v/>
      </c>
      <c r="B28" s="35" t="s">
        <v>145</v>
      </c>
      <c r="C28" s="33"/>
      <c r="D28" s="33">
        <f>IF(Agreement!S22&lt;&gt;0,1,0)</f>
        <v>0</v>
      </c>
      <c r="E28" s="34">
        <f t="shared" si="1"/>
        <v>0</v>
      </c>
      <c r="F28" s="28" t="str">
        <f>IF(MAX(A26:$A$78)&lt;ROW(A26:A39),"",VLOOKUP(ROW(A26:A39),A26:$B$78,2))</f>
        <v/>
      </c>
      <c r="G28" s="28" t="str">
        <f>IF(MAX(A26:$A$78)&lt;ROW(A26:A39),"",VLOOKUP(ROW(A26:A39),A26:$E$78,5))</f>
        <v/>
      </c>
    </row>
    <row r="29" spans="1:10" s="26" customFormat="1" ht="12.75" customHeight="1" thickBot="1" x14ac:dyDescent="0.3">
      <c r="A29" s="47" t="str">
        <f>IF(D29=0,"",MAX($A$2:A28)+1)</f>
        <v/>
      </c>
      <c r="B29" s="48" t="s">
        <v>146</v>
      </c>
      <c r="C29" s="49">
        <v>50</v>
      </c>
      <c r="D29" s="49">
        <f>IF(Agreement!W22&lt;&gt;0,1,0)</f>
        <v>0</v>
      </c>
      <c r="E29" s="47">
        <f t="shared" si="1"/>
        <v>0</v>
      </c>
      <c r="F29" s="28" t="str">
        <f>IF(MAX(A27:$A$78)&lt;ROW(A27:A40),"",VLOOKUP(ROW(A27:A40),A27:$B$78,2))</f>
        <v/>
      </c>
      <c r="G29" s="28" t="str">
        <f>IF(MAX(A27:$A$78)&lt;ROW(A27:A40),"",VLOOKUP(ROW(A27:A40),A27:$E$78,5))</f>
        <v/>
      </c>
    </row>
    <row r="30" spans="1:10" s="26" customFormat="1" ht="12.75" customHeight="1" x14ac:dyDescent="0.25">
      <c r="A30" s="34" t="str">
        <f>IF(D30=0,"",MAX($A$2:A29)+1)</f>
        <v/>
      </c>
      <c r="B30" s="35" t="s">
        <v>166</v>
      </c>
      <c r="C30" s="33"/>
      <c r="D30" s="33">
        <f>IF(OR(J30=FALSE,J30=0),0,1)</f>
        <v>0</v>
      </c>
      <c r="E30" s="34">
        <f t="shared" si="1"/>
        <v>0</v>
      </c>
      <c r="F30" s="28" t="str">
        <f>IF(MAX(A28:$A$78)&lt;ROW(A28:A41),"",VLOOKUP(ROW(A28:A41),A28:$B$78,2))</f>
        <v/>
      </c>
      <c r="G30" s="28" t="str">
        <f>IF(MAX(A28:$A$78)&lt;ROW(A28:A41),"",VLOOKUP(ROW(A28:A41),A28:$E$78,5))</f>
        <v/>
      </c>
      <c r="J30" s="44">
        <f>IF(AND(Agreement!S23=0,Agreement!S24=0,Agreement!W24=0,Agreement!Z24=0),0,IF(AND(Agreement!S23&lt;&gt;0,Agreement!S24=0,Agreement!W24=0,Agreement!Z24=0),1))</f>
        <v>0</v>
      </c>
    </row>
    <row r="31" spans="1:10" s="26" customFormat="1" ht="12.75" customHeight="1" x14ac:dyDescent="0.25">
      <c r="A31" s="34" t="str">
        <f>IF(D31=0,"",MAX($A$2:A30)+1)</f>
        <v/>
      </c>
      <c r="B31" s="35" t="s">
        <v>167</v>
      </c>
      <c r="C31" s="33">
        <v>0</v>
      </c>
      <c r="D31" s="33">
        <f>IF(Agreement!W23&lt;&gt;0,1,0)</f>
        <v>0</v>
      </c>
      <c r="E31" s="34">
        <f t="shared" si="1"/>
        <v>0</v>
      </c>
      <c r="F31" s="28" t="str">
        <f>IF(MAX(A29:$A$78)&lt;ROW(A29:A42),"",VLOOKUP(ROW(A29:A42),A29:$B$78,2))</f>
        <v/>
      </c>
      <c r="G31" s="28" t="str">
        <f>IF(MAX(A29:$A$78)&lt;ROW(A29:A42),"",VLOOKUP(ROW(A29:A42),A29:$E$78,5))</f>
        <v/>
      </c>
      <c r="J31" s="43"/>
    </row>
    <row r="32" spans="1:10" s="26" customFormat="1" ht="12.75" customHeight="1" x14ac:dyDescent="0.25">
      <c r="A32" s="47" t="str">
        <f>IF(D32=0,"",MAX($A$2:A31)+1)</f>
        <v/>
      </c>
      <c r="B32" s="48" t="s">
        <v>168</v>
      </c>
      <c r="C32" s="49">
        <v>25</v>
      </c>
      <c r="D32" s="49">
        <f>IF(OR(J32=FALSE,J32=0),0,1)</f>
        <v>0</v>
      </c>
      <c r="E32" s="47">
        <f t="shared" si="1"/>
        <v>0</v>
      </c>
      <c r="F32" s="28" t="str">
        <f>IF(MAX(A30:$A$78)&lt;ROW(A30:A43),"",VLOOKUP(ROW(A30:A43),A30:$B$78,2))</f>
        <v/>
      </c>
      <c r="G32" s="28" t="str">
        <f>IF(MAX(A30:$A$78)&lt;ROW(A30:A43),"",VLOOKUP(ROW(A30:A43),A30:$E$78,5))</f>
        <v/>
      </c>
      <c r="J32" s="45">
        <f>IF(AND(Agreement!S23=0,Agreement!S24=0,Agreement!W24=0,Agreement!Z24=0),0,IF(AND(Agreement!S23&lt;&gt;0,Agreement!S24&lt;&gt;0,Agreement!W24=0,Agreement!Z24=0),1))</f>
        <v>0</v>
      </c>
    </row>
    <row r="33" spans="1:10" s="26" customFormat="1" ht="12.75" customHeight="1" x14ac:dyDescent="0.25">
      <c r="A33" s="47" t="str">
        <f>IF(D33=0,"",MAX($A$2:A32)+1)</f>
        <v/>
      </c>
      <c r="B33" s="48" t="s">
        <v>169</v>
      </c>
      <c r="C33" s="49">
        <v>25</v>
      </c>
      <c r="D33" s="49">
        <f t="shared" ref="D33:D36" si="2">IF(OR(J33=FALSE,J33=0),0,1)</f>
        <v>0</v>
      </c>
      <c r="E33" s="47">
        <f t="shared" si="1"/>
        <v>0</v>
      </c>
      <c r="F33" s="28" t="str">
        <f>IF(MAX(A31:$A$78)&lt;ROW(A31:A44),"",VLOOKUP(ROW(A31:A44),A31:$B$78,2))</f>
        <v/>
      </c>
      <c r="G33" s="28" t="str">
        <f>IF(MAX(A31:$A$78)&lt;ROW(A31:A44),"",VLOOKUP(ROW(A31:A44),A31:$E$78,5))</f>
        <v/>
      </c>
      <c r="J33" s="45">
        <f>IF(AND(Agreement!S23=0,Agreement!S24=0,Agreement!W24=0,Agreement!Z24=0),0,IF(AND(Agreement!S23&lt;&gt;0,Agreement!S24=0,Agreement!W24&lt;&gt;0,Agreement!Z24=0),1))</f>
        <v>0</v>
      </c>
    </row>
    <row r="34" spans="1:10" s="26" customFormat="1" ht="12.75" customHeight="1" x14ac:dyDescent="0.25">
      <c r="A34" s="47" t="str">
        <f>IF(D34=0,"",MAX($A$2:A33)+1)</f>
        <v/>
      </c>
      <c r="B34" s="48" t="s">
        <v>170</v>
      </c>
      <c r="C34" s="49">
        <v>25</v>
      </c>
      <c r="D34" s="49">
        <f t="shared" si="2"/>
        <v>0</v>
      </c>
      <c r="E34" s="47">
        <f t="shared" si="1"/>
        <v>0</v>
      </c>
      <c r="F34" s="28" t="str">
        <f>IF(MAX(A32:$A$78)&lt;ROW(A32:A45),"",VLOOKUP(ROW(A32:A45),A32:$B$78,2))</f>
        <v/>
      </c>
      <c r="G34" s="28" t="str">
        <f>IF(MAX(A32:$A$78)&lt;ROW(A32:A45),"",VLOOKUP(ROW(A32:A45),A32:$E$78,5))</f>
        <v/>
      </c>
      <c r="J34" s="45">
        <f>IF(AND(Agreement!S23=0,Agreement!S24=0,Agreement!W24=0,Agreement!Z24=0),0,IF(AND(Agreement!S23&lt;&gt;0,Agreement!S24=0,Agreement!W24=0,Agreement!Z24&lt;&gt;0),1))</f>
        <v>0</v>
      </c>
    </row>
    <row r="35" spans="1:10" s="26" customFormat="1" ht="12.75" customHeight="1" x14ac:dyDescent="0.25">
      <c r="A35" s="47" t="str">
        <f>IF(D35=0,"",MAX($A$2:A34)+1)</f>
        <v/>
      </c>
      <c r="B35" s="48" t="s">
        <v>171</v>
      </c>
      <c r="C35" s="49">
        <v>50</v>
      </c>
      <c r="D35" s="49">
        <f t="shared" si="2"/>
        <v>0</v>
      </c>
      <c r="E35" s="47">
        <f t="shared" si="1"/>
        <v>0</v>
      </c>
      <c r="F35" s="28" t="str">
        <f>IF(MAX(A33:$A$78)&lt;ROW(A33:A46),"",VLOOKUP(ROW(A33:A46),A33:$B$78,2))</f>
        <v/>
      </c>
      <c r="G35" s="28" t="str">
        <f>IF(MAX(A33:$A$78)&lt;ROW(A33:A46),"",VLOOKUP(ROW(A33:A46),A33:$E$78,5))</f>
        <v/>
      </c>
      <c r="J35" s="45">
        <f>IF(AND(Agreement!S23=0,Agreement!S24=0,Agreement!W24=0,Agreement!Z24=0),0,IF(AND(Agreement!S23&lt;&gt;0,Agreement!S24&lt;&gt;0,Agreement!W24&lt;&gt;0,Agreement!Z24=0),1))</f>
        <v>0</v>
      </c>
    </row>
    <row r="36" spans="1:10" s="26" customFormat="1" ht="12.75" customHeight="1" thickBot="1" x14ac:dyDescent="0.3">
      <c r="A36" s="47" t="str">
        <f>IF(D36=0,"",MAX($A$2:A35)+1)</f>
        <v/>
      </c>
      <c r="B36" s="48" t="s">
        <v>172</v>
      </c>
      <c r="C36" s="49">
        <v>75</v>
      </c>
      <c r="D36" s="49">
        <f t="shared" si="2"/>
        <v>0</v>
      </c>
      <c r="E36" s="47">
        <f t="shared" si="1"/>
        <v>0</v>
      </c>
      <c r="F36" s="28" t="str">
        <f>IF(MAX(A34:$A$78)&lt;ROW(A34:A47),"",VLOOKUP(ROW(A34:A47),A34:$B$78,2))</f>
        <v/>
      </c>
      <c r="G36" s="28" t="str">
        <f>IF(MAX(A34:$A$78)&lt;ROW(A34:A47),"",VLOOKUP(ROW(A34:A47),A34:$E$78,5))</f>
        <v/>
      </c>
      <c r="J36" s="46">
        <f>IF(AND(Agreement!S23=0,Agreement!S24=0,Agreement!W24=0,Agreement!Z24=0),0,IF(AND(Agreement!S23&lt;&gt;0,Agreement!S24&lt;&gt;0,Agreement!W24&lt;&gt;0,Agreement!Z24&lt;&gt;0),1))</f>
        <v>0</v>
      </c>
    </row>
    <row r="37" spans="1:10" s="26" customFormat="1" ht="12.75" customHeight="1" x14ac:dyDescent="0.25">
      <c r="A37" s="34" t="str">
        <f>IF(D37=0,"",MAX($A$2:A36)+1)</f>
        <v/>
      </c>
      <c r="B37" s="35" t="s">
        <v>173</v>
      </c>
      <c r="C37" s="33"/>
      <c r="D37" s="33">
        <f>IF(Agreement!S25&lt;&gt;0,1,0)</f>
        <v>0</v>
      </c>
      <c r="E37" s="34">
        <f t="shared" si="1"/>
        <v>0</v>
      </c>
      <c r="F37" s="28" t="str">
        <f>IF(MAX(A35:$A$78)&lt;ROW(A35:A48),"",VLOOKUP(ROW(A35:A48),A35:$B$78,2))</f>
        <v/>
      </c>
      <c r="G37" s="28" t="str">
        <f>IF(MAX(A35:$A$78)&lt;ROW(A35:A48),"",VLOOKUP(ROW(A35:A48),A35:$E$78,5))</f>
        <v/>
      </c>
    </row>
    <row r="38" spans="1:10" s="26" customFormat="1" ht="12.75" customHeight="1" x14ac:dyDescent="0.25">
      <c r="A38" s="34" t="str">
        <f>IF(D38=0,"",MAX($A$2:A37)+1)</f>
        <v/>
      </c>
      <c r="B38" s="35" t="s">
        <v>174</v>
      </c>
      <c r="C38" s="33"/>
      <c r="D38" s="33">
        <f>IF(Agreement!W25&lt;&gt;0,1,0)</f>
        <v>0</v>
      </c>
      <c r="E38" s="34">
        <f t="shared" si="1"/>
        <v>0</v>
      </c>
      <c r="F38" s="28" t="str">
        <f>IF(MAX(A36:$A$78)&lt;ROW(A36:A49),"",VLOOKUP(ROW(A36:A49),A36:$B$78,2))</f>
        <v/>
      </c>
      <c r="G38" s="28" t="str">
        <f>IF(MAX(A36:$A$78)&lt;ROW(A36:A49),"",VLOOKUP(ROW(A36:A49),A36:$E$78,5))</f>
        <v/>
      </c>
    </row>
    <row r="39" spans="1:10" s="26" customFormat="1" ht="12.75" customHeight="1" x14ac:dyDescent="0.25">
      <c r="A39" s="34" t="str">
        <f>IF(D39=0,"",MAX($A$2:A38)+1)</f>
        <v/>
      </c>
      <c r="B39" s="35" t="s">
        <v>175</v>
      </c>
      <c r="C39" s="33"/>
      <c r="D39" s="33">
        <f>IF(Agreement!Z25&lt;&gt;0,1,0)</f>
        <v>0</v>
      </c>
      <c r="E39" s="34">
        <f t="shared" si="1"/>
        <v>0</v>
      </c>
      <c r="F39" s="28" t="str">
        <f>IF(MAX(A37:$A$78)&lt;ROW(A37:A50),"",VLOOKUP(ROW(A37:A50),A37:$B$78,2))</f>
        <v/>
      </c>
      <c r="G39" s="28" t="str">
        <f>IF(MAX(A37:$A$78)&lt;ROW(A37:A50),"",VLOOKUP(ROW(A37:A50),A37:$E$78,5))</f>
        <v/>
      </c>
    </row>
    <row r="40" spans="1:10" s="26" customFormat="1" ht="12.75" customHeight="1" x14ac:dyDescent="0.25">
      <c r="A40" s="47" t="str">
        <f>IF(D40=0,"",MAX($A$2:A39)+1)</f>
        <v/>
      </c>
      <c r="B40" s="48" t="str">
        <f>Agreement!N26</f>
        <v>Матерчатые клеванты ($)</v>
      </c>
      <c r="C40" s="49">
        <v>25</v>
      </c>
      <c r="D40" s="49">
        <f>IF(Agreement!W26&lt;&gt;0,1,0)</f>
        <v>0</v>
      </c>
      <c r="E40" s="47">
        <f t="shared" si="1"/>
        <v>0</v>
      </c>
      <c r="F40" s="28" t="str">
        <f>IF(MAX(A38:$A$78)&lt;ROW(A38:A51),"",VLOOKUP(ROW(A38:A51),A38:$B$78,2))</f>
        <v/>
      </c>
      <c r="G40" s="28" t="str">
        <f>IF(MAX(A38:$A$78)&lt;ROW(A38:A51),"",VLOOKUP(ROW(A38:A51),A38:$E$78,5))</f>
        <v/>
      </c>
    </row>
    <row r="41" spans="1:10" s="26" customFormat="1" ht="12.75" customHeight="1" x14ac:dyDescent="0.25">
      <c r="A41" s="34" t="str">
        <f>IF(D41=0,"",MAX($A$2:A40)+1)</f>
        <v/>
      </c>
      <c r="B41" s="35" t="str">
        <f>Agreement!N28</f>
        <v>Контейнер ОП Std</v>
      </c>
      <c r="C41" s="33"/>
      <c r="D41" s="33">
        <f>IF(Agreement!S28&lt;&gt;0,1,0)</f>
        <v>0</v>
      </c>
      <c r="E41" s="34">
        <f t="shared" si="1"/>
        <v>0</v>
      </c>
      <c r="F41" s="28" t="str">
        <f>IF(MAX(A39:$A$78)&lt;ROW(A39:A52),"",VLOOKUP(ROW(A39:A52),A39:$B$78,2))</f>
        <v/>
      </c>
      <c r="G41" s="28" t="str">
        <f>IF(MAX(A39:$A$78)&lt;ROW(A39:A52),"",VLOOKUP(ROW(A39:A52),A39:$E$78,5))</f>
        <v/>
      </c>
    </row>
    <row r="42" spans="1:10" s="26" customFormat="1" ht="12.75" customHeight="1" x14ac:dyDescent="0.25">
      <c r="A42" s="34" t="str">
        <f>IF(D42=0,"",MAX($A$2:A41)+1)</f>
        <v/>
      </c>
      <c r="B42" s="35" t="s">
        <v>176</v>
      </c>
      <c r="C42" s="33"/>
      <c r="D42" s="33">
        <f>IF(Agreement!W28&lt;&gt;0,1,0)</f>
        <v>0</v>
      </c>
      <c r="E42" s="34">
        <f t="shared" si="1"/>
        <v>0</v>
      </c>
      <c r="F42" s="28" t="str">
        <f>IF(MAX(A40:$A$78)&lt;ROW(A40:A53),"",VLOOKUP(ROW(A40:A53),A40:$B$78,2))</f>
        <v/>
      </c>
      <c r="G42" s="28" t="str">
        <f>IF(MAX(A40:$A$78)&lt;ROW(A40:A53),"",VLOOKUP(ROW(A40:A53),A40:$E$78,5))</f>
        <v/>
      </c>
    </row>
    <row r="43" spans="1:10" s="26" customFormat="1" ht="12.75" customHeight="1" x14ac:dyDescent="0.25">
      <c r="A43" s="34" t="str">
        <f>IF(D43=0,"",MAX($A$2:A42)+1)</f>
        <v/>
      </c>
      <c r="B43" s="35" t="str">
        <f>Agreement!N29</f>
        <v>Спинка ParaPack</v>
      </c>
      <c r="C43" s="33"/>
      <c r="D43" s="33">
        <f>IF(Agreement!S29&lt;&gt;0,1,0)</f>
        <v>0</v>
      </c>
      <c r="E43" s="34">
        <f t="shared" si="1"/>
        <v>0</v>
      </c>
      <c r="F43" s="28" t="str">
        <f>IF(MAX(A41:$A$78)&lt;ROW(A41:A54),"",VLOOKUP(ROW(A41:A54),A41:$B$78,2))</f>
        <v/>
      </c>
      <c r="G43" s="28" t="str">
        <f>IF(MAX(A41:$A$78)&lt;ROW(A41:A54),"",VLOOKUP(ROW(A41:A54),A41:$E$78,5))</f>
        <v/>
      </c>
    </row>
    <row r="44" spans="1:10" s="26" customFormat="1" ht="12.75" customHeight="1" x14ac:dyDescent="0.25">
      <c r="A44" s="47" t="str">
        <f>IF(D44=0,"",MAX($A$2:A43)+1)</f>
        <v/>
      </c>
      <c r="B44" s="48" t="s">
        <v>177</v>
      </c>
      <c r="C44" s="49">
        <v>125</v>
      </c>
      <c r="D44" s="49">
        <f>IF(Agreement!W29&lt;&gt;0,1,0)</f>
        <v>0</v>
      </c>
      <c r="E44" s="47">
        <f t="shared" si="1"/>
        <v>0</v>
      </c>
      <c r="F44" s="28" t="str">
        <f>IF(MAX(A42:$A$78)&lt;ROW(A42:A55),"",VLOOKUP(ROW(A42:A55),A42:$B$78,2))</f>
        <v/>
      </c>
      <c r="G44" s="28" t="str">
        <f>IF(MAX(A42:$A$78)&lt;ROW(A42:A55),"",VLOOKUP(ROW(A42:A55),A42:$E$78,5))</f>
        <v/>
      </c>
    </row>
    <row r="45" spans="1:10" s="26" customFormat="1" ht="12.75" customHeight="1" x14ac:dyDescent="0.25">
      <c r="A45" s="34" t="str">
        <f>IF(D45=0,"",MAX($A$2:A44)+1)</f>
        <v/>
      </c>
      <c r="B45" s="35" t="str">
        <f>Agreement!N30</f>
        <v>Поясной широкий</v>
      </c>
      <c r="C45" s="33"/>
      <c r="D45" s="33">
        <f>IF(Agreement!S30&lt;&gt;0,1,0)</f>
        <v>0</v>
      </c>
      <c r="E45" s="34">
        <f t="shared" si="1"/>
        <v>0</v>
      </c>
      <c r="F45" s="28" t="str">
        <f>IF(MAX(A43:$A$78)&lt;ROW(A43:A56),"",VLOOKUP(ROW(A43:A56),A43:$B$78,2))</f>
        <v/>
      </c>
      <c r="G45" s="28" t="str">
        <f>IF(MAX(A43:$A$78)&lt;ROW(A43:A56),"",VLOOKUP(ROW(A43:A56),A43:$E$78,5))</f>
        <v/>
      </c>
    </row>
    <row r="46" spans="1:10" s="26" customFormat="1" ht="12.75" customHeight="1" x14ac:dyDescent="0.25">
      <c r="A46" s="34" t="str">
        <f>IF(D46=0,"",MAX($A$2:A45)+1)</f>
        <v/>
      </c>
      <c r="B46" s="121" t="s">
        <v>195</v>
      </c>
      <c r="C46" s="33"/>
      <c r="D46" s="33">
        <f>IF(Agreement!W30&lt;&gt;0,1,0)</f>
        <v>0</v>
      </c>
      <c r="E46" s="34">
        <f t="shared" si="1"/>
        <v>0</v>
      </c>
      <c r="F46" s="28" t="str">
        <f>IF(MAX(A44:$A$78)&lt;ROW(A44:A57),"",VLOOKUP(ROW(A44:A57),A44:$B$78,2))</f>
        <v/>
      </c>
      <c r="G46" s="28" t="str">
        <f>IF(MAX(A44:$A$78)&lt;ROW(A44:A57),"",VLOOKUP(ROW(A44:A57),A44:$E$78,5))</f>
        <v/>
      </c>
    </row>
    <row r="47" spans="1:10" s="26" customFormat="1" ht="12.75" customHeight="1" x14ac:dyDescent="0.25">
      <c r="A47" s="34" t="str">
        <f>IF(D47=0,"",MAX($A$2:A46)+1)</f>
        <v/>
      </c>
      <c r="B47" s="35" t="str">
        <f>Agreement!N31</f>
        <v>Ножной Std</v>
      </c>
      <c r="C47" s="33"/>
      <c r="D47" s="33">
        <f>IF(Agreement!S31&lt;&gt;0,1,0)</f>
        <v>0</v>
      </c>
      <c r="E47" s="34">
        <f t="shared" si="1"/>
        <v>0</v>
      </c>
      <c r="F47" s="28" t="str">
        <f>IF(MAX(A45:$A$78)&lt;ROW(A45:A58),"",VLOOKUP(ROW(A45:A58),A45:$B$78,2))</f>
        <v/>
      </c>
      <c r="G47" s="28" t="str">
        <f>IF(MAX(A45:$A$78)&lt;ROW(A45:A58),"",VLOOKUP(ROW(A45:A58),A45:$E$78,5))</f>
        <v/>
      </c>
    </row>
    <row r="48" spans="1:10" s="26" customFormat="1" ht="12.75" customHeight="1" x14ac:dyDescent="0.25">
      <c r="A48" s="34" t="str">
        <f>IF(D48=0,"",MAX($A$2:A47)+1)</f>
        <v/>
      </c>
      <c r="B48" s="35" t="s">
        <v>178</v>
      </c>
      <c r="C48" s="33"/>
      <c r="D48" s="33">
        <f>IF(Agreement!W31&lt;&gt;0,1,0)</f>
        <v>0</v>
      </c>
      <c r="E48" s="34">
        <f t="shared" si="1"/>
        <v>0</v>
      </c>
      <c r="F48" s="28" t="str">
        <f>IF(MAX(A46:$A$78)&lt;ROW(A46:A59),"",VLOOKUP(ROW(A46:A59),A46:$B$78,2))</f>
        <v/>
      </c>
      <c r="G48" s="28" t="str">
        <f>IF(MAX(A46:$A$78)&lt;ROW(A46:A59),"",VLOOKUP(ROW(A46:A59),A46:$E$78,5))</f>
        <v/>
      </c>
    </row>
    <row r="49" spans="1:10" s="26" customFormat="1" ht="12.75" customHeight="1" thickBot="1" x14ac:dyDescent="0.3">
      <c r="A49" s="53" t="str">
        <f>IF(D49=0,"",MAX($A$2:A48)+1)</f>
        <v/>
      </c>
      <c r="B49" s="54" t="s">
        <v>147</v>
      </c>
      <c r="C49" s="55"/>
      <c r="D49" s="55">
        <f>IF(AND(Agreement!S33&lt;&gt;0,Agreement!X33=0),1,0)</f>
        <v>0</v>
      </c>
      <c r="E49" s="53">
        <f t="shared" si="1"/>
        <v>0</v>
      </c>
      <c r="F49" s="28" t="str">
        <f>IF(MAX(A47:$A$78)&lt;ROW(A47:A60),"",VLOOKUP(ROW(A47:A60),A47:$B$78,2))</f>
        <v/>
      </c>
      <c r="G49" s="28" t="str">
        <f>IF(MAX(A47:$A$78)&lt;ROW(A47:A60),"",VLOOKUP(ROW(A47:A60),A47:$E$78,5))</f>
        <v/>
      </c>
    </row>
    <row r="50" spans="1:10" s="26" customFormat="1" ht="12.75" customHeight="1" x14ac:dyDescent="0.25">
      <c r="A50" s="59" t="str">
        <f>IF(D50=0,"",MAX($A$2:A49)+1)</f>
        <v/>
      </c>
      <c r="B50" s="60" t="s">
        <v>148</v>
      </c>
      <c r="C50" s="61"/>
      <c r="D50" s="61">
        <f>IF(Agreement!X33&lt;&gt;0,1,0)</f>
        <v>0</v>
      </c>
      <c r="E50" s="62">
        <f t="shared" si="1"/>
        <v>0</v>
      </c>
      <c r="F50" s="28" t="str">
        <f>IF(MAX(A48:$A$78)&lt;ROW(A48:A61),"",VLOOKUP(ROW(A48:A61),A48:$B$78,2))</f>
        <v/>
      </c>
      <c r="G50" s="28" t="str">
        <f>IF(MAX(A48:$A$78)&lt;ROW(A48:A61),"",VLOOKUP(ROW(A48:A61),A48:$E$78,5))</f>
        <v/>
      </c>
    </row>
    <row r="51" spans="1:10" s="26" customFormat="1" ht="12.75" customHeight="1" thickBot="1" x14ac:dyDescent="0.3">
      <c r="A51" s="63" t="str">
        <f>IF(D51=0,"",MAX($A$2:A50)+1)</f>
        <v/>
      </c>
      <c r="B51" s="64" t="str">
        <f>CONCATENATE("Цвет подушки опцепки - ",Agreement!X33)</f>
        <v xml:space="preserve">Цвет подушки опцепки - </v>
      </c>
      <c r="C51" s="65">
        <v>25</v>
      </c>
      <c r="D51" s="65">
        <f>IF(D50&lt;&gt;0,1,0)</f>
        <v>0</v>
      </c>
      <c r="E51" s="66">
        <f t="shared" si="1"/>
        <v>0</v>
      </c>
      <c r="F51" s="28" t="str">
        <f>IF(MAX(A49:$A$78)&lt;ROW(A49:A62),"",VLOOKUP(ROW(A49:A62),A49:$B$78,2))</f>
        <v/>
      </c>
      <c r="G51" s="28" t="str">
        <f>IF(MAX(A49:$A$78)&lt;ROW(A49:A62),"",VLOOKUP(ROW(A49:A62),A49:$E$78,5))</f>
        <v/>
      </c>
    </row>
    <row r="52" spans="1:10" s="26" customFormat="1" ht="12.75" customHeight="1" x14ac:dyDescent="0.25">
      <c r="A52" s="56" t="str">
        <f>IF(D52=0,"",MAX($A$2:A51)+1)</f>
        <v/>
      </c>
      <c r="B52" s="57" t="s">
        <v>149</v>
      </c>
      <c r="C52" s="58">
        <v>0</v>
      </c>
      <c r="D52" s="58">
        <f>IF(Agreement!S34&lt;&gt;0,1,0)</f>
        <v>0</v>
      </c>
      <c r="E52" s="56">
        <f t="shared" si="1"/>
        <v>0</v>
      </c>
      <c r="F52" s="28" t="str">
        <f>IF(MAX(A50:$A$78)&lt;ROW(A50:A63),"",VLOOKUP(ROW(A50:A63),A50:$B$78,2))</f>
        <v/>
      </c>
      <c r="G52" s="28" t="str">
        <f>IF(MAX(A50:$A$78)&lt;ROW(A50:A63),"",VLOOKUP(ROW(A50:A63),A50:$E$78,5))</f>
        <v/>
      </c>
    </row>
    <row r="53" spans="1:10" s="26" customFormat="1" ht="12.75" customHeight="1" thickBot="1" x14ac:dyDescent="0.3">
      <c r="A53" s="47" t="str">
        <f>IF(D53=0,"",MAX($A$2:A52)+1)</f>
        <v/>
      </c>
      <c r="B53" s="48" t="str">
        <f>CONCATENATE("Подушка ЗП, цвет - ",Agreement!X34)</f>
        <v xml:space="preserve">Подушка ЗП, цвет - </v>
      </c>
      <c r="C53" s="49">
        <v>25</v>
      </c>
      <c r="D53" s="49">
        <f>IF(Agreement!X34&lt;&gt;0,1,0)</f>
        <v>0</v>
      </c>
      <c r="E53" s="47">
        <f t="shared" si="1"/>
        <v>0</v>
      </c>
      <c r="F53" s="28" t="str">
        <f>IF(MAX(A51:$A$78)&lt;ROW(A51:A64),"",VLOOKUP(ROW(A51:A64),A51:$B$78,2))</f>
        <v/>
      </c>
      <c r="G53" s="28" t="str">
        <f>IF(MAX(A51:$A$78)&lt;ROW(A51:A64),"",VLOOKUP(ROW(A51:A64),A51:$E$78,5))</f>
        <v/>
      </c>
    </row>
    <row r="54" spans="1:10" s="26" customFormat="1" ht="12.75" customHeight="1" x14ac:dyDescent="0.25">
      <c r="A54" s="34" t="str">
        <f>IF(D54=0,"",MAX($A$2:A53)+1)</f>
        <v/>
      </c>
      <c r="B54" s="35" t="s">
        <v>181</v>
      </c>
      <c r="C54" s="33"/>
      <c r="D54" s="33">
        <f t="shared" ref="D54:D59" si="3">IF(OR(J54=FALSE,J54=0),0,1)</f>
        <v>0</v>
      </c>
      <c r="E54" s="34">
        <f t="shared" si="1"/>
        <v>0</v>
      </c>
      <c r="F54" s="28" t="str">
        <f>IF(MAX(A52:$A$78)&lt;ROW(A52:A65),"",VLOOKUP(ROW(A52:A65),A52:$B$78,2))</f>
        <v/>
      </c>
      <c r="G54" s="28" t="str">
        <f>IF(MAX(A52:$A$78)&lt;ROW(A52:A65),"",VLOOKUP(ROW(A52:A65),A52:$E$78,5))</f>
        <v/>
      </c>
      <c r="J54" s="44">
        <f>IF(AND(Agreement!S35=0,Agreement!W35=0,Agreement!Z35=0),0,IF(AND(Agreement!S35&lt;&gt;0,Agreement!W35=0,Agreement!Z35=0),1))</f>
        <v>0</v>
      </c>
    </row>
    <row r="55" spans="1:10" s="26" customFormat="1" ht="12.75" customHeight="1" x14ac:dyDescent="0.25">
      <c r="A55" s="47" t="str">
        <f>IF(D55=0,"",MAX($A$2:A54)+1)</f>
        <v/>
      </c>
      <c r="B55" s="48" t="s">
        <v>157</v>
      </c>
      <c r="C55" s="49">
        <v>50</v>
      </c>
      <c r="D55" s="49">
        <f t="shared" si="3"/>
        <v>0</v>
      </c>
      <c r="E55" s="47">
        <f t="shared" si="1"/>
        <v>0</v>
      </c>
      <c r="F55" s="28" t="str">
        <f>IF(MAX(A53:$A$78)&lt;ROW(A53:A66),"",VLOOKUP(ROW(A53:A66),A53:$B$78,2))</f>
        <v/>
      </c>
      <c r="G55" s="28" t="str">
        <f>IF(MAX(A53:$A$78)&lt;ROW(A53:A66),"",VLOOKUP(ROW(A53:A66),A53:$E$78,5))</f>
        <v/>
      </c>
      <c r="J55" s="45">
        <f>IF(AND(Agreement!S35=0,Agreement!W35=0,Agreement!Z35=0),0,IF(AND(Agreement!S35=0,Agreement!W35&lt;&gt;0,Agreement!Z35=0),1))</f>
        <v>0</v>
      </c>
    </row>
    <row r="56" spans="1:10" s="26" customFormat="1" ht="12.75" customHeight="1" x14ac:dyDescent="0.25">
      <c r="A56" s="47" t="str">
        <f>IF(D56=0,"",MAX($A$2:A55)+1)</f>
        <v/>
      </c>
      <c r="B56" s="48" t="s">
        <v>150</v>
      </c>
      <c r="C56" s="49">
        <v>70</v>
      </c>
      <c r="D56" s="49">
        <f t="shared" si="3"/>
        <v>0</v>
      </c>
      <c r="E56" s="47">
        <f t="shared" si="1"/>
        <v>0</v>
      </c>
      <c r="F56" s="28" t="str">
        <f>IF(MAX(A54:$A$78)&lt;ROW(A54:A67),"",VLOOKUP(ROW(A54:A67),A54:$B$78,2))</f>
        <v/>
      </c>
      <c r="G56" s="28" t="str">
        <f>IF(MAX(A54:$A$78)&lt;ROW(A54:A67),"",VLOOKUP(ROW(A54:A67),A54:$E$78,5))</f>
        <v/>
      </c>
      <c r="J56" s="45">
        <f>IF(AND(Agreement!S35=0,Agreement!W35=0,Agreement!Z35=0),0,IF(AND(Agreement!S35=0,Agreement!W35=0,Agreement!Z35&lt;&gt;0),1))</f>
        <v>0</v>
      </c>
    </row>
    <row r="57" spans="1:10" s="26" customFormat="1" ht="12.75" customHeight="1" x14ac:dyDescent="0.25">
      <c r="A57" s="34" t="str">
        <f>IF(D57=0,"",MAX($A$2:A56)+1)</f>
        <v/>
      </c>
      <c r="B57" s="35" t="s">
        <v>151</v>
      </c>
      <c r="C57" s="33"/>
      <c r="D57" s="33">
        <f t="shared" si="3"/>
        <v>0</v>
      </c>
      <c r="E57" s="34">
        <f t="shared" si="1"/>
        <v>0</v>
      </c>
      <c r="F57" s="28" t="str">
        <f>IF(MAX(A55:$A$78)&lt;ROW(A55:A68),"",VLOOKUP(ROW(A55:A68),A55:$B$78,2))</f>
        <v/>
      </c>
      <c r="G57" s="28" t="str">
        <f>IF(MAX(A55:$A$78)&lt;ROW(A55:A68),"",VLOOKUP(ROW(A55:A68),A55:$E$78,5))</f>
        <v/>
      </c>
      <c r="J57" s="45">
        <f>IF(AND(Agreement!S36=0,Agreement!W36=0,Agreement!Z36=0),0,IF(AND(Agreement!S36&lt;&gt;0,Agreement!W36=0,Agreement!Z36=0),1))</f>
        <v>0</v>
      </c>
    </row>
    <row r="58" spans="1:10" s="26" customFormat="1" ht="12.75" customHeight="1" x14ac:dyDescent="0.25">
      <c r="A58" s="47" t="str">
        <f>IF(D58=0,"",MAX($A$2:A57)+1)</f>
        <v/>
      </c>
      <c r="B58" s="48" t="s">
        <v>152</v>
      </c>
      <c r="C58" s="49">
        <v>170</v>
      </c>
      <c r="D58" s="49">
        <f t="shared" si="3"/>
        <v>0</v>
      </c>
      <c r="E58" s="47">
        <f t="shared" si="1"/>
        <v>0</v>
      </c>
      <c r="F58" s="28" t="str">
        <f>IF(MAX(A56:$A$78)&lt;ROW(A56:A69),"",VLOOKUP(ROW(A56:A69),A56:$B$78,2))</f>
        <v/>
      </c>
      <c r="G58" s="28" t="str">
        <f>IF(MAX(A56:$A$78)&lt;ROW(A56:A69),"",VLOOKUP(ROW(A56:A69),A56:$E$78,5))</f>
        <v/>
      </c>
      <c r="J58" s="45">
        <f>IF(AND(Agreement!S36=0,Agreement!W36=0,Agreement!Z36=0),0,IF(AND(Agreement!S36=0,Agreement!W36&lt;&gt;0,Agreement!Z36=0),1))</f>
        <v>0</v>
      </c>
    </row>
    <row r="59" spans="1:10" s="26" customFormat="1" ht="12.75" customHeight="1" thickBot="1" x14ac:dyDescent="0.3">
      <c r="A59" s="47" t="str">
        <f>IF(D59=0,"",MAX($A$2:A58)+1)</f>
        <v/>
      </c>
      <c r="B59" s="48" t="s">
        <v>153</v>
      </c>
      <c r="C59" s="49">
        <v>190</v>
      </c>
      <c r="D59" s="49">
        <f t="shared" si="3"/>
        <v>0</v>
      </c>
      <c r="E59" s="47">
        <f t="shared" si="1"/>
        <v>0</v>
      </c>
      <c r="F59" s="28" t="str">
        <f>IF(MAX(A57:$A$78)&lt;ROW(A57:A70),"",VLOOKUP(ROW(A57:A70),A57:$B$78,2))</f>
        <v/>
      </c>
      <c r="G59" s="28" t="str">
        <f>IF(MAX(A57:$A$78)&lt;ROW(A57:A70),"",VLOOKUP(ROW(A57:A70),A57:$E$78,5))</f>
        <v/>
      </c>
      <c r="J59" s="46">
        <f>IF(AND(Agreement!S36=0,Agreement!W36=0,Agreement!Z36=0),0,IF(AND(Agreement!S36=0,Agreement!W36=0,Agreement!Z36&lt;&gt;0),1))</f>
        <v>0</v>
      </c>
    </row>
    <row r="60" spans="1:10" s="26" customFormat="1" ht="12.75" customHeight="1" x14ac:dyDescent="0.25">
      <c r="A60" s="47" t="str">
        <f>IF(D60=0,"",MAX($A$2:A59)+1)</f>
        <v/>
      </c>
      <c r="B60" s="48" t="b">
        <f>IF(AND(Agreement!S39&lt;&gt;0,Agreement!S40&lt;&gt;0,Agreement!X39=0,Agreement!X40=0),CONCATENATE(Agreement!N39," - ",Agreement!N40),IF(AND(Agreement!S39&lt;&gt;0,Agreement!S40=0,Agreement!X39=0,Agreement!X40&lt;&gt;0),CONCATENATE(Agreement!N39," ",Agreement!T40," - ",Agreement!X40)))</f>
        <v>0</v>
      </c>
      <c r="C60" s="33">
        <f>IF(B60="Медуза ОП ZP 725 - Цвет Std",0,25)</f>
        <v>25</v>
      </c>
      <c r="D60" s="49">
        <f>IF(AND(Agreement!S39=0,Agreement!X39=0),0,IF(AND(Agreement!S39&lt;&gt;0,Agreement!X39=0),1,0))</f>
        <v>0</v>
      </c>
      <c r="E60" s="47">
        <f t="shared" si="1"/>
        <v>0</v>
      </c>
      <c r="F60" s="28" t="str">
        <f>IF(MAX(A58:$A$78)&lt;ROW(A58:A71),"",VLOOKUP(ROW(A58:A71),A58:$B$78,2))</f>
        <v/>
      </c>
      <c r="G60" s="28" t="str">
        <f>IF(MAX(A58:$A$78)&lt;ROW(A58:A71),"",VLOOKUP(ROW(A58:A71),A58:$E$78,5))</f>
        <v/>
      </c>
    </row>
    <row r="61" spans="1:10" s="26" customFormat="1" ht="12.75" customHeight="1" x14ac:dyDescent="0.25">
      <c r="A61" s="47" t="str">
        <f>IF(D61=0,"",MAX($A$2:A60)+1)</f>
        <v/>
      </c>
      <c r="B61" s="48" t="b">
        <f>IF(AND(Agreement!S39=0,Agreement!S40&lt;&gt;0,Agreement!X39&lt;&gt;0,Agreement!X40=0),CONCATENATE("Медуза ОП ",Agreement!T39," - ",Agreement!N40),IF(AND(Agreement!S39=0,Agreement!S40=0,Agreement!X39&lt;&gt;0,Agreement!X40&lt;&gt;0),CONCATENATE("Медуза ОП ",Agreement!T39," ",Agreement!T40," - ",Agreement!X40)))</f>
        <v>0</v>
      </c>
      <c r="C61" s="33">
        <f>IF(B61="Медуза ОП F-111 825 - Цвет Std",0,25)</f>
        <v>25</v>
      </c>
      <c r="D61" s="49">
        <f>IF(AND(Agreement!S39=0,Agreement!X39=0),0,IF(AND(Agreement!S39=0,Agreement!X39&lt;&gt;0),1,0))</f>
        <v>0</v>
      </c>
      <c r="E61" s="47">
        <f t="shared" si="1"/>
        <v>0</v>
      </c>
      <c r="F61" s="28" t="str">
        <f>IF(MAX(A59:$A$78)&lt;ROW(A59:A72),"",VLOOKUP(ROW(A59:A72),A59:$B$78,2))</f>
        <v/>
      </c>
      <c r="G61" s="28" t="str">
        <f>IF(MAX(A59:$A$78)&lt;ROW(A59:A72),"",VLOOKUP(ROW(A59:A72),A59:$E$78,5))</f>
        <v/>
      </c>
    </row>
    <row r="62" spans="1:10" s="26" customFormat="1" ht="12.75" customHeight="1" x14ac:dyDescent="0.25">
      <c r="A62" s="34" t="str">
        <f>IF(D62=0,"",MAX($A$2:A61)+1)</f>
        <v/>
      </c>
      <c r="B62" s="35" t="s">
        <v>182</v>
      </c>
      <c r="C62" s="33"/>
      <c r="D62" s="33">
        <f>IF(Agreement!O38&lt;&gt;0,1,0)</f>
        <v>0</v>
      </c>
      <c r="E62" s="34">
        <f t="shared" si="1"/>
        <v>0</v>
      </c>
      <c r="F62" s="28" t="str">
        <f>IF(MAX(A60:$A$78)&lt;ROW(A60:A73),"",VLOOKUP(ROW(A60:A73),A60:$B$78,2))</f>
        <v/>
      </c>
      <c r="G62" s="28" t="str">
        <f>IF(MAX(A60:$A$78)&lt;ROW(A60:A73),"",VLOOKUP(ROW(A60:A73),A60:$E$78,5))</f>
        <v/>
      </c>
    </row>
    <row r="63" spans="1:10" s="26" customFormat="1" ht="12.75" customHeight="1" x14ac:dyDescent="0.25">
      <c r="A63" s="34" t="str">
        <f>IF(D63=0,"",MAX($A$2:A62)+1)</f>
        <v/>
      </c>
      <c r="B63" s="48">
        <f>IF(AND(Agreement!Q38&lt;&gt;0,OR(Agreement!Y38="Red",Agreement!Y38="red")),"Привод медузы ОП мячик, цвет Red (Std)",IF(AND(Agreement!Q38&lt;&gt;0,OR(Agreement!Y38&lt;&gt;"Red")),CONCATENATE("Привод медузы ОП мячик, цвет  - ",Agreement!Y38),))</f>
        <v>0</v>
      </c>
      <c r="C63" s="33">
        <f>IF(B63="Привод медузы ОП мячик, цвет Red (Std)",0,0)</f>
        <v>0</v>
      </c>
      <c r="D63" s="49">
        <f>IF(Agreement!Q38&lt;&gt;0,1,0)</f>
        <v>0</v>
      </c>
      <c r="E63" s="47">
        <f t="shared" si="1"/>
        <v>0</v>
      </c>
      <c r="F63" s="28" t="str">
        <f>IF(MAX(A61:$A$78)&lt;ROW(A61:A74),"",VLOOKUP(ROW(A61:A74),A61:$B$78,2))</f>
        <v/>
      </c>
      <c r="G63" s="28" t="str">
        <f>IF(MAX(A61:$A$78)&lt;ROW(A61:A74),"",VLOOKUP(ROW(A61:A74),A61:$E$78,5))</f>
        <v/>
      </c>
    </row>
    <row r="64" spans="1:10" s="26" customFormat="1" ht="12.75" customHeight="1" x14ac:dyDescent="0.25">
      <c r="A64" s="34" t="str">
        <f>IF(D64=0,"",MAX($A$2:A63)+1)</f>
        <v/>
      </c>
      <c r="B64" s="35" t="s">
        <v>183</v>
      </c>
      <c r="C64" s="33"/>
      <c r="D64" s="33">
        <f>IF(Agreement!W38&lt;&gt;0,1,0)</f>
        <v>0</v>
      </c>
      <c r="E64" s="34">
        <f t="shared" si="1"/>
        <v>0</v>
      </c>
      <c r="F64" s="28" t="str">
        <f>IF(MAX(A62:$A$78)&lt;ROW(A62:A75),"",VLOOKUP(ROW(A62:A75),A62:$B$78,2))</f>
        <v/>
      </c>
      <c r="G64" s="28" t="str">
        <f>IF(MAX(A62:$A$78)&lt;ROW(A62:A75),"",VLOOKUP(ROW(A62:A75),A62:$E$78,5))</f>
        <v/>
      </c>
    </row>
    <row r="65" spans="1:7" s="26" customFormat="1" ht="12.75" customHeight="1" x14ac:dyDescent="0.25">
      <c r="A65" s="34" t="str">
        <f>IF(D65=0,"",MAX($A$2:A64)+1)</f>
        <v/>
      </c>
      <c r="B65" s="51" t="s">
        <v>184</v>
      </c>
      <c r="C65" s="52"/>
      <c r="D65" s="52">
        <f>IF(Agreement!T38&lt;&gt;0,1,0)</f>
        <v>0</v>
      </c>
      <c r="E65" s="50">
        <f t="shared" si="1"/>
        <v>0</v>
      </c>
      <c r="F65" s="28" t="str">
        <f>IF(MAX(A63:$A$78)&lt;ROW(A63:A76),"",VLOOKUP(ROW(A63:A76),A63:$B$78,2))</f>
        <v/>
      </c>
      <c r="G65" s="28" t="str">
        <f>IF(MAX(A63:$A$78)&lt;ROW(A63:A76),"",VLOOKUP(ROW(A63:A76),A63:$E$78,5))</f>
        <v/>
      </c>
    </row>
    <row r="66" spans="1:7" s="26" customFormat="1" ht="12.75" customHeight="1" x14ac:dyDescent="0.25">
      <c r="A66" s="47" t="str">
        <f>IF(D66=0,"",MAX($A$2:A65)+1)</f>
        <v/>
      </c>
      <c r="B66" s="67" t="str">
        <f>CONCATENATE("Цвет привода - ",Agreement!Y38)</f>
        <v xml:space="preserve">Цвет привода - </v>
      </c>
      <c r="C66" s="68"/>
      <c r="D66" s="68">
        <f>IF(Agreement!Y38&lt;&gt;0,1,0)</f>
        <v>0</v>
      </c>
      <c r="E66" s="69">
        <f t="shared" si="1"/>
        <v>0</v>
      </c>
      <c r="F66" s="28" t="str">
        <f>IF(MAX(A64:$A$78)&lt;ROW(A64:A77),"",VLOOKUP(ROW(A64:A77),A64:$B$78,2))</f>
        <v/>
      </c>
      <c r="G66" s="28" t="str">
        <f>IF(MAX(A64:$A$78)&lt;ROW(A64:A77),"",VLOOKUP(ROW(A64:A77),A64:$E$78,5))</f>
        <v/>
      </c>
    </row>
    <row r="67" spans="1:7" s="26" customFormat="1" ht="12.75" customHeight="1" x14ac:dyDescent="0.25">
      <c r="A67" s="34" t="str">
        <f>IF(D67=0,"",MAX($A$2:A66)+1)</f>
        <v/>
      </c>
      <c r="B67" s="35" t="s">
        <v>185</v>
      </c>
      <c r="C67" s="33"/>
      <c r="D67" s="33">
        <f>IF(Agreement!S41&lt;&gt;0,1,0)</f>
        <v>0</v>
      </c>
      <c r="E67" s="34">
        <f t="shared" si="1"/>
        <v>0</v>
      </c>
      <c r="F67" s="28" t="str">
        <f>IF(MAX(A65:$A$78)&lt;ROW(A65:A78),"",VLOOKUP(ROW(A65:A78),A65:$B$78,2))</f>
        <v/>
      </c>
      <c r="G67" s="28" t="str">
        <f>IF(MAX(A65:$A$78)&lt;ROW(A65:A78),"",VLOOKUP(ROW(A65:A78),A65:$E$78,5))</f>
        <v/>
      </c>
    </row>
    <row r="68" spans="1:7" s="26" customFormat="1" ht="12.75" customHeight="1" x14ac:dyDescent="0.25">
      <c r="A68" s="34" t="str">
        <f>IF(D68=0,"",MAX($A$2:A67)+1)</f>
        <v/>
      </c>
      <c r="B68" s="35" t="s">
        <v>186</v>
      </c>
      <c r="C68" s="33"/>
      <c r="D68" s="33">
        <f>IF(Agreement!X41&lt;&gt;0,1,0)</f>
        <v>0</v>
      </c>
      <c r="E68" s="34">
        <f t="shared" si="1"/>
        <v>0</v>
      </c>
      <c r="F68" s="28" t="str">
        <f>IF(MAX(A66:$A$78)&lt;ROW(A66:A79),"",VLOOKUP(ROW(A66:A79),A66:$B$78,2))</f>
        <v/>
      </c>
      <c r="G68" s="28" t="str">
        <f>IF(MAX(A66:$A$78)&lt;ROW(A66:A79),"",VLOOKUP(ROW(A66:A79),A66:$E$78,5))</f>
        <v/>
      </c>
    </row>
    <row r="69" spans="1:7" s="26" customFormat="1" ht="12.75" customHeight="1" x14ac:dyDescent="0.25">
      <c r="A69" s="34" t="str">
        <f>IF(D69=0,"",MAX($A$2:A68)+1)</f>
        <v/>
      </c>
      <c r="B69" s="35" t="str">
        <f>Agreement!N42</f>
        <v>Камера ОП Std</v>
      </c>
      <c r="C69" s="33"/>
      <c r="D69" s="33">
        <f>IF(Agreement!S42&lt;&gt;0,1,0)</f>
        <v>0</v>
      </c>
      <c r="E69" s="34">
        <f t="shared" si="1"/>
        <v>0</v>
      </c>
      <c r="F69" s="28" t="str">
        <f>IF(MAX(A67:$A$78)&lt;ROW(A67:A80),"",VLOOKUP(ROW(A67:A80),A67:$B$78,2))</f>
        <v/>
      </c>
      <c r="G69" s="28" t="str">
        <f>IF(MAX(A67:$A$78)&lt;ROW(A67:A80),"",VLOOKUP(ROW(A67:A80),A67:$E$78,5))</f>
        <v/>
      </c>
    </row>
    <row r="70" spans="1:7" s="26" customFormat="1" ht="12.75" customHeight="1" x14ac:dyDescent="0.25">
      <c r="A70" s="34" t="str">
        <f>IF(D70=0,"",MAX($A$2:A69)+1)</f>
        <v/>
      </c>
      <c r="B70" s="48" t="s">
        <v>187</v>
      </c>
      <c r="C70" s="49">
        <v>30</v>
      </c>
      <c r="D70" s="49">
        <f>IF(Agreement!X42&lt;&gt;0,1,0)</f>
        <v>0</v>
      </c>
      <c r="E70" s="47">
        <f t="shared" si="1"/>
        <v>0</v>
      </c>
      <c r="F70" s="28" t="str">
        <f>IF(MAX(A68:$A$78)&lt;ROW(A68:A81),"",VLOOKUP(ROW(A68:A81),A68:$B$78,2))</f>
        <v/>
      </c>
      <c r="G70" s="28" t="str">
        <f>IF(MAX(A68:$A$78)&lt;ROW(A68:A81),"",VLOOKUP(ROW(A68:A81),A68:$E$78,5))</f>
        <v/>
      </c>
    </row>
    <row r="71" spans="1:7" s="26" customFormat="1" ht="12.75" customHeight="1" x14ac:dyDescent="0.25">
      <c r="A71" s="34" t="str">
        <f>IF(D71=0,"",MAX($A$2:A70)+1)</f>
        <v/>
      </c>
      <c r="B71" s="48" t="str">
        <f>Agreement!N43</f>
        <v>Защита на карман медузы ОП ($)</v>
      </c>
      <c r="C71" s="49">
        <v>30</v>
      </c>
      <c r="D71" s="49">
        <f>IF(Agreement!X43&lt;&gt;0,1,0)</f>
        <v>0</v>
      </c>
      <c r="E71" s="47">
        <f t="shared" si="1"/>
        <v>0</v>
      </c>
      <c r="F71" s="28" t="str">
        <f>IF(MAX(A69:$A$78)&lt;ROW(A69:A82),"",VLOOKUP(ROW(A69:A82),A69:$B$78,2))</f>
        <v/>
      </c>
      <c r="G71" s="28" t="str">
        <f>IF(MAX(A69:$A$78)&lt;ROW(A69:A82),"",VLOOKUP(ROW(A69:A82),A69:$E$78,5))</f>
        <v/>
      </c>
    </row>
    <row r="72" spans="1:7" s="26" customFormat="1" ht="12.75" customHeight="1" x14ac:dyDescent="0.25">
      <c r="A72" s="34" t="str">
        <f>IF(D72=0,"",MAX($A$2:A71)+1)</f>
        <v/>
      </c>
      <c r="B72" s="48" t="str">
        <f>Agreement!N45</f>
        <v>Стропорез пластик($)</v>
      </c>
      <c r="C72" s="49">
        <v>25</v>
      </c>
      <c r="D72" s="49">
        <f>IF(Agreement!T45&lt;&gt;0,1,0)</f>
        <v>0</v>
      </c>
      <c r="E72" s="47">
        <f t="shared" si="1"/>
        <v>0</v>
      </c>
      <c r="F72" s="28" t="str">
        <f>IF(MAX(A70:$A$78)&lt;ROW(A70:A83),"",VLOOKUP(ROW(A70:A83),A70:$B$78,2))</f>
        <v/>
      </c>
      <c r="G72" s="28" t="str">
        <f>IF(MAX(A70:$A$78)&lt;ROW(A70:A83),"",VLOOKUP(ROW(A70:A83),A70:$E$78,5))</f>
        <v/>
      </c>
    </row>
    <row r="73" spans="1:7" s="26" customFormat="1" ht="12.75" customHeight="1" x14ac:dyDescent="0.25">
      <c r="A73" s="34" t="str">
        <f>IF(D73=0,"",MAX($A$2:A72)+1)</f>
        <v/>
      </c>
      <c r="B73" s="48" t="str">
        <f>Agreement!U45</f>
        <v>Стропорез Metal($)</v>
      </c>
      <c r="C73" s="49">
        <v>50</v>
      </c>
      <c r="D73" s="49">
        <f>IF(Agreement!Z45&lt;&gt;0,1,0)</f>
        <v>0</v>
      </c>
      <c r="E73" s="47">
        <f t="shared" si="1"/>
        <v>0</v>
      </c>
      <c r="F73" s="28" t="str">
        <f>IF(MAX(A71:$A$78)&lt;ROW(A71:A84),"",VLOOKUP(ROW(A71:A84),A71:$B$78,2))</f>
        <v/>
      </c>
      <c r="G73" s="28" t="str">
        <f>IF(MAX(A71:$A$78)&lt;ROW(A71:A84),"",VLOOKUP(ROW(A71:A84),A71:$E$78,5))</f>
        <v/>
      </c>
    </row>
    <row r="74" spans="1:7" s="26" customFormat="1" ht="12.75" customHeight="1" x14ac:dyDescent="0.25">
      <c r="A74" s="34" t="str">
        <f>IF(D74=0,"",MAX($A$2:A73)+1)</f>
        <v/>
      </c>
      <c r="B74" s="70" t="s">
        <v>189</v>
      </c>
      <c r="C74" s="49">
        <v>175</v>
      </c>
      <c r="D74" s="49">
        <f>IF(Agreement!Z46&lt;&gt;0,1,0)</f>
        <v>0</v>
      </c>
      <c r="E74" s="47">
        <f t="shared" si="1"/>
        <v>0</v>
      </c>
      <c r="F74" s="28" t="str">
        <f>IF(MAX(A72:$A$78)&lt;ROW(A72:A85),"",VLOOKUP(ROW(A72:A85),A72:$B$78,2))</f>
        <v/>
      </c>
      <c r="G74" s="28" t="str">
        <f>IF(MAX(A72:$A$78)&lt;ROW(A72:A85),"",VLOOKUP(ROW(A72:A85),A72:$E$78,5))</f>
        <v/>
      </c>
    </row>
    <row r="75" spans="1:7" s="26" customFormat="1" ht="12.75" customHeight="1" x14ac:dyDescent="0.25">
      <c r="A75" s="34" t="str">
        <f>IF(D75=0,"",MAX($A$2:A74)+1)</f>
        <v/>
      </c>
      <c r="B75" s="70" t="s">
        <v>190</v>
      </c>
      <c r="C75" s="49">
        <v>225</v>
      </c>
      <c r="D75" s="49">
        <f>IF(Agreement!Z47&lt;&gt;0,1,0)</f>
        <v>0</v>
      </c>
      <c r="E75" s="47">
        <f t="shared" si="1"/>
        <v>0</v>
      </c>
      <c r="F75" s="28" t="str">
        <f>IF(MAX(A73:$A$78)&lt;ROW(A73:A86),"",VLOOKUP(ROW(A73:A86),A73:$B$78,2))</f>
        <v/>
      </c>
      <c r="G75" s="28" t="str">
        <f>IF(MAX(A73:$A$78)&lt;ROW(A73:A86),"",VLOOKUP(ROW(A73:A86),A73:$E$78,5))</f>
        <v/>
      </c>
    </row>
    <row r="76" spans="1:7" s="26" customFormat="1" ht="12.75" customHeight="1" x14ac:dyDescent="0.25">
      <c r="A76" s="34" t="str">
        <f>IF(D76=0,"",MAX($A$2:A75)+1)</f>
        <v/>
      </c>
      <c r="B76" s="48" t="s">
        <v>154</v>
      </c>
      <c r="C76" s="49">
        <v>50</v>
      </c>
      <c r="D76" s="49">
        <f>IF(Agreement!Z48&lt;&gt;0,1,0)</f>
        <v>0</v>
      </c>
      <c r="E76" s="47">
        <f t="shared" si="1"/>
        <v>0</v>
      </c>
      <c r="F76" s="28" t="str">
        <f>IF(MAX(A74:$A$78)&lt;ROW(A74:A87),"",VLOOKUP(ROW(A74:A87),A74:$B$78,2))</f>
        <v/>
      </c>
      <c r="G76" s="28" t="str">
        <f>IF(MAX(A74:$A$78)&lt;ROW(A74:A87),"",VLOOKUP(ROW(A74:A87),A74:$E$78,5))</f>
        <v/>
      </c>
    </row>
    <row r="77" spans="1:7" s="26" customFormat="1" ht="12.75" customHeight="1" x14ac:dyDescent="0.25">
      <c r="A77" s="34" t="str">
        <f>IF(D77=0,"",MAX($A$2:A76)+1)</f>
        <v/>
      </c>
      <c r="B77" s="48" t="s">
        <v>155</v>
      </c>
      <c r="C77" s="49">
        <v>50</v>
      </c>
      <c r="D77" s="49"/>
      <c r="E77" s="47">
        <f t="shared" ref="E77" si="4">C77*D77</f>
        <v>0</v>
      </c>
      <c r="F77" s="28" t="str">
        <f>IF(MAX(A75:$A$78)&lt;ROW(A75:A88),"",VLOOKUP(ROW(A75:A88),A75:$B$78,2))</f>
        <v/>
      </c>
      <c r="G77" s="28" t="str">
        <f>IF(MAX(A75:$A$78)&lt;ROW(A75:A88),"",VLOOKUP(ROW(A75:A88),A75:$E$78,5))</f>
        <v/>
      </c>
    </row>
    <row r="78" spans="1:7" s="26" customFormat="1" ht="12.75" customHeight="1" x14ac:dyDescent="0.2">
      <c r="A78" s="36">
        <f>IF(D78=0,"",MAX($A$2:A77)+1)</f>
        <v>5</v>
      </c>
      <c r="B78" s="37" t="s">
        <v>156</v>
      </c>
      <c r="C78" s="37"/>
      <c r="D78" s="37">
        <f>SUM(D3:D77)</f>
        <v>4</v>
      </c>
      <c r="E78" s="38">
        <f>SUM(E3:E77)</f>
        <v>1350</v>
      </c>
      <c r="F78" s="28" t="str">
        <f>IF(MAX(A76:$A$78)&lt;ROW(A76:A89),"",VLOOKUP(ROW(A76:A89),A76:$B$78,2))</f>
        <v/>
      </c>
      <c r="G78" s="28" t="str">
        <f>IF(MAX(A76:$A$78)&lt;ROW(A76:A89),"",VLOOKUP(ROW(A76:A89),A76:$E$78,5))</f>
        <v/>
      </c>
    </row>
    <row r="79" spans="1:7" s="26" customFormat="1" ht="12.75" customHeight="1" x14ac:dyDescent="0.2">
      <c r="A79" s="39" t="str">
        <f>IF(D79=0,"",MAX($A$2:A78)+1)</f>
        <v/>
      </c>
      <c r="E79" s="28"/>
      <c r="F79" s="28" t="str">
        <f>IF(MAX(A77:$A$78)&lt;ROW(A77:A90),"",VLOOKUP(ROW(A77:A90),A77:$B$78,2))</f>
        <v/>
      </c>
      <c r="G79" s="28" t="str">
        <f>IF(MAX(A77:$A$78)&lt;ROW(A77:A90),"",VLOOKUP(ROW(A77:A90),A77:$E$78,5))</f>
        <v/>
      </c>
    </row>
    <row r="80" spans="1:7" s="26" customFormat="1" ht="12.75" customHeight="1" x14ac:dyDescent="0.2">
      <c r="A80" s="39" t="str">
        <f>IF(D80=0,"",MAX($A$2:A79)+1)</f>
        <v/>
      </c>
      <c r="E80" s="28"/>
      <c r="F80" s="28" t="str">
        <f>IF(MAX(A78:$A$78)&lt;ROW(A78:A91),"",VLOOKUP(ROW(A78:A91),A78:$B$78,2))</f>
        <v/>
      </c>
      <c r="G80" s="28" t="str">
        <f>IF(MAX(A78:$A$78)&lt;ROW(A78:A91),"",VLOOKUP(ROW(A78:A91),A78:$E$78,5))</f>
        <v/>
      </c>
    </row>
    <row r="81" spans="6:7" ht="15" customHeight="1" x14ac:dyDescent="0.25">
      <c r="F81" s="28" t="str">
        <f>IF(MAX(A$78:$A79)&lt;ROW(A79:A92),"",VLOOKUP(ROW(A79:A92),A$78:$B79,2))</f>
        <v/>
      </c>
      <c r="G81" s="28" t="str">
        <f>IF(MAX(A$78:$A79)&lt;ROW(A79:A92),"",VLOOKUP(ROW(A79:A92),A$78:$E79,5))</f>
        <v/>
      </c>
    </row>
    <row r="82" spans="6:7" ht="15" customHeight="1" x14ac:dyDescent="0.25">
      <c r="F82" s="28" t="str">
        <f>IF(MAX(A$78:$A80)&lt;ROW(A80:A93),"",VLOOKUP(ROW(A80:A93),A$78:$B80,2))</f>
        <v/>
      </c>
      <c r="G82" s="28" t="str">
        <f>IF(MAX(A$78:$A80)&lt;ROW(A80:A93),"",VLOOKUP(ROW(A80:A93),A$78:$E80,5))</f>
        <v/>
      </c>
    </row>
    <row r="83" spans="6:7" ht="15" customHeight="1" x14ac:dyDescent="0.25">
      <c r="F83" s="28" t="str">
        <f>IF(MAX(A$78:$A81)&lt;ROW(A81:A94),"",VLOOKUP(ROW(A81:A94),A$78:$B81,2))</f>
        <v/>
      </c>
      <c r="G83" s="28" t="str">
        <f>IF(MAX(A$78:$A81)&lt;ROW(A81:A94),"",VLOOKUP(ROW(A81:A94),A$78:$E81,5))</f>
        <v/>
      </c>
    </row>
    <row r="84" spans="6:7" ht="15" customHeight="1" x14ac:dyDescent="0.25">
      <c r="F84" s="28" t="str">
        <f>IF(MAX(A$78:$A82)&lt;ROW(A82:A95),"",VLOOKUP(ROW(A82:A95),A$78:$B82,2))</f>
        <v/>
      </c>
      <c r="G84" s="28" t="str">
        <f>IF(MAX(A$78:$A82)&lt;ROW(A82:A95),"",VLOOKUP(ROW(A82:A95),A$78:$E82,5))</f>
        <v/>
      </c>
    </row>
    <row r="85" spans="6:7" ht="15" customHeight="1" x14ac:dyDescent="0.25">
      <c r="F85" s="28" t="str">
        <f>IF(MAX(A$78:$A83)&lt;ROW(A83:A96),"",VLOOKUP(ROW(A83:A96),A$78:$B83,2))</f>
        <v/>
      </c>
      <c r="G85" s="28" t="str">
        <f>IF(MAX(A$78:$A83)&lt;ROW(A83:A96),"",VLOOKUP(ROW(A83:A96),A$78:$E83,5))</f>
        <v/>
      </c>
    </row>
    <row r="86" spans="6:7" ht="15" customHeight="1" x14ac:dyDescent="0.25">
      <c r="F86" s="28" t="str">
        <f>IF(MAX(A$78:$A84)&lt;ROW(A84:A97),"",VLOOKUP(ROW(A84:A97),A$78:$B84,2))</f>
        <v/>
      </c>
      <c r="G86" s="28" t="str">
        <f>IF(MAX(A$78:$A84)&lt;ROW(A84:A97),"",VLOOKUP(ROW(A84:A97),A$78:$E84,5))</f>
        <v/>
      </c>
    </row>
    <row r="87" spans="6:7" ht="15" customHeight="1" x14ac:dyDescent="0.25">
      <c r="F87" s="28" t="str">
        <f>IF(MAX(A$78:$A85)&lt;ROW(A85:A98),"",VLOOKUP(ROW(A85:A98),A$78:$B85,2))</f>
        <v/>
      </c>
      <c r="G87" s="28" t="str">
        <f>IF(MAX(A$78:$A85)&lt;ROW(A85:A98),"",VLOOKUP(ROW(A85:A98),A$78:$E85,5))</f>
        <v/>
      </c>
    </row>
    <row r="88" spans="6:7" ht="15" customHeight="1" x14ac:dyDescent="0.25">
      <c r="F88" s="28" t="str">
        <f>IF(MAX(A$78:$A86)&lt;ROW(A86:A99),"",VLOOKUP(ROW(A86:A99),A$78:$B86,2))</f>
        <v/>
      </c>
      <c r="G88" s="28" t="str">
        <f>IF(MAX(A$78:$A86)&lt;ROW(A86:A99),"",VLOOKUP(ROW(A86:A99),A$78:$E86,5))</f>
        <v/>
      </c>
    </row>
    <row r="89" spans="6:7" ht="15" customHeight="1" x14ac:dyDescent="0.25">
      <c r="F89" s="28" t="str">
        <f>IF(MAX(A$78:$A87)&lt;ROW(A87:A100),"",VLOOKUP(ROW(A87:A100),A$78:$B87,2))</f>
        <v/>
      </c>
      <c r="G89" s="28" t="str">
        <f>IF(MAX(A$78:$A87)&lt;ROW(A87:A100),"",VLOOKUP(ROW(A87:A100),A$78:$E87,5))</f>
        <v/>
      </c>
    </row>
    <row r="90" spans="6:7" ht="15" customHeight="1" x14ac:dyDescent="0.25">
      <c r="F90" s="28" t="str">
        <f>IF(MAX(A$78:$A88)&lt;ROW(A88:A101),"",VLOOKUP(ROW(A88:A101),A$78:$B88,2))</f>
        <v/>
      </c>
      <c r="G90" s="28" t="str">
        <f>IF(MAX(A$78:$A88)&lt;ROW(A88:A101),"",VLOOKUP(ROW(A88:A101),A$78:$E88,5))</f>
        <v/>
      </c>
    </row>
    <row r="91" spans="6:7" ht="15" customHeight="1" x14ac:dyDescent="0.25">
      <c r="F91" s="28" t="str">
        <f>IF(MAX(A$78:$A89)&lt;ROW(A89:A102),"",VLOOKUP(ROW(A89:A102),A$78:$B89,2))</f>
        <v/>
      </c>
      <c r="G91" s="28" t="str">
        <f>IF(MAX(A$78:$A89)&lt;ROW(A89:A102),"",VLOOKUP(ROW(A89:A102),A$78:$E89,5))</f>
        <v/>
      </c>
    </row>
    <row r="92" spans="6:7" ht="15" customHeight="1" x14ac:dyDescent="0.25">
      <c r="F92" s="28" t="str">
        <f>IF(MAX(A$78:$A90)&lt;ROW(A90:A103),"",VLOOKUP(ROW(A90:A103),A$78:$B90,2))</f>
        <v/>
      </c>
      <c r="G92" s="28" t="str">
        <f>IF(MAX(A$78:$A90)&lt;ROW(A90:A103),"",VLOOKUP(ROW(A90:A103),A$78:$E90,5))</f>
        <v/>
      </c>
    </row>
    <row r="93" spans="6:7" ht="15" customHeight="1" x14ac:dyDescent="0.25">
      <c r="F93" s="28" t="str">
        <f>IF(MAX(A$78:$A91)&lt;ROW(A91:A104),"",VLOOKUP(ROW(A91:A104),A$78:$B91,2))</f>
        <v/>
      </c>
      <c r="G93" s="28" t="str">
        <f>IF(MAX(A$78:$A91)&lt;ROW(A91:A104),"",VLOOKUP(ROW(A91:A104),A$78:$E91,5))</f>
        <v/>
      </c>
    </row>
    <row r="94" spans="6:7" ht="15" customHeight="1" x14ac:dyDescent="0.25">
      <c r="F94" s="28" t="str">
        <f>IF(MAX(A$78:$A92)&lt;ROW(A92:A105),"",VLOOKUP(ROW(A92:A105),A$78:$B92,2))</f>
        <v/>
      </c>
      <c r="G94" s="28" t="str">
        <f>IF(MAX(A$78:$A92)&lt;ROW(A92:A105),"",VLOOKUP(ROW(A92:A105),A$78:$E92,5))</f>
        <v/>
      </c>
    </row>
    <row r="95" spans="6:7" ht="15" customHeight="1" x14ac:dyDescent="0.25">
      <c r="F95" s="28" t="str">
        <f>IF(MAX(A$78:$A93)&lt;ROW(A93:A106),"",VLOOKUP(ROW(A93:A106),A$78:$B93,2))</f>
        <v/>
      </c>
      <c r="G95" s="28" t="str">
        <f>IF(MAX(A$78:$A93)&lt;ROW(A93:A106),"",VLOOKUP(ROW(A93:A106),A$78:$E93,5))</f>
        <v/>
      </c>
    </row>
    <row r="96" spans="6:7" ht="15" customHeight="1" x14ac:dyDescent="0.25">
      <c r="F96" s="28" t="str">
        <f>IF(MAX(A$78:$A94)&lt;ROW(A94:A107),"",VLOOKUP(ROW(A94:A107),A$78:$B94,2))</f>
        <v/>
      </c>
      <c r="G96" s="28" t="str">
        <f>IF(MAX(A$78:$A94)&lt;ROW(A94:A107),"",VLOOKUP(ROW(A94:A107),A$78:$E94,5))</f>
        <v/>
      </c>
    </row>
    <row r="97" spans="6:7" ht="15" customHeight="1" x14ac:dyDescent="0.25">
      <c r="F97" s="28" t="str">
        <f>IF(MAX(A$78:$A95)&lt;ROW(A95:A108),"",VLOOKUP(ROW(A95:A108),A$78:$B95,2))</f>
        <v/>
      </c>
      <c r="G97" s="28" t="str">
        <f>IF(MAX(A$78:$A95)&lt;ROW(A95:A108),"",VLOOKUP(ROW(A95:A108),A$78:$E95,5))</f>
        <v/>
      </c>
    </row>
    <row r="98" spans="6:7" ht="15" customHeight="1" x14ac:dyDescent="0.25">
      <c r="F98" s="28" t="str">
        <f>IF(MAX(A$78:$A96)&lt;ROW(A96:A109),"",VLOOKUP(ROW(A96:A109),A$78:$B96,2))</f>
        <v/>
      </c>
      <c r="G98" s="28" t="str">
        <f>IF(MAX(A$78:$A96)&lt;ROW(A96:A109),"",VLOOKUP(ROW(A96:A109),A$78:$E96,5))</f>
        <v/>
      </c>
    </row>
    <row r="99" spans="6:7" ht="15" customHeight="1" x14ac:dyDescent="0.25">
      <c r="F99" s="28" t="str">
        <f>IF(MAX(A$78:$A97)&lt;ROW(A97:A110),"",VLOOKUP(ROW(A97:A110),A$78:$B97,2))</f>
        <v/>
      </c>
      <c r="G99" s="28" t="str">
        <f>IF(MAX(A$78:$A97)&lt;ROW(A97:A110),"",VLOOKUP(ROW(A97:A110),A$78:$E97,5))</f>
        <v/>
      </c>
    </row>
    <row r="100" spans="6:7" ht="15" customHeight="1" x14ac:dyDescent="0.25">
      <c r="F100" s="28" t="str">
        <f>IF(MAX(A$78:$A98)&lt;ROW(A98:A111),"",VLOOKUP(ROW(A98:A111),A$78:$B98,2))</f>
        <v/>
      </c>
      <c r="G100" s="28" t="str">
        <f>IF(MAX(A$78:$A98)&lt;ROW(A98:A111),"",VLOOKUP(ROW(A98:A111),A$78:$E98,5))</f>
        <v/>
      </c>
    </row>
    <row r="101" spans="6:7" ht="15" customHeight="1" x14ac:dyDescent="0.25">
      <c r="F101" s="28" t="str">
        <f>IF(MAX(A$78:$A99)&lt;ROW(A99:A112),"",VLOOKUP(ROW(A99:A112),A$78:$B99,2))</f>
        <v/>
      </c>
      <c r="G101" s="28" t="str">
        <f>IF(MAX(A$78:$A99)&lt;ROW(A99:A112),"",VLOOKUP(ROW(A99:A112),A$78:$E99,5))</f>
        <v/>
      </c>
    </row>
    <row r="102" spans="6:7" ht="15" customHeight="1" x14ac:dyDescent="0.25">
      <c r="F102" s="28" t="str">
        <f>IF(MAX(A$78:$A100)&lt;ROW(A100:A113),"",VLOOKUP(ROW(A100:A113),A$78:$B100,2))</f>
        <v/>
      </c>
      <c r="G102" s="28" t="str">
        <f>IF(MAX(A$78:$A100)&lt;ROW(A100:A113),"",VLOOKUP(ROW(A100:A113),A$78:$E100,5))</f>
        <v/>
      </c>
    </row>
    <row r="103" spans="6:7" ht="15" customHeight="1" x14ac:dyDescent="0.25">
      <c r="F103" s="28" t="str">
        <f>IF(MAX(A$78:$A101)&lt;ROW(A101:A114),"",VLOOKUP(ROW(A101:A114),A$78:$B101,2))</f>
        <v/>
      </c>
      <c r="G103" s="28" t="str">
        <f>IF(MAX(A$78:$A101)&lt;ROW(A101:A114),"",VLOOKUP(ROW(A101:A114),A$78:$E101,5))</f>
        <v/>
      </c>
    </row>
    <row r="104" spans="6:7" ht="15" customHeight="1" x14ac:dyDescent="0.25">
      <c r="F104" s="28" t="str">
        <f>IF(MAX(A$78:$A102)&lt;ROW(A102:A115),"",VLOOKUP(ROW(A102:A115),A$78:$B102,2))</f>
        <v/>
      </c>
      <c r="G104" s="28" t="str">
        <f>IF(MAX(A$78:$A102)&lt;ROW(A102:A115),"",VLOOKUP(ROW(A102:A115),A$78:$E102,5))</f>
        <v/>
      </c>
    </row>
    <row r="105" spans="6:7" ht="15" customHeight="1" x14ac:dyDescent="0.25">
      <c r="F105" s="28" t="str">
        <f>IF(MAX(A$78:$A103)&lt;ROW(A103:A116),"",VLOOKUP(ROW(A103:A116),A$78:$B103,2))</f>
        <v/>
      </c>
      <c r="G105" s="28" t="str">
        <f>IF(MAX(A$78:$A103)&lt;ROW(A103:A116),"",VLOOKUP(ROW(A103:A116),A$78:$E103,5))</f>
        <v/>
      </c>
    </row>
    <row r="106" spans="6:7" ht="15" customHeight="1" x14ac:dyDescent="0.25">
      <c r="F106" s="28" t="str">
        <f>IF(MAX(A$78:$A104)&lt;ROW(A104:A117),"",VLOOKUP(ROW(A104:A117),A$78:$B104,2))</f>
        <v/>
      </c>
      <c r="G106" s="28" t="str">
        <f>IF(MAX(A$78:$A104)&lt;ROW(A104:A117),"",VLOOKUP(ROW(A104:A117),A$78:$E104,5))</f>
        <v/>
      </c>
    </row>
    <row r="107" spans="6:7" ht="15" customHeight="1" x14ac:dyDescent="0.25">
      <c r="F107" s="28" t="str">
        <f>IF(MAX(A$78:$A105)&lt;ROW(A105:A118),"",VLOOKUP(ROW(A105:A118),A$78:$B105,2))</f>
        <v/>
      </c>
      <c r="G107" s="28" t="str">
        <f>IF(MAX(A$78:$A105)&lt;ROW(A105:A118),"",VLOOKUP(ROW(A105:A118),A$78:$E105,5))</f>
        <v/>
      </c>
    </row>
    <row r="108" spans="6:7" ht="15" customHeight="1" x14ac:dyDescent="0.25">
      <c r="F108" s="28" t="str">
        <f>IF(MAX(A$78:$A106)&lt;ROW(A106:A119),"",VLOOKUP(ROW(A106:A119),A$78:$B106,2))</f>
        <v/>
      </c>
      <c r="G108" s="28" t="str">
        <f>IF(MAX(A$78:$A106)&lt;ROW(A106:A119),"",VLOOKUP(ROW(A106:A119),A$78:$E106,5))</f>
        <v/>
      </c>
    </row>
    <row r="109" spans="6:7" ht="15" customHeight="1" x14ac:dyDescent="0.25">
      <c r="F109" s="28" t="str">
        <f>IF(MAX(A$78:$A107)&lt;ROW(A107:A120),"",VLOOKUP(ROW(A107:A120),A$78:$B107,2))</f>
        <v/>
      </c>
      <c r="G109" s="28" t="str">
        <f>IF(MAX(A$78:$A107)&lt;ROW(A107:A120),"",VLOOKUP(ROW(A107:A120),A$78:$E107,5))</f>
        <v/>
      </c>
    </row>
    <row r="110" spans="6:7" ht="15" customHeight="1" x14ac:dyDescent="0.25">
      <c r="F110" s="28" t="str">
        <f>IF(MAX(A$78:$A108)&lt;ROW(A108:A121),"",VLOOKUP(ROW(A108:A121),A$78:$B108,2))</f>
        <v/>
      </c>
      <c r="G110" s="28" t="str">
        <f>IF(MAX(A$78:$A108)&lt;ROW(A108:A121),"",VLOOKUP(ROW(A108:A121),A$78:$E108,5))</f>
        <v/>
      </c>
    </row>
  </sheetData>
  <autoFilter ref="A2:G80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Agreement</vt:lpstr>
      <vt:lpstr>PriceList</vt:lpstr>
      <vt:lpstr>Agreement!Область_печати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SWS_manager</dc:creator>
  <cp:lastModifiedBy>Kitten</cp:lastModifiedBy>
  <cp:lastPrinted>2021-02-02T13:02:43Z</cp:lastPrinted>
  <dcterms:created xsi:type="dcterms:W3CDTF">2021-01-29T16:03:26Z</dcterms:created>
  <dcterms:modified xsi:type="dcterms:W3CDTF">2021-09-01T09:30:12Z</dcterms:modified>
</cp:coreProperties>
</file>