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rives compartilhados\Programação\CMVC\dataset\"/>
    </mc:Choice>
  </mc:AlternateContent>
  <xr:revisionPtr revIDLastSave="0" documentId="13_ncr:1_{592ACA33-A5FF-4F4A-8B51-0C757DFC83B9}" xr6:coauthVersionLast="47" xr6:coauthVersionMax="47" xr10:uidLastSave="{00000000-0000-0000-0000-000000000000}"/>
  <bookViews>
    <workbookView xWindow="-120" yWindow="-120" windowWidth="15600" windowHeight="11160" firstSheet="1" activeTab="2" xr2:uid="{61204F3E-D551-4067-860F-E86130131F20}"/>
  </bookViews>
  <sheets>
    <sheet name="Cálculo" sheetId="6" state="hidden" r:id="rId1"/>
    <sheet name="Projeção" sheetId="5" r:id="rId2"/>
    <sheet name="Projeção (2)" sheetId="7" r:id="rId3"/>
  </sheets>
  <definedNames>
    <definedName name="Fevereiro" localSheetId="2">Tabela215[]</definedName>
    <definedName name="Fevereiro">Tabela2[]</definedName>
    <definedName name="janeiro" localSheetId="2">Tabela2416[#All]</definedName>
    <definedName name="janeiro">Tabela24[#All]</definedName>
    <definedName name="março" localSheetId="2">Tabela24517[#All]</definedName>
    <definedName name="março">Tabela245[#All]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7" l="1"/>
  <c r="B198" i="7"/>
  <c r="I193" i="7"/>
  <c r="I190" i="7"/>
  <c r="G190" i="7"/>
  <c r="F190" i="7"/>
  <c r="E190" i="7"/>
  <c r="D190" i="7"/>
  <c r="C190" i="7"/>
  <c r="B190" i="7"/>
  <c r="L189" i="7"/>
  <c r="H189" i="7"/>
  <c r="K188" i="7"/>
  <c r="J188" i="7"/>
  <c r="J190" i="7" s="1"/>
  <c r="H188" i="7"/>
  <c r="L187" i="7"/>
  <c r="H187" i="7"/>
  <c r="L186" i="7"/>
  <c r="H186" i="7"/>
  <c r="L185" i="7"/>
  <c r="H185" i="7"/>
  <c r="K184" i="7"/>
  <c r="L184" i="7" s="1"/>
  <c r="H184" i="7"/>
  <c r="I178" i="7"/>
  <c r="I175" i="7"/>
  <c r="G175" i="7"/>
  <c r="F175" i="7"/>
  <c r="E175" i="7"/>
  <c r="D175" i="7"/>
  <c r="C175" i="7"/>
  <c r="B175" i="7"/>
  <c r="L174" i="7"/>
  <c r="H174" i="7"/>
  <c r="K173" i="7"/>
  <c r="J173" i="7"/>
  <c r="J175" i="7" s="1"/>
  <c r="H173" i="7"/>
  <c r="L172" i="7"/>
  <c r="H172" i="7"/>
  <c r="L171" i="7"/>
  <c r="H171" i="7"/>
  <c r="L170" i="7"/>
  <c r="H170" i="7"/>
  <c r="K169" i="7"/>
  <c r="L169" i="7" s="1"/>
  <c r="H169" i="7"/>
  <c r="I163" i="7"/>
  <c r="I160" i="7"/>
  <c r="G160" i="7"/>
  <c r="F160" i="7"/>
  <c r="E160" i="7"/>
  <c r="D160" i="7"/>
  <c r="C160" i="7"/>
  <c r="B160" i="7"/>
  <c r="L159" i="7"/>
  <c r="H159" i="7"/>
  <c r="K158" i="7"/>
  <c r="J158" i="7"/>
  <c r="J160" i="7" s="1"/>
  <c r="H158" i="7"/>
  <c r="L157" i="7"/>
  <c r="H157" i="7"/>
  <c r="L156" i="7"/>
  <c r="H156" i="7"/>
  <c r="L155" i="7"/>
  <c r="H155" i="7"/>
  <c r="K154" i="7"/>
  <c r="L154" i="7" s="1"/>
  <c r="H154" i="7"/>
  <c r="I148" i="7"/>
  <c r="I145" i="7"/>
  <c r="G145" i="7"/>
  <c r="F145" i="7"/>
  <c r="E145" i="7"/>
  <c r="D145" i="7"/>
  <c r="C145" i="7"/>
  <c r="B145" i="7"/>
  <c r="L144" i="7"/>
  <c r="H144" i="7"/>
  <c r="K143" i="7"/>
  <c r="J143" i="7"/>
  <c r="J145" i="7" s="1"/>
  <c r="H143" i="7"/>
  <c r="L142" i="7"/>
  <c r="H142" i="7"/>
  <c r="L141" i="7"/>
  <c r="H141" i="7"/>
  <c r="L140" i="7"/>
  <c r="H140" i="7"/>
  <c r="K139" i="7"/>
  <c r="L139" i="7" s="1"/>
  <c r="H139" i="7"/>
  <c r="I133" i="7"/>
  <c r="I130" i="7"/>
  <c r="G130" i="7"/>
  <c r="F130" i="7"/>
  <c r="E130" i="7"/>
  <c r="D130" i="7"/>
  <c r="C130" i="7"/>
  <c r="B130" i="7"/>
  <c r="L129" i="7"/>
  <c r="H129" i="7"/>
  <c r="K128" i="7"/>
  <c r="J128" i="7"/>
  <c r="J130" i="7" s="1"/>
  <c r="H128" i="7"/>
  <c r="L127" i="7"/>
  <c r="H127" i="7"/>
  <c r="L126" i="7"/>
  <c r="H126" i="7"/>
  <c r="L125" i="7"/>
  <c r="H125" i="7"/>
  <c r="K124" i="7"/>
  <c r="L124" i="7" s="1"/>
  <c r="H124" i="7"/>
  <c r="I118" i="7"/>
  <c r="I115" i="7"/>
  <c r="G115" i="7"/>
  <c r="F115" i="7"/>
  <c r="E115" i="7"/>
  <c r="D115" i="7"/>
  <c r="C115" i="7"/>
  <c r="B115" i="7"/>
  <c r="L114" i="7"/>
  <c r="H114" i="7"/>
  <c r="K113" i="7"/>
  <c r="J113" i="7"/>
  <c r="J115" i="7" s="1"/>
  <c r="H113" i="7"/>
  <c r="L112" i="7"/>
  <c r="H112" i="7"/>
  <c r="L111" i="7"/>
  <c r="H111" i="7"/>
  <c r="L110" i="7"/>
  <c r="H110" i="7"/>
  <c r="K109" i="7"/>
  <c r="H109" i="7"/>
  <c r="I103" i="7"/>
  <c r="I100" i="7"/>
  <c r="G100" i="7"/>
  <c r="F100" i="7"/>
  <c r="E100" i="7"/>
  <c r="D100" i="7"/>
  <c r="C100" i="7"/>
  <c r="B100" i="7"/>
  <c r="L99" i="7"/>
  <c r="H99" i="7"/>
  <c r="K98" i="7"/>
  <c r="J98" i="7"/>
  <c r="J100" i="7" s="1"/>
  <c r="H98" i="7"/>
  <c r="L97" i="7"/>
  <c r="H97" i="7"/>
  <c r="L96" i="7"/>
  <c r="H96" i="7"/>
  <c r="L95" i="7"/>
  <c r="H95" i="7"/>
  <c r="K94" i="7"/>
  <c r="L94" i="7" s="1"/>
  <c r="H94" i="7"/>
  <c r="I88" i="7"/>
  <c r="I85" i="7"/>
  <c r="G85" i="7"/>
  <c r="F85" i="7"/>
  <c r="E85" i="7"/>
  <c r="D85" i="7"/>
  <c r="C85" i="7"/>
  <c r="B85" i="7"/>
  <c r="L84" i="7"/>
  <c r="H84" i="7"/>
  <c r="K83" i="7"/>
  <c r="J83" i="7"/>
  <c r="J85" i="7" s="1"/>
  <c r="H83" i="7"/>
  <c r="L82" i="7"/>
  <c r="H82" i="7"/>
  <c r="L81" i="7"/>
  <c r="H81" i="7"/>
  <c r="L80" i="7"/>
  <c r="H80" i="7"/>
  <c r="K79" i="7"/>
  <c r="L79" i="7" s="1"/>
  <c r="H79" i="7"/>
  <c r="I73" i="7"/>
  <c r="I70" i="7"/>
  <c r="G70" i="7"/>
  <c r="F70" i="7"/>
  <c r="E70" i="7"/>
  <c r="D70" i="7"/>
  <c r="C70" i="7"/>
  <c r="B70" i="7"/>
  <c r="L69" i="7"/>
  <c r="H69" i="7"/>
  <c r="K68" i="7"/>
  <c r="J68" i="7"/>
  <c r="J70" i="7" s="1"/>
  <c r="H68" i="7"/>
  <c r="L67" i="7"/>
  <c r="H67" i="7"/>
  <c r="L66" i="7"/>
  <c r="H66" i="7"/>
  <c r="L65" i="7"/>
  <c r="H65" i="7"/>
  <c r="K64" i="7"/>
  <c r="L64" i="7" s="1"/>
  <c r="H64" i="7"/>
  <c r="I58" i="7"/>
  <c r="I55" i="7"/>
  <c r="G55" i="7"/>
  <c r="F55" i="7"/>
  <c r="E55" i="7"/>
  <c r="D55" i="7"/>
  <c r="C55" i="7"/>
  <c r="B55" i="7"/>
  <c r="L54" i="7"/>
  <c r="H54" i="7"/>
  <c r="K53" i="7"/>
  <c r="J53" i="7"/>
  <c r="J55" i="7" s="1"/>
  <c r="H53" i="7"/>
  <c r="L52" i="7"/>
  <c r="H52" i="7"/>
  <c r="L51" i="7"/>
  <c r="H51" i="7"/>
  <c r="L50" i="7"/>
  <c r="H50" i="7"/>
  <c r="K49" i="7"/>
  <c r="L49" i="7" s="1"/>
  <c r="H49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I43" i="7"/>
  <c r="I40" i="7"/>
  <c r="G40" i="7"/>
  <c r="F40" i="7"/>
  <c r="E40" i="7"/>
  <c r="D40" i="7"/>
  <c r="C40" i="7"/>
  <c r="B40" i="7"/>
  <c r="L39" i="7"/>
  <c r="H39" i="7"/>
  <c r="K38" i="7"/>
  <c r="J38" i="7"/>
  <c r="J40" i="7" s="1"/>
  <c r="H38" i="7"/>
  <c r="L37" i="7"/>
  <c r="H37" i="7"/>
  <c r="L36" i="7"/>
  <c r="H36" i="7"/>
  <c r="L35" i="7"/>
  <c r="H35" i="7"/>
  <c r="K34" i="7"/>
  <c r="H34" i="7"/>
  <c r="I28" i="7"/>
  <c r="D199" i="7" s="1"/>
  <c r="G25" i="7"/>
  <c r="F25" i="7"/>
  <c r="E25" i="7"/>
  <c r="D25" i="7"/>
  <c r="C25" i="7"/>
  <c r="B25" i="7"/>
  <c r="L24" i="7"/>
  <c r="H24" i="7"/>
  <c r="K23" i="7"/>
  <c r="J23" i="7"/>
  <c r="J25" i="7" s="1"/>
  <c r="H23" i="7"/>
  <c r="L22" i="7"/>
  <c r="H22" i="7"/>
  <c r="L21" i="7"/>
  <c r="H21" i="7"/>
  <c r="L20" i="7"/>
  <c r="H20" i="7"/>
  <c r="K19" i="7"/>
  <c r="H19" i="7"/>
  <c r="I13" i="7"/>
  <c r="D198" i="7" s="1"/>
  <c r="I10" i="7"/>
  <c r="G10" i="7"/>
  <c r="F10" i="7"/>
  <c r="E10" i="7"/>
  <c r="D10" i="7"/>
  <c r="C10" i="7"/>
  <c r="B10" i="7"/>
  <c r="L9" i="7"/>
  <c r="H9" i="7"/>
  <c r="K8" i="7"/>
  <c r="J8" i="7"/>
  <c r="J10" i="7" s="1"/>
  <c r="H8" i="7"/>
  <c r="L7" i="7"/>
  <c r="H7" i="7"/>
  <c r="L6" i="7"/>
  <c r="H6" i="7"/>
  <c r="L5" i="7"/>
  <c r="H5" i="7"/>
  <c r="K4" i="7"/>
  <c r="H4" i="7"/>
  <c r="B210" i="5"/>
  <c r="H184" i="5"/>
  <c r="G190" i="5"/>
  <c r="F190" i="5"/>
  <c r="E190" i="5"/>
  <c r="D190" i="5"/>
  <c r="B190" i="5"/>
  <c r="L189" i="5"/>
  <c r="H189" i="5"/>
  <c r="L188" i="5"/>
  <c r="H188" i="5"/>
  <c r="L187" i="5"/>
  <c r="H187" i="5"/>
  <c r="H185" i="5"/>
  <c r="K184" i="5"/>
  <c r="L184" i="5" s="1"/>
  <c r="B200" i="5"/>
  <c r="B199" i="5"/>
  <c r="B198" i="5"/>
  <c r="L68" i="7" l="1"/>
  <c r="L113" i="7"/>
  <c r="L158" i="7"/>
  <c r="H40" i="7"/>
  <c r="H160" i="7"/>
  <c r="L23" i="7"/>
  <c r="L8" i="7"/>
  <c r="H55" i="7"/>
  <c r="L38" i="7"/>
  <c r="L83" i="7"/>
  <c r="L85" i="7" s="1"/>
  <c r="L143" i="7"/>
  <c r="L145" i="7" s="1"/>
  <c r="H85" i="7"/>
  <c r="L98" i="7"/>
  <c r="K115" i="7"/>
  <c r="B211" i="7"/>
  <c r="H175" i="7"/>
  <c r="H130" i="7"/>
  <c r="K55" i="7"/>
  <c r="H100" i="7"/>
  <c r="K130" i="7"/>
  <c r="H25" i="7"/>
  <c r="L100" i="7"/>
  <c r="K100" i="7"/>
  <c r="L109" i="7"/>
  <c r="L115" i="7" s="1"/>
  <c r="K175" i="7"/>
  <c r="K190" i="7"/>
  <c r="K85" i="7"/>
  <c r="L128" i="7"/>
  <c r="L130" i="7" s="1"/>
  <c r="D132" i="7" s="1"/>
  <c r="H145" i="7"/>
  <c r="L160" i="7"/>
  <c r="D162" i="7" s="1"/>
  <c r="K160" i="7"/>
  <c r="L53" i="7"/>
  <c r="L55" i="7" s="1"/>
  <c r="D57" i="7" s="1"/>
  <c r="H70" i="7"/>
  <c r="H10" i="7"/>
  <c r="H198" i="7" s="1"/>
  <c r="K198" i="7" s="1"/>
  <c r="L70" i="7"/>
  <c r="K70" i="7"/>
  <c r="H115" i="7"/>
  <c r="K145" i="7"/>
  <c r="L173" i="7"/>
  <c r="L175" i="7" s="1"/>
  <c r="D177" i="7" s="1"/>
  <c r="H190" i="7"/>
  <c r="L188" i="7"/>
  <c r="L190" i="7" s="1"/>
  <c r="D200" i="7"/>
  <c r="H199" i="7"/>
  <c r="K199" i="7" s="1"/>
  <c r="K10" i="7"/>
  <c r="L4" i="7"/>
  <c r="L10" i="7" s="1"/>
  <c r="H200" i="7"/>
  <c r="K200" i="7" s="1"/>
  <c r="K25" i="7"/>
  <c r="L19" i="7"/>
  <c r="L25" i="7" s="1"/>
  <c r="D27" i="7" s="1"/>
  <c r="K40" i="7"/>
  <c r="L34" i="7"/>
  <c r="B201" i="5"/>
  <c r="B202" i="5"/>
  <c r="B203" i="5"/>
  <c r="B204" i="5"/>
  <c r="B205" i="5"/>
  <c r="B206" i="5"/>
  <c r="B207" i="5"/>
  <c r="B208" i="5"/>
  <c r="B209" i="5"/>
  <c r="C51" i="5"/>
  <c r="H51" i="5" s="1"/>
  <c r="I25" i="5"/>
  <c r="H157" i="5"/>
  <c r="H158" i="5"/>
  <c r="H159" i="5"/>
  <c r="L157" i="5"/>
  <c r="L158" i="5"/>
  <c r="L159" i="5"/>
  <c r="L172" i="5"/>
  <c r="L173" i="5"/>
  <c r="L174" i="5"/>
  <c r="H172" i="5"/>
  <c r="H173" i="5"/>
  <c r="H174" i="5"/>
  <c r="H50" i="5"/>
  <c r="H170" i="5"/>
  <c r="E160" i="5"/>
  <c r="F145" i="5"/>
  <c r="G85" i="5"/>
  <c r="H203" i="5" s="1"/>
  <c r="H80" i="5"/>
  <c r="G175" i="5"/>
  <c r="H209" i="5" s="1"/>
  <c r="G160" i="5"/>
  <c r="H208" i="5" s="1"/>
  <c r="G145" i="5"/>
  <c r="H207" i="5" s="1"/>
  <c r="G130" i="5"/>
  <c r="H206" i="5" s="1"/>
  <c r="G115" i="5"/>
  <c r="H205" i="5" s="1"/>
  <c r="G100" i="5"/>
  <c r="H204" i="5" s="1"/>
  <c r="G70" i="5"/>
  <c r="H202" i="5" s="1"/>
  <c r="G55" i="5"/>
  <c r="H201" i="5" s="1"/>
  <c r="E145" i="5"/>
  <c r="B130" i="5"/>
  <c r="E85" i="5"/>
  <c r="B70" i="5"/>
  <c r="H49" i="5"/>
  <c r="K169" i="5"/>
  <c r="L169" i="5" s="1"/>
  <c r="K154" i="5"/>
  <c r="L154" i="5" s="1"/>
  <c r="K139" i="5"/>
  <c r="L139" i="5" s="1"/>
  <c r="K124" i="5"/>
  <c r="L124" i="5" s="1"/>
  <c r="K109" i="5"/>
  <c r="L109" i="5" s="1"/>
  <c r="K94" i="5"/>
  <c r="L94" i="5" s="1"/>
  <c r="K79" i="5"/>
  <c r="L79" i="5" s="1"/>
  <c r="K64" i="5"/>
  <c r="L64" i="5" s="1"/>
  <c r="K49" i="5"/>
  <c r="L49" i="5" s="1"/>
  <c r="L60" i="6"/>
  <c r="L61" i="6"/>
  <c r="L62" i="6"/>
  <c r="L63" i="6"/>
  <c r="L65" i="6"/>
  <c r="H154" i="5"/>
  <c r="F58" i="6"/>
  <c r="F59" i="6"/>
  <c r="F60" i="6"/>
  <c r="F61" i="6"/>
  <c r="F62" i="6"/>
  <c r="F63" i="6"/>
  <c r="L64" i="6" s="1"/>
  <c r="F64" i="6"/>
  <c r="F65" i="6"/>
  <c r="F57" i="6"/>
  <c r="L59" i="6" s="1"/>
  <c r="D56" i="6"/>
  <c r="E56" i="6"/>
  <c r="F56" i="6"/>
  <c r="G56" i="6"/>
  <c r="C56" i="6"/>
  <c r="D55" i="6"/>
  <c r="E55" i="6"/>
  <c r="F55" i="6"/>
  <c r="G55" i="6"/>
  <c r="C55" i="6"/>
  <c r="D54" i="6"/>
  <c r="E54" i="6"/>
  <c r="F54" i="6"/>
  <c r="G54" i="6"/>
  <c r="C54" i="6"/>
  <c r="F41" i="6"/>
  <c r="D41" i="6"/>
  <c r="E41" i="6"/>
  <c r="G41" i="6"/>
  <c r="D40" i="6"/>
  <c r="E40" i="6"/>
  <c r="F40" i="6"/>
  <c r="G40" i="6"/>
  <c r="C41" i="6"/>
  <c r="K45" i="6" s="1"/>
  <c r="C40" i="6"/>
  <c r="D39" i="6"/>
  <c r="E39" i="6"/>
  <c r="F39" i="6"/>
  <c r="G39" i="6"/>
  <c r="C39" i="6"/>
  <c r="B39" i="6"/>
  <c r="B160" i="5"/>
  <c r="F130" i="5"/>
  <c r="E115" i="5"/>
  <c r="F100" i="5"/>
  <c r="B100" i="5"/>
  <c r="C25" i="6"/>
  <c r="C24" i="6"/>
  <c r="C23" i="6"/>
  <c r="F175" i="5"/>
  <c r="E175" i="5"/>
  <c r="B175" i="5"/>
  <c r="H169" i="5"/>
  <c r="F160" i="5"/>
  <c r="H155" i="5"/>
  <c r="B145" i="5"/>
  <c r="H140" i="5"/>
  <c r="H139" i="5"/>
  <c r="E130" i="5"/>
  <c r="H125" i="5"/>
  <c r="H124" i="5"/>
  <c r="F115" i="5"/>
  <c r="B115" i="5"/>
  <c r="H110" i="5"/>
  <c r="H109" i="5"/>
  <c r="E100" i="5"/>
  <c r="H95" i="5"/>
  <c r="H94" i="5"/>
  <c r="F85" i="5"/>
  <c r="B85" i="5"/>
  <c r="H79" i="5"/>
  <c r="F70" i="5"/>
  <c r="E70" i="5"/>
  <c r="H65" i="5"/>
  <c r="H64" i="5"/>
  <c r="B25" i="6"/>
  <c r="B24" i="6"/>
  <c r="B23" i="6"/>
  <c r="D25" i="6"/>
  <c r="E25" i="6"/>
  <c r="F25" i="6"/>
  <c r="G25" i="6"/>
  <c r="D24" i="6"/>
  <c r="E24" i="6"/>
  <c r="F24" i="6"/>
  <c r="G24" i="6"/>
  <c r="D23" i="6"/>
  <c r="E23" i="6"/>
  <c r="F23" i="6"/>
  <c r="G23" i="6"/>
  <c r="D87" i="7" l="1"/>
  <c r="B211" i="5"/>
  <c r="L40" i="7"/>
  <c r="D42" i="7" s="1"/>
  <c r="D192" i="7"/>
  <c r="D12" i="7"/>
  <c r="D117" i="7"/>
  <c r="D72" i="7"/>
  <c r="D147" i="7"/>
  <c r="D102" i="7"/>
  <c r="D201" i="7"/>
  <c r="D202" i="7"/>
  <c r="H202" i="7"/>
  <c r="K202" i="7" s="1"/>
  <c r="H201" i="7"/>
  <c r="K201" i="7" s="1"/>
  <c r="E42" i="6"/>
  <c r="E43" i="6" s="1"/>
  <c r="E44" i="6" s="1"/>
  <c r="L57" i="6"/>
  <c r="L58" i="6"/>
  <c r="H57" i="6"/>
  <c r="C66" i="5"/>
  <c r="C81" i="5" s="1"/>
  <c r="C96" i="5" s="1"/>
  <c r="C111" i="5" s="1"/>
  <c r="C126" i="5" s="1"/>
  <c r="C141" i="5" s="1"/>
  <c r="C156" i="5" s="1"/>
  <c r="C171" i="5" s="1"/>
  <c r="C186" i="5" s="1"/>
  <c r="H24" i="6"/>
  <c r="J28" i="6" s="1"/>
  <c r="F42" i="6"/>
  <c r="F43" i="6" s="1"/>
  <c r="H55" i="5"/>
  <c r="C100" i="5"/>
  <c r="D70" i="5"/>
  <c r="C42" i="6"/>
  <c r="C43" i="6" s="1"/>
  <c r="D42" i="6"/>
  <c r="J41" i="6"/>
  <c r="K41" i="6" s="1"/>
  <c r="H23" i="6"/>
  <c r="L27" i="6" s="1"/>
  <c r="G42" i="6"/>
  <c r="G43" i="6" s="1"/>
  <c r="D55" i="5"/>
  <c r="E55" i="5"/>
  <c r="C55" i="5"/>
  <c r="E26" i="6"/>
  <c r="E27" i="6" s="1"/>
  <c r="E28" i="6" s="1"/>
  <c r="B26" i="6"/>
  <c r="B27" i="6" s="1"/>
  <c r="H25" i="6"/>
  <c r="B55" i="5"/>
  <c r="C4" i="6"/>
  <c r="C3" i="6"/>
  <c r="C190" i="5" l="1"/>
  <c r="H186" i="5"/>
  <c r="H190" i="5" s="1"/>
  <c r="D203" i="7"/>
  <c r="H203" i="7"/>
  <c r="K203" i="7" s="1"/>
  <c r="E45" i="6"/>
  <c r="I57" i="5"/>
  <c r="I58" i="5" s="1"/>
  <c r="D201" i="5" s="1"/>
  <c r="K201" i="5"/>
  <c r="N27" i="6"/>
  <c r="K28" i="6"/>
  <c r="L28" i="6"/>
  <c r="M28" i="6"/>
  <c r="J27" i="6"/>
  <c r="M27" i="6"/>
  <c r="K27" i="6"/>
  <c r="N28" i="6"/>
  <c r="F44" i="6"/>
  <c r="F45" i="6" s="1"/>
  <c r="F46" i="6" s="1"/>
  <c r="C70" i="5"/>
  <c r="C85" i="5"/>
  <c r="H66" i="5"/>
  <c r="H70" i="5" s="1"/>
  <c r="C115" i="5"/>
  <c r="D85" i="5"/>
  <c r="H81" i="5"/>
  <c r="C44" i="6"/>
  <c r="D43" i="6"/>
  <c r="G44" i="6"/>
  <c r="G45" i="6" s="1"/>
  <c r="H58" i="6"/>
  <c r="F55" i="5"/>
  <c r="E46" i="6"/>
  <c r="E47" i="6" s="1"/>
  <c r="B28" i="6"/>
  <c r="B29" i="6" s="1"/>
  <c r="E29" i="6"/>
  <c r="E30" i="6" s="1"/>
  <c r="M29" i="6"/>
  <c r="K29" i="6"/>
  <c r="L29" i="6"/>
  <c r="N29" i="6"/>
  <c r="J29" i="6"/>
  <c r="E4" i="6"/>
  <c r="F4" i="6" s="1"/>
  <c r="E3" i="6"/>
  <c r="F3" i="6" s="1"/>
  <c r="I43" i="5"/>
  <c r="D200" i="5" s="1"/>
  <c r="H24" i="5"/>
  <c r="H23" i="5"/>
  <c r="H22" i="5"/>
  <c r="H21" i="5"/>
  <c r="H20" i="5"/>
  <c r="H40" i="6" s="1"/>
  <c r="H19" i="5"/>
  <c r="H55" i="6" s="1"/>
  <c r="I28" i="5"/>
  <c r="D199" i="5" s="1"/>
  <c r="I13" i="5"/>
  <c r="D198" i="5" s="1"/>
  <c r="K38" i="5"/>
  <c r="J38" i="5"/>
  <c r="K34" i="5"/>
  <c r="L34" i="5" s="1"/>
  <c r="L37" i="5"/>
  <c r="L39" i="5"/>
  <c r="L9" i="5"/>
  <c r="J8" i="5"/>
  <c r="K8" i="5"/>
  <c r="L7" i="5"/>
  <c r="K4" i="5"/>
  <c r="L4" i="5" s="1"/>
  <c r="K19" i="5"/>
  <c r="L24" i="5"/>
  <c r="L22" i="5"/>
  <c r="L21" i="5"/>
  <c r="K210" i="5" l="1"/>
  <c r="I192" i="5"/>
  <c r="I193" i="5" s="1"/>
  <c r="D210" i="5" s="1"/>
  <c r="H204" i="7"/>
  <c r="D204" i="7"/>
  <c r="J30" i="6"/>
  <c r="I72" i="5"/>
  <c r="I73" i="5" s="1"/>
  <c r="D202" i="5" s="1"/>
  <c r="K202" i="5"/>
  <c r="L8" i="5"/>
  <c r="L38" i="5"/>
  <c r="N30" i="6"/>
  <c r="L30" i="6"/>
  <c r="M30" i="6"/>
  <c r="K30" i="6"/>
  <c r="L40" i="6"/>
  <c r="D44" i="6"/>
  <c r="D45" i="6" s="1"/>
  <c r="H85" i="5"/>
  <c r="D100" i="5"/>
  <c r="H96" i="5"/>
  <c r="C130" i="5"/>
  <c r="B30" i="6"/>
  <c r="B31" i="6" s="1"/>
  <c r="G46" i="6"/>
  <c r="C45" i="6"/>
  <c r="H60" i="6"/>
  <c r="H59" i="6"/>
  <c r="F47" i="6"/>
  <c r="E48" i="6"/>
  <c r="E31" i="6"/>
  <c r="E32" i="6" s="1"/>
  <c r="E33" i="6" s="1"/>
  <c r="E34" i="6" s="1"/>
  <c r="K23" i="5"/>
  <c r="K25" i="5" s="1"/>
  <c r="J23" i="5"/>
  <c r="L19" i="5"/>
  <c r="G40" i="5"/>
  <c r="H200" i="5" s="1"/>
  <c r="F40" i="5"/>
  <c r="E40" i="5"/>
  <c r="D40" i="5"/>
  <c r="C40" i="5"/>
  <c r="B40" i="5"/>
  <c r="H39" i="5"/>
  <c r="H38" i="5"/>
  <c r="H37" i="5"/>
  <c r="H36" i="5"/>
  <c r="H35" i="5"/>
  <c r="H34" i="5"/>
  <c r="H56" i="6" s="1"/>
  <c r="H4" i="5"/>
  <c r="H54" i="6" s="1"/>
  <c r="H6" i="5"/>
  <c r="K10" i="5" s="1"/>
  <c r="H7" i="5"/>
  <c r="H8" i="5"/>
  <c r="H9" i="5"/>
  <c r="H25" i="5"/>
  <c r="G10" i="5"/>
  <c r="H198" i="5" s="1"/>
  <c r="F10" i="5"/>
  <c r="E10" i="5"/>
  <c r="D10" i="5"/>
  <c r="B10" i="5"/>
  <c r="D25" i="5"/>
  <c r="G25" i="5"/>
  <c r="H199" i="5" s="1"/>
  <c r="F25" i="5"/>
  <c r="E25" i="5"/>
  <c r="C25" i="5"/>
  <c r="B25" i="5"/>
  <c r="H211" i="5" l="1"/>
  <c r="K204" i="7"/>
  <c r="D205" i="7"/>
  <c r="H205" i="7"/>
  <c r="K205" i="7" s="1"/>
  <c r="J24" i="6"/>
  <c r="K199" i="5"/>
  <c r="I87" i="5"/>
  <c r="I88" i="5" s="1"/>
  <c r="D203" i="5" s="1"/>
  <c r="K203" i="5"/>
  <c r="D46" i="6"/>
  <c r="D47" i="6" s="1"/>
  <c r="H41" i="6"/>
  <c r="I50" i="5"/>
  <c r="I65" i="5" s="1"/>
  <c r="J50" i="5"/>
  <c r="K50" i="5"/>
  <c r="K65" i="5" s="1"/>
  <c r="L23" i="5"/>
  <c r="J25" i="5"/>
  <c r="K40" i="5"/>
  <c r="K51" i="5"/>
  <c r="K66" i="5" s="1"/>
  <c r="K81" i="5" s="1"/>
  <c r="K96" i="5" s="1"/>
  <c r="I51" i="5"/>
  <c r="J51" i="5"/>
  <c r="J66" i="5" s="1"/>
  <c r="J81" i="5" s="1"/>
  <c r="J96" i="5" s="1"/>
  <c r="F48" i="6"/>
  <c r="F49" i="6" s="1"/>
  <c r="B32" i="6"/>
  <c r="B33" i="6" s="1"/>
  <c r="B34" i="6" s="1"/>
  <c r="H100" i="5"/>
  <c r="K204" i="5" s="1"/>
  <c r="C145" i="5"/>
  <c r="D115" i="5"/>
  <c r="H111" i="5"/>
  <c r="H61" i="6"/>
  <c r="G47" i="6"/>
  <c r="G48" i="6" s="1"/>
  <c r="C46" i="6"/>
  <c r="C47" i="6" s="1"/>
  <c r="E49" i="6"/>
  <c r="E50" i="6" s="1"/>
  <c r="J40" i="5"/>
  <c r="I40" i="5"/>
  <c r="L35" i="5"/>
  <c r="H40" i="5"/>
  <c r="J10" i="5"/>
  <c r="D206" i="7" l="1"/>
  <c r="H206" i="7"/>
  <c r="K206" i="7" s="1"/>
  <c r="J25" i="6"/>
  <c r="K200" i="5"/>
  <c r="D48" i="6"/>
  <c r="D49" i="6" s="1"/>
  <c r="D50" i="6" s="1"/>
  <c r="I80" i="5"/>
  <c r="J55" i="5"/>
  <c r="J65" i="5"/>
  <c r="L65" i="5" s="1"/>
  <c r="F50" i="6"/>
  <c r="I55" i="5"/>
  <c r="L51" i="5"/>
  <c r="I66" i="5"/>
  <c r="I70" i="5" s="1"/>
  <c r="K80" i="5"/>
  <c r="K70" i="5"/>
  <c r="I102" i="5"/>
  <c r="I103" i="5" s="1"/>
  <c r="D204" i="5" s="1"/>
  <c r="J111" i="5"/>
  <c r="K111" i="5"/>
  <c r="H115" i="5"/>
  <c r="C160" i="5"/>
  <c r="D130" i="5"/>
  <c r="H126" i="5"/>
  <c r="C48" i="6"/>
  <c r="C49" i="6" s="1"/>
  <c r="C50" i="6" s="1"/>
  <c r="G49" i="6"/>
  <c r="G50" i="6" s="1"/>
  <c r="H63" i="6"/>
  <c r="L36" i="5"/>
  <c r="L40" i="5" s="1"/>
  <c r="D42" i="5" s="1"/>
  <c r="L6" i="5"/>
  <c r="D207" i="7" l="1"/>
  <c r="H207" i="7"/>
  <c r="K207" i="7" s="1"/>
  <c r="I117" i="5"/>
  <c r="I118" i="5" s="1"/>
  <c r="D205" i="5" s="1"/>
  <c r="K205" i="5"/>
  <c r="K95" i="5"/>
  <c r="K85" i="5"/>
  <c r="L66" i="5"/>
  <c r="L70" i="5" s="1"/>
  <c r="D72" i="5" s="1"/>
  <c r="I81" i="5"/>
  <c r="J70" i="5"/>
  <c r="J80" i="5"/>
  <c r="I95" i="5"/>
  <c r="J126" i="5"/>
  <c r="K126" i="5"/>
  <c r="H130" i="5"/>
  <c r="D145" i="5"/>
  <c r="H141" i="5"/>
  <c r="C175" i="5"/>
  <c r="H62" i="6"/>
  <c r="H64" i="6"/>
  <c r="L20" i="5"/>
  <c r="H5" i="5"/>
  <c r="C10" i="5"/>
  <c r="L5" i="5"/>
  <c r="L10" i="5" s="1"/>
  <c r="I10" i="5"/>
  <c r="D208" i="7" l="1"/>
  <c r="H208" i="7"/>
  <c r="K208" i="7" s="1"/>
  <c r="I132" i="5"/>
  <c r="I133" i="5" s="1"/>
  <c r="D206" i="5" s="1"/>
  <c r="K206" i="5"/>
  <c r="I110" i="5"/>
  <c r="L25" i="5"/>
  <c r="D27" i="5" s="1"/>
  <c r="J95" i="5"/>
  <c r="L95" i="5" s="1"/>
  <c r="J85" i="5"/>
  <c r="H10" i="5"/>
  <c r="H39" i="6"/>
  <c r="L80" i="5"/>
  <c r="I85" i="5"/>
  <c r="I96" i="5"/>
  <c r="L81" i="5"/>
  <c r="K110" i="5"/>
  <c r="K100" i="5"/>
  <c r="J141" i="5"/>
  <c r="K141" i="5"/>
  <c r="H145" i="5"/>
  <c r="D160" i="5"/>
  <c r="H156" i="5"/>
  <c r="H65" i="6"/>
  <c r="H209" i="7" l="1"/>
  <c r="K209" i="7" s="1"/>
  <c r="D209" i="7"/>
  <c r="J23" i="6"/>
  <c r="L25" i="6" s="1"/>
  <c r="H22" i="6" s="1"/>
  <c r="K198" i="5"/>
  <c r="I147" i="5"/>
  <c r="I148" i="5" s="1"/>
  <c r="D207" i="5" s="1"/>
  <c r="K207" i="5"/>
  <c r="H12" i="6"/>
  <c r="H14" i="6"/>
  <c r="H17" i="6"/>
  <c r="H19" i="6"/>
  <c r="H13" i="6"/>
  <c r="H21" i="6"/>
  <c r="H15" i="6"/>
  <c r="H20" i="6"/>
  <c r="H16" i="6"/>
  <c r="H18" i="6"/>
  <c r="I100" i="5"/>
  <c r="L96" i="5"/>
  <c r="L100" i="5" s="1"/>
  <c r="D102" i="5" s="1"/>
  <c r="I111" i="5"/>
  <c r="L39" i="6"/>
  <c r="H42" i="6"/>
  <c r="H43" i="6" s="1"/>
  <c r="H44" i="6" s="1"/>
  <c r="D12" i="5"/>
  <c r="K125" i="5"/>
  <c r="K115" i="5"/>
  <c r="L85" i="5"/>
  <c r="D87" i="5" s="1"/>
  <c r="J100" i="5"/>
  <c r="J110" i="5"/>
  <c r="L110" i="5" s="1"/>
  <c r="I125" i="5"/>
  <c r="J156" i="5"/>
  <c r="K156" i="5"/>
  <c r="H160" i="5"/>
  <c r="D175" i="5"/>
  <c r="H171" i="5"/>
  <c r="H11" i="6" l="1"/>
  <c r="H210" i="7"/>
  <c r="D210" i="7"/>
  <c r="D211" i="7" s="1"/>
  <c r="I162" i="5"/>
  <c r="I163" i="5" s="1"/>
  <c r="D208" i="5" s="1"/>
  <c r="K208" i="5"/>
  <c r="I140" i="5"/>
  <c r="H45" i="6"/>
  <c r="H46" i="6" s="1"/>
  <c r="F15" i="6"/>
  <c r="D15" i="6"/>
  <c r="C15" i="6"/>
  <c r="G15" i="6"/>
  <c r="F19" i="6"/>
  <c r="D19" i="6"/>
  <c r="G19" i="6"/>
  <c r="C19" i="6"/>
  <c r="F12" i="6"/>
  <c r="D12" i="6"/>
  <c r="C12" i="6"/>
  <c r="G12" i="6"/>
  <c r="I115" i="5"/>
  <c r="L111" i="5"/>
  <c r="L115" i="5" s="1"/>
  <c r="I126" i="5"/>
  <c r="F16" i="6"/>
  <c r="G16" i="6"/>
  <c r="D16" i="6"/>
  <c r="C16" i="6"/>
  <c r="G21" i="6"/>
  <c r="F21" i="6"/>
  <c r="C21" i="6"/>
  <c r="D21" i="6"/>
  <c r="F14" i="6"/>
  <c r="D14" i="6"/>
  <c r="C14" i="6"/>
  <c r="G14" i="6"/>
  <c r="F20" i="6"/>
  <c r="D20" i="6"/>
  <c r="C20" i="6"/>
  <c r="G20" i="6"/>
  <c r="F13" i="6"/>
  <c r="D13" i="6"/>
  <c r="G13" i="6"/>
  <c r="C13" i="6"/>
  <c r="D22" i="6"/>
  <c r="C22" i="6"/>
  <c r="F22" i="6"/>
  <c r="G22" i="6"/>
  <c r="J115" i="5"/>
  <c r="J125" i="5"/>
  <c r="K140" i="5"/>
  <c r="K130" i="5"/>
  <c r="F18" i="6"/>
  <c r="D18" i="6"/>
  <c r="G18" i="6"/>
  <c r="C18" i="6"/>
  <c r="F11" i="6"/>
  <c r="D11" i="6"/>
  <c r="H26" i="6"/>
  <c r="H27" i="6" s="1"/>
  <c r="C11" i="6"/>
  <c r="G11" i="6"/>
  <c r="F17" i="6"/>
  <c r="D17" i="6"/>
  <c r="C17" i="6"/>
  <c r="G17" i="6"/>
  <c r="J171" i="5"/>
  <c r="J186" i="5" s="1"/>
  <c r="K171" i="5"/>
  <c r="K186" i="5" s="1"/>
  <c r="H175" i="5"/>
  <c r="K210" i="7" l="1"/>
  <c r="K211" i="7" s="1"/>
  <c r="H216" i="7" s="1"/>
  <c r="H217" i="7" s="1"/>
  <c r="H211" i="7"/>
  <c r="I177" i="5"/>
  <c r="I178" i="5" s="1"/>
  <c r="D209" i="5" s="1"/>
  <c r="D211" i="5" s="1"/>
  <c r="K209" i="5"/>
  <c r="K211" i="5" s="1"/>
  <c r="H28" i="6"/>
  <c r="H29" i="6" s="1"/>
  <c r="J130" i="5"/>
  <c r="J140" i="5"/>
  <c r="I130" i="5"/>
  <c r="I141" i="5"/>
  <c r="L126" i="5"/>
  <c r="L125" i="5"/>
  <c r="G26" i="6"/>
  <c r="G27" i="6" s="1"/>
  <c r="G28" i="6" s="1"/>
  <c r="F26" i="6"/>
  <c r="F27" i="6" s="1"/>
  <c r="I155" i="5"/>
  <c r="D26" i="6"/>
  <c r="C26" i="6"/>
  <c r="C27" i="6" s="1"/>
  <c r="H30" i="6"/>
  <c r="H31" i="6" s="1"/>
  <c r="H32" i="6" s="1"/>
  <c r="K155" i="5"/>
  <c r="K145" i="5"/>
  <c r="H47" i="6"/>
  <c r="H48" i="6" s="1"/>
  <c r="H49" i="6" s="1"/>
  <c r="H50" i="6" s="1"/>
  <c r="L130" i="5" l="1"/>
  <c r="F28" i="6"/>
  <c r="F29" i="6" s="1"/>
  <c r="H33" i="6"/>
  <c r="H34" i="6" s="1"/>
  <c r="J145" i="5"/>
  <c r="J155" i="5"/>
  <c r="K170" i="5"/>
  <c r="K160" i="5"/>
  <c r="C28" i="6"/>
  <c r="L140" i="5"/>
  <c r="G29" i="6"/>
  <c r="G30" i="6" s="1"/>
  <c r="G31" i="6" s="1"/>
  <c r="I145" i="5"/>
  <c r="I156" i="5"/>
  <c r="L141" i="5"/>
  <c r="D27" i="6"/>
  <c r="D28" i="6" s="1"/>
  <c r="D29" i="6" s="1"/>
  <c r="I170" i="5"/>
  <c r="I185" i="5" s="1"/>
  <c r="I160" i="5"/>
  <c r="D117" i="5"/>
  <c r="K175" i="5" l="1"/>
  <c r="K185" i="5"/>
  <c r="K190" i="5" s="1"/>
  <c r="F30" i="6"/>
  <c r="F31" i="6" s="1"/>
  <c r="G32" i="6"/>
  <c r="G33" i="6" s="1"/>
  <c r="G34" i="6" s="1"/>
  <c r="I171" i="5"/>
  <c r="I186" i="5" s="1"/>
  <c r="L186" i="5" s="1"/>
  <c r="L156" i="5"/>
  <c r="C29" i="6"/>
  <c r="C30" i="6" s="1"/>
  <c r="C31" i="6" s="1"/>
  <c r="J160" i="5"/>
  <c r="J170" i="5"/>
  <c r="L155" i="5"/>
  <c r="D30" i="6"/>
  <c r="L145" i="5"/>
  <c r="J175" i="5" l="1"/>
  <c r="J185" i="5"/>
  <c r="I190" i="5"/>
  <c r="L170" i="5"/>
  <c r="F32" i="6"/>
  <c r="F33" i="6" s="1"/>
  <c r="L160" i="5"/>
  <c r="C32" i="6"/>
  <c r="C33" i="6" s="1"/>
  <c r="C34" i="6" s="1"/>
  <c r="D31" i="6"/>
  <c r="D32" i="6" s="1"/>
  <c r="I175" i="5"/>
  <c r="L171" i="5"/>
  <c r="D132" i="5"/>
  <c r="J190" i="5" l="1"/>
  <c r="L185" i="5"/>
  <c r="L190" i="5" s="1"/>
  <c r="D192" i="5" s="1"/>
  <c r="L175" i="5"/>
  <c r="F34" i="6"/>
  <c r="D33" i="6"/>
  <c r="D34" i="6" s="1"/>
  <c r="D147" i="5"/>
  <c r="D162" i="5" l="1"/>
  <c r="D177" i="5" l="1"/>
  <c r="K55" i="5" l="1"/>
  <c r="L50" i="5"/>
  <c r="L55" i="5" s="1"/>
  <c r="D57" i="5" s="1"/>
</calcChain>
</file>

<file path=xl/sharedStrings.xml><?xml version="1.0" encoding="utf-8"?>
<sst xmlns="http://schemas.openxmlformats.org/spreadsheetml/2006/main" count="701" uniqueCount="58">
  <si>
    <t>Outros Vencimentos (R$)</t>
  </si>
  <si>
    <t>Total de Vencimentos (R$)</t>
  </si>
  <si>
    <t>Diárias</t>
  </si>
  <si>
    <t>Regime</t>
  </si>
  <si>
    <t>Efetivos</t>
  </si>
  <si>
    <t>Comissionados</t>
  </si>
  <si>
    <t>Pensionistas</t>
  </si>
  <si>
    <t>Agentes Políticos</t>
  </si>
  <si>
    <t>Estagiários</t>
  </si>
  <si>
    <t>Total</t>
  </si>
  <si>
    <t>Salário Base Total (R$)</t>
  </si>
  <si>
    <t>1/3 de Férias</t>
  </si>
  <si>
    <t>INSS</t>
  </si>
  <si>
    <t>IRRF</t>
  </si>
  <si>
    <t>Outros Descontos</t>
  </si>
  <si>
    <t>Total de Descontos</t>
  </si>
  <si>
    <t>Período:</t>
  </si>
  <si>
    <t>Fevereiro/2025</t>
  </si>
  <si>
    <t>Março/2025</t>
  </si>
  <si>
    <t>Janeiro/2025</t>
  </si>
  <si>
    <t>H. Extras</t>
  </si>
  <si>
    <t>Qtd</t>
  </si>
  <si>
    <t>Aposentado</t>
  </si>
  <si>
    <t>Base de Cálculo INSS</t>
  </si>
  <si>
    <t>INSS Patronal</t>
  </si>
  <si>
    <t>Total Líquido</t>
  </si>
  <si>
    <t>Quantidade Comissionados</t>
  </si>
  <si>
    <t>Variação %</t>
  </si>
  <si>
    <t>Abril/2025</t>
  </si>
  <si>
    <t>Maio/2025</t>
  </si>
  <si>
    <t>Junho/2025</t>
  </si>
  <si>
    <t>Julho/2025</t>
  </si>
  <si>
    <t>Agosto/2025</t>
  </si>
  <si>
    <t>Setembro/2025</t>
  </si>
  <si>
    <t>Outubro/2025</t>
  </si>
  <si>
    <t>Novembro/2025</t>
  </si>
  <si>
    <t>Dezembro/2025</t>
  </si>
  <si>
    <t>total</t>
  </si>
  <si>
    <t>qtd total</t>
  </si>
  <si>
    <t>venc total</t>
  </si>
  <si>
    <t>efetivos</t>
  </si>
  <si>
    <t>Ag Politico</t>
  </si>
  <si>
    <t>Competência</t>
  </si>
  <si>
    <t>INSS Patronal - Ag. Políticos</t>
  </si>
  <si>
    <t>INSS Patronal - Servidores</t>
  </si>
  <si>
    <t>Estimativa Contribuição Patronal</t>
  </si>
  <si>
    <t>Estimativa 1/3 de Férias</t>
  </si>
  <si>
    <t xml:space="preserve">1/3 férias </t>
  </si>
  <si>
    <t>Valor</t>
  </si>
  <si>
    <t>13º/2025</t>
  </si>
  <si>
    <t>13º/25</t>
  </si>
  <si>
    <t>Estimativa Total da Folha</t>
  </si>
  <si>
    <t>Apuração CF art. 29-A</t>
  </si>
  <si>
    <t>Estimativa TCM-BA Duodécimo 2025</t>
  </si>
  <si>
    <t>Estimativa Folha total para fins CF art. 29-A</t>
  </si>
  <si>
    <t>Estimativa não considerando INSS Patronal dos Agentes Políticos</t>
  </si>
  <si>
    <t>Realizado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</si>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</sst>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.0000_-;\-&quot;R$&quot;\ * #,##0.0000_-;_-&quot;R$&quot;\ * &quot;-&quot;??_-;_-@_-"/>
    <numFmt numFmtId="166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0" borderId="1" xfId="1" applyFont="1" applyBorder="1" applyAlignment="1">
      <alignment horizontal="left"/>
    </xf>
    <xf numFmtId="44" fontId="0" fillId="0" borderId="4" xfId="1" applyFont="1" applyBorder="1" applyAlignment="1">
      <alignment horizontal="left"/>
    </xf>
    <xf numFmtId="0" fontId="2" fillId="0" borderId="6" xfId="0" applyFont="1" applyBorder="1"/>
    <xf numFmtId="0" fontId="3" fillId="0" borderId="7" xfId="0" applyFont="1" applyBorder="1"/>
    <xf numFmtId="0" fontId="3" fillId="0" borderId="2" xfId="0" applyFont="1" applyBorder="1" applyAlignment="1">
      <alignment horizontal="center"/>
    </xf>
    <xf numFmtId="44" fontId="3" fillId="0" borderId="1" xfId="1" applyFont="1" applyBorder="1" applyAlignment="1">
      <alignment horizontal="left"/>
    </xf>
    <xf numFmtId="49" fontId="4" fillId="4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left"/>
    </xf>
    <xf numFmtId="0" fontId="0" fillId="0" borderId="8" xfId="0" applyBorder="1"/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44" fontId="0" fillId="0" borderId="0" xfId="0" applyNumberFormat="1"/>
    <xf numFmtId="0" fontId="3" fillId="0" borderId="9" xfId="0" applyFont="1" applyBorder="1" applyAlignment="1">
      <alignment horizontal="right"/>
    </xf>
    <xf numFmtId="44" fontId="3" fillId="0" borderId="9" xfId="1" applyFont="1" applyFill="1" applyBorder="1" applyAlignment="1">
      <alignment horizontal="left"/>
    </xf>
    <xf numFmtId="17" fontId="2" fillId="2" borderId="1" xfId="0" applyNumberFormat="1" applyFont="1" applyFill="1" applyBorder="1"/>
    <xf numFmtId="10" fontId="0" fillId="0" borderId="0" xfId="2" applyNumberFormat="1" applyFont="1"/>
    <xf numFmtId="9" fontId="0" fillId="0" borderId="0" xfId="2" applyFont="1"/>
    <xf numFmtId="17" fontId="0" fillId="0" borderId="0" xfId="0" applyNumberFormat="1"/>
    <xf numFmtId="44" fontId="0" fillId="0" borderId="0" xfId="1" applyFont="1"/>
    <xf numFmtId="164" fontId="0" fillId="0" borderId="0" xfId="3" applyNumberFormat="1" applyFont="1" applyAlignment="1">
      <alignment horizontal="center"/>
    </xf>
    <xf numFmtId="165" fontId="3" fillId="0" borderId="0" xfId="1" applyNumberFormat="1" applyFont="1" applyBorder="1" applyAlignment="1">
      <alignment horizontal="left"/>
    </xf>
    <xf numFmtId="165" fontId="0" fillId="0" borderId="0" xfId="0" applyNumberFormat="1"/>
    <xf numFmtId="0" fontId="0" fillId="0" borderId="1" xfId="0" applyBorder="1" applyAlignment="1">
      <alignment horizontal="centerContinuous"/>
    </xf>
    <xf numFmtId="17" fontId="0" fillId="0" borderId="1" xfId="0" applyNumberFormat="1" applyBorder="1"/>
    <xf numFmtId="166" fontId="1" fillId="0" borderId="1" xfId="1" applyNumberFormat="1" applyFont="1" applyBorder="1" applyAlignment="1">
      <alignment horizontal="centerContinuous"/>
    </xf>
    <xf numFmtId="166" fontId="0" fillId="0" borderId="1" xfId="0" applyNumberFormat="1" applyBorder="1" applyAlignment="1">
      <alignment horizontal="centerContinuous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centerContinuous"/>
    </xf>
    <xf numFmtId="0" fontId="2" fillId="4" borderId="1" xfId="0" applyFont="1" applyFill="1" applyBorder="1" applyAlignment="1">
      <alignment horizontal="centerContinuous"/>
    </xf>
    <xf numFmtId="0" fontId="0" fillId="4" borderId="1" xfId="0" applyFill="1" applyBorder="1" applyAlignment="1">
      <alignment horizontal="centerContinuous"/>
    </xf>
    <xf numFmtId="0" fontId="4" fillId="0" borderId="0" xfId="0" applyFont="1"/>
    <xf numFmtId="0" fontId="2" fillId="4" borderId="4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166" fontId="3" fillId="4" borderId="1" xfId="0" applyNumberFormat="1" applyFont="1" applyFill="1" applyBorder="1" applyAlignment="1">
      <alignment horizontal="centerContinuous"/>
    </xf>
    <xf numFmtId="0" fontId="3" fillId="4" borderId="1" xfId="0" applyFont="1" applyFill="1" applyBorder="1" applyAlignment="1">
      <alignment horizontal="centerContinuous"/>
    </xf>
    <xf numFmtId="166" fontId="3" fillId="4" borderId="1" xfId="1" applyNumberFormat="1" applyFont="1" applyFill="1" applyBorder="1" applyAlignment="1">
      <alignment horizontal="centerContinuous"/>
    </xf>
    <xf numFmtId="166" fontId="3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Continuous"/>
    </xf>
    <xf numFmtId="0" fontId="6" fillId="3" borderId="1" xfId="0" applyFont="1" applyFill="1" applyBorder="1" applyAlignment="1">
      <alignment horizontal="centerContinuous"/>
    </xf>
    <xf numFmtId="0" fontId="6" fillId="0" borderId="0" xfId="0" applyFont="1"/>
    <xf numFmtId="166" fontId="3" fillId="3" borderId="1" xfId="0" applyNumberFormat="1" applyFont="1" applyFill="1" applyBorder="1" applyAlignment="1">
      <alignment horizontal="center"/>
    </xf>
    <xf numFmtId="17" fontId="0" fillId="0" borderId="4" xfId="0" applyNumberFormat="1" applyBorder="1"/>
    <xf numFmtId="0" fontId="0" fillId="0" borderId="4" xfId="0" applyBorder="1" applyAlignment="1">
      <alignment horizontal="centerContinuous"/>
    </xf>
    <xf numFmtId="166" fontId="0" fillId="0" borderId="4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Continuous"/>
    </xf>
    <xf numFmtId="17" fontId="0" fillId="0" borderId="1" xfId="0" applyNumberFormat="1" applyBorder="1" applyAlignment="1">
      <alignment horizontal="right"/>
    </xf>
    <xf numFmtId="166" fontId="0" fillId="0" borderId="0" xfId="0" applyNumberFormat="1"/>
    <xf numFmtId="0" fontId="0" fillId="3" borderId="1" xfId="0" applyFill="1" applyBorder="1" applyAlignment="1">
      <alignment horizontal="centerContinuous"/>
    </xf>
    <xf numFmtId="10" fontId="2" fillId="4" borderId="1" xfId="2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6" fontId="0" fillId="0" borderId="4" xfId="1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0" fillId="0" borderId="1" xfId="3" applyNumberFormat="1" applyFont="1" applyBorder="1" applyAlignment="1">
      <alignment horizontal="right"/>
    </xf>
    <xf numFmtId="166" fontId="0" fillId="0" borderId="4" xfId="3" applyNumberFormat="1" applyFont="1" applyBorder="1" applyAlignment="1">
      <alignment horizontal="right"/>
    </xf>
    <xf numFmtId="166" fontId="0" fillId="0" borderId="0" xfId="3" applyNumberFormat="1" applyFont="1" applyAlignment="1">
      <alignment horizontal="right"/>
    </xf>
    <xf numFmtId="166" fontId="3" fillId="0" borderId="1" xfId="3" applyNumberFormat="1" applyFont="1" applyBorder="1" applyAlignment="1">
      <alignment horizontal="right"/>
    </xf>
    <xf numFmtId="0" fontId="8" fillId="0" borderId="0" xfId="0" applyFont="1"/>
    <xf numFmtId="166" fontId="1" fillId="0" borderId="1" xfId="1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416"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R$&quot;\ 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836932-72D4-4D0C-84B1-DEF5EFDB4ACF}" name="Tabela2" displayName="Tabela2" ref="A18:L25" totalsRowShown="0" headerRowDxfId="415" headerRowBorderDxfId="414" tableBorderDxfId="413" totalsRowBorderDxfId="412">
  <tableColumns count="12">
    <tableColumn id="1" xr3:uid="{3E7839E7-0336-48F9-A930-C3B7E3D5A5E5}" name="Regime" dataDxfId="411"/>
    <tableColumn id="2" xr3:uid="{75B8944C-EA5B-49EF-8B84-7ECC044C4646}" name="Qtd" dataDxfId="410"/>
    <tableColumn id="3" xr3:uid="{3A3AE5DA-93A1-466B-9D63-EDFC501C0F9B}" name="Salário Base Total (R$)" dataDxfId="409" dataCellStyle="Moeda">
      <calculatedColumnFormula>SUM(L19:T19)</calculatedColumnFormula>
    </tableColumn>
    <tableColumn id="4" xr3:uid="{26B752F4-BC34-4FB7-A7A9-C3CDD98226D5}" name="Outros Vencimentos (R$)" dataDxfId="408" dataCellStyle="Moeda"/>
    <tableColumn id="7" xr3:uid="{750E4F96-79C6-4A4B-831D-9ABDB2BDCA3F}" name="H. Extras" dataDxfId="407" dataCellStyle="Moeda"/>
    <tableColumn id="5" xr3:uid="{1CB52DF1-784E-44E4-B2A5-051A7DD61B9B}" name="Diárias" dataDxfId="406" dataCellStyle="Moeda"/>
    <tableColumn id="8" xr3:uid="{E32138A7-7D90-4350-B201-4CB2FC3B547C}" name="1/3 de Férias" dataDxfId="405" dataCellStyle="Moeda"/>
    <tableColumn id="6" xr3:uid="{92F77020-C640-4CED-A40F-E50297EC51A3}" name="Total de Vencimentos (R$)" dataDxfId="404" dataCellStyle="Moeda">
      <calculatedColumnFormula>SUM(Tabela2[[#This Row],[Salário Base Total (R$)]:[1/3 de Férias]])</calculatedColumnFormula>
    </tableColumn>
    <tableColumn id="9" xr3:uid="{09499930-2C6D-4FFB-9B3B-BB8DD978D3BC}" name="INSS" dataDxfId="403" dataCellStyle="Moeda"/>
    <tableColumn id="10" xr3:uid="{CB353751-0D2F-4DF6-932F-4950E13518FF}" name="IRRF" dataDxfId="402" dataCellStyle="Moeda"/>
    <tableColumn id="11" xr3:uid="{4973C626-9627-4E47-B3C9-49F91E13D506}" name="Outros Descontos" dataDxfId="401" dataCellStyle="Moeda"/>
    <tableColumn id="12" xr3:uid="{D02333E2-0499-45D5-85AE-6E09A7F5EFC4}" name="Total de Descontos" dataDxfId="400" dataCellStyle="Moeda">
      <calculatedColumnFormula>SUM(Tabela2[[#This Row],[INSS]:[Outros Descontos]])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DF50AC-76B0-4AF2-9AE2-22BDCD3628BF}" name="Tabela2452611" displayName="Tabela2452611" ref="A138:L145" totalsRowShown="0" headerRowDxfId="271" headerRowBorderDxfId="270" tableBorderDxfId="269" totalsRowBorderDxfId="268">
  <tableColumns count="12">
    <tableColumn id="1" xr3:uid="{E0BF6A98-B415-40F4-908E-7163FD3812C5}" name="Regime" dataDxfId="267"/>
    <tableColumn id="2" xr3:uid="{80497F0A-0025-4803-97D1-4217FA7F19DC}" name="Qtd" dataDxfId="266"/>
    <tableColumn id="3" xr3:uid="{F463AEAD-C98E-40E9-84F7-999697A12570}" name="Salário Base Total (R$)" dataDxfId="265" dataCellStyle="Moeda">
      <calculatedColumnFormula>SUM(L139:T139)</calculatedColumnFormula>
    </tableColumn>
    <tableColumn id="4" xr3:uid="{66AA9487-5C79-4623-8DF8-5E5FFDCFE47E}" name="Outros Vencimentos (R$)" dataDxfId="264" dataCellStyle="Moeda"/>
    <tableColumn id="7" xr3:uid="{8B3E887B-36CA-4A94-B486-D8E595A570AA}" name="H. Extras" dataDxfId="263" dataCellStyle="Moeda"/>
    <tableColumn id="5" xr3:uid="{6D56CD0E-02D9-4928-BE65-E550038F25B7}" name="Diárias" dataDxfId="262" dataCellStyle="Moeda"/>
    <tableColumn id="8" xr3:uid="{F789D207-C7A7-400F-81A6-F19E2D941160}" name="1/3 de Férias" dataDxfId="261" dataCellStyle="Moeda"/>
    <tableColumn id="6" xr3:uid="{F0191D84-C562-408C-B525-D33E292372C1}" name="Total de Vencimentos (R$)" dataDxfId="260" dataCellStyle="Moeda">
      <calculatedColumnFormula>SUM(Tabela2452611[[#This Row],[Salário Base Total (R$)]:[1/3 de Férias]])</calculatedColumnFormula>
    </tableColumn>
    <tableColumn id="9" xr3:uid="{2AFAE9E7-B2F7-4EF2-9FA0-77EBE037D0F0}" name="INSS" dataDxfId="259" dataCellStyle="Moeda"/>
    <tableColumn id="10" xr3:uid="{6E7B175D-9218-4A1E-B9F8-0F4C7E254C3E}" name="IRRF" dataDxfId="258" dataCellStyle="Moeda"/>
    <tableColumn id="11" xr3:uid="{245554F7-2698-4546-AAE3-58EBB3F9A951}" name="Outros Descontos" dataDxfId="257" dataCellStyle="Moeda"/>
    <tableColumn id="12" xr3:uid="{5CE19C14-A6AE-40FE-9FEB-654CF305C379}" name="Total de Descontos" dataDxfId="256" dataCellStyle="Moeda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C48869E-F788-497A-ACE6-CED4C63F1535}" name="Tabela2452612" displayName="Tabela2452612" ref="A153:L160" totalsRowShown="0" headerRowDxfId="255" headerRowBorderDxfId="254" tableBorderDxfId="253" totalsRowBorderDxfId="252">
  <tableColumns count="12">
    <tableColumn id="1" xr3:uid="{585BD434-22A1-409B-A2B8-6F56F5490EFC}" name="Regime" dataDxfId="251"/>
    <tableColumn id="2" xr3:uid="{4534F94E-9535-4C46-84FE-BD8CE05EA51C}" name="Qtd" dataDxfId="250"/>
    <tableColumn id="3" xr3:uid="{311D304D-7492-4A9F-A845-9DFB8FB02013}" name="Salário Base Total (R$)" dataDxfId="249" dataCellStyle="Moeda">
      <calculatedColumnFormula>SUM(L154:T154)</calculatedColumnFormula>
    </tableColumn>
    <tableColumn id="4" xr3:uid="{96EFFE1C-D2BD-4307-9208-132886935E0E}" name="Outros Vencimentos (R$)" dataDxfId="248" dataCellStyle="Moeda"/>
    <tableColumn id="7" xr3:uid="{71CA1C6B-E99A-48C8-BC31-7D8B955FE4F3}" name="H. Extras" dataDxfId="247" dataCellStyle="Moeda"/>
    <tableColumn id="5" xr3:uid="{994B576C-7D44-4438-B040-BC7A178B3539}" name="Diárias" dataDxfId="246" dataCellStyle="Moeda"/>
    <tableColumn id="8" xr3:uid="{0AD6BFF4-F1F6-4474-A6C0-59C717AB0D47}" name="1/3 de Férias" dataDxfId="245" dataCellStyle="Moeda"/>
    <tableColumn id="6" xr3:uid="{1572477B-B4DB-4839-A9C2-5FEAAFC21356}" name="Total de Vencimentos (R$)" dataDxfId="244" dataCellStyle="Moeda">
      <calculatedColumnFormula>SUM(Tabela2452612[[#This Row],[Salário Base Total (R$)]:[1/3 de Férias]])</calculatedColumnFormula>
    </tableColumn>
    <tableColumn id="9" xr3:uid="{E5DE20F4-45F5-4108-92C9-13135CB1DC81}" name="INSS" dataDxfId="243" dataCellStyle="Moeda"/>
    <tableColumn id="10" xr3:uid="{060770A5-FC70-4368-B3F8-23BA962B35A8}" name="IRRF" dataDxfId="242" dataCellStyle="Moeda"/>
    <tableColumn id="11" xr3:uid="{69DEDD14-5415-4A5B-85A2-A97D1F5AD78F}" name="Outros Descontos" dataDxfId="241" dataCellStyle="Moeda"/>
    <tableColumn id="12" xr3:uid="{80DD38DF-0A17-4278-9B5D-EDEE7DDDD6D0}" name="Total de Descontos" dataDxfId="240" dataCellStyle="Moeda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23D6D9-870C-4BAE-AA80-29122FEB3736}" name="Tabela2452613" displayName="Tabela2452613" ref="A168:L175" totalsRowShown="0" headerRowDxfId="239" headerRowBorderDxfId="238" tableBorderDxfId="237" totalsRowBorderDxfId="236">
  <tableColumns count="12">
    <tableColumn id="1" xr3:uid="{13586954-B027-4FA8-B164-4980E12BE48D}" name="Regime" dataDxfId="235"/>
    <tableColumn id="2" xr3:uid="{5CED6136-80DC-4678-834E-DA370F36DA0D}" name="Qtd" dataDxfId="234"/>
    <tableColumn id="3" xr3:uid="{EA15585A-7EBB-4A8B-86E5-0059F2976289}" name="Salário Base Total (R$)" dataDxfId="233" dataCellStyle="Moeda">
      <calculatedColumnFormula>SUM(L169:T169)</calculatedColumnFormula>
    </tableColumn>
    <tableColumn id="4" xr3:uid="{3A17693F-476B-4F7F-95E0-3E88F4BC2488}" name="Outros Vencimentos (R$)" dataDxfId="232" dataCellStyle="Moeda"/>
    <tableColumn id="7" xr3:uid="{9F32EDFE-18AF-48F4-9F80-14FBEE0CC758}" name="H. Extras" dataDxfId="231" dataCellStyle="Moeda"/>
    <tableColumn id="5" xr3:uid="{B700F380-1B81-4DCB-93BE-B3BB1E45CB11}" name="Diárias" dataDxfId="230" dataCellStyle="Moeda"/>
    <tableColumn id="8" xr3:uid="{3F90DB1E-5620-46B8-85DD-B4EF31AD02EA}" name="1/3 de Férias" dataDxfId="229" dataCellStyle="Moeda"/>
    <tableColumn id="6" xr3:uid="{846F5CD8-35EF-4FE9-86FE-B669A6CAF241}" name="Total de Vencimentos (R$)" dataDxfId="228" dataCellStyle="Moeda">
      <calculatedColumnFormula>SUM(Tabela2452613[[#This Row],[Salário Base Total (R$)]:[1/3 de Férias]])</calculatedColumnFormula>
    </tableColumn>
    <tableColumn id="9" xr3:uid="{B836FD3F-781C-4068-AC94-317E692A113D}" name="INSS" dataDxfId="227" dataCellStyle="Moeda"/>
    <tableColumn id="10" xr3:uid="{5AEC2C37-8AC4-44BA-B172-568793C3B214}" name="IRRF" dataDxfId="226" dataCellStyle="Moeda"/>
    <tableColumn id="11" xr3:uid="{D7A2F488-09D5-4CFD-B290-3434C8FA7E6C}" name="Outros Descontos" dataDxfId="225" dataCellStyle="Moeda"/>
    <tableColumn id="12" xr3:uid="{9BA3BED0-6E21-43FC-AA6A-8012EF641EC7}" name="Total de Descontos" dataDxfId="224" dataCellStyle="Moeda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20674C-52E8-4BE3-A5B6-740B0F652B74}" name="Tabela245261314" displayName="Tabela245261314" ref="A183:L190" totalsRowShown="0" headerRowDxfId="223" headerRowBorderDxfId="222" tableBorderDxfId="221" totalsRowBorderDxfId="220">
  <tableColumns count="12">
    <tableColumn id="1" xr3:uid="{E67866F9-5BF4-4BFF-BBE8-AACC5380D8B2}" name="Regime" dataDxfId="219"/>
    <tableColumn id="2" xr3:uid="{7D987109-CC95-49F7-B2BD-09DB32EFB3CD}" name="Qtd" dataDxfId="218"/>
    <tableColumn id="3" xr3:uid="{004F0012-1E8E-4142-9C1F-E61E94A68AF2}" name="Salário Base Total (R$)" dataDxfId="217" dataCellStyle="Moeda">
      <calculatedColumnFormula>SUM(L184:T184)</calculatedColumnFormula>
    </tableColumn>
    <tableColumn id="4" xr3:uid="{F8C5139F-5B05-4B25-B00A-B93FB8758A85}" name="Outros Vencimentos (R$)" dataDxfId="216" dataCellStyle="Moeda"/>
    <tableColumn id="7" xr3:uid="{1E8B5E8A-CDA2-46E4-A1E5-5E6CBC2EC438}" name="H. Extras" dataDxfId="215" dataCellStyle="Moeda"/>
    <tableColumn id="5" xr3:uid="{1E8438AA-1EF1-4320-8A05-676F490B618A}" name="Diárias" dataDxfId="214" dataCellStyle="Moeda"/>
    <tableColumn id="8" xr3:uid="{616A2A84-FAB4-45D3-B355-57D06F48EA84}" name="1/3 de Férias" dataDxfId="213" dataCellStyle="Moeda"/>
    <tableColumn id="6" xr3:uid="{4DAAF0A8-6349-4EBD-95D7-A2639D3C3A50}" name="Total de Vencimentos (R$)" dataDxfId="212" dataCellStyle="Moeda">
      <calculatedColumnFormula>SUM(Tabela245261314[[#This Row],[Salário Base Total (R$)]:[1/3 de Férias]])</calculatedColumnFormula>
    </tableColumn>
    <tableColumn id="9" xr3:uid="{1E550FD4-5083-4C92-AD74-BE8AA50B37E8}" name="INSS" dataDxfId="211" dataCellStyle="Moeda"/>
    <tableColumn id="10" xr3:uid="{C690CE48-C761-470D-A932-8D44E9560CBE}" name="IRRF" dataDxfId="210" dataCellStyle="Moeda"/>
    <tableColumn id="11" xr3:uid="{06DB55E8-8F12-40CC-A08F-23D06981B438}" name="Outros Descontos" dataDxfId="209" dataCellStyle="Moeda"/>
    <tableColumn id="12" xr3:uid="{1B561E9A-DC73-49EF-AF10-956DFE765BA9}" name="Total de Descontos" dataDxfId="208" dataCellStyle="Moeda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1D4FA66-21B1-4194-B484-9E9825DB762F}" name="Tabela215" displayName="Tabela215" ref="A18:L25" totalsRowShown="0" headerRowDxfId="207" headerRowBorderDxfId="206" tableBorderDxfId="205" totalsRowBorderDxfId="204">
  <tableColumns count="12">
    <tableColumn id="1" xr3:uid="{45D4C9BD-259C-4E7C-AF2D-DAD0CC45DCF1}" name="Regime" dataDxfId="203"/>
    <tableColumn id="2" xr3:uid="{628D696F-E08C-4A90-A425-7ACD036BE3F1}" name="Qtd" dataDxfId="202"/>
    <tableColumn id="3" xr3:uid="{546A675F-E573-4E67-8FC8-899B7C25481C}" name="Salário Base Total (R$)" dataDxfId="201" dataCellStyle="Moeda">
      <calculatedColumnFormula>SUM(L19:T19)</calculatedColumnFormula>
    </tableColumn>
    <tableColumn id="4" xr3:uid="{D23BB3A8-B7ED-4230-8FF6-3323788E3E3B}" name="Outros Vencimentos (R$)" dataDxfId="200" dataCellStyle="Moeda"/>
    <tableColumn id="7" xr3:uid="{E7FF467B-E4CC-4210-ACE7-AC1374C2EDE9}" name="H. Extras" dataDxfId="199" dataCellStyle="Moeda"/>
    <tableColumn id="5" xr3:uid="{F82BC7AA-2F0B-427C-B4D9-80B78AE68717}" name="Diárias" dataDxfId="198" dataCellStyle="Moeda"/>
    <tableColumn id="8" xr3:uid="{35CCBA92-FD16-4562-A24A-CC2973901CB6}" name="1/3 de Férias" dataDxfId="197" dataCellStyle="Moeda"/>
    <tableColumn id="6" xr3:uid="{232C2DB4-DE5F-4E5E-9A95-9625F59E6856}" name="Total de Vencimentos (R$)" dataDxfId="196" dataCellStyle="Moeda">
      <calculatedColumnFormula>SUM(Tabela215[[#This Row],[Salário Base Total (R$)]:[1/3 de Férias]])</calculatedColumnFormula>
    </tableColumn>
    <tableColumn id="9" xr3:uid="{8BF75DAB-4577-4F84-8F1E-19AA2E379226}" name="INSS" dataDxfId="195" dataCellStyle="Moeda"/>
    <tableColumn id="10" xr3:uid="{272495FD-7E3D-49EF-8CD9-31A94E2F8922}" name="IRRF" dataDxfId="194" dataCellStyle="Moeda"/>
    <tableColumn id="11" xr3:uid="{4EFF06A4-4E9F-460C-8BAA-AB490D57FA6E}" name="Outros Descontos" dataDxfId="193" dataCellStyle="Moeda"/>
    <tableColumn id="12" xr3:uid="{3AF6F98E-CA3C-43EA-9979-2D4642EA5BBA}" name="Total de Descontos" dataDxfId="192" dataCellStyle="Moeda">
      <calculatedColumnFormula>SUM(Tabela215[[#This Row],[INSS]:[Outros Descontos]])</calculatedColumnFormula>
    </tableColumn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B16A9E1-1F6E-4A01-80CC-DE9A94BAF4EB}" name="Tabela2416" displayName="Tabela2416" ref="A3:L10" totalsRowShown="0" headerRowDxfId="191" headerRowBorderDxfId="190" tableBorderDxfId="189" totalsRowBorderDxfId="188">
  <tableColumns count="12">
    <tableColumn id="1" xr3:uid="{323BB9B6-699A-43D2-9F4C-C2351039B56F}" name="Regime" dataDxfId="187"/>
    <tableColumn id="2" xr3:uid="{3EC6909F-E499-4DB0-8465-9021E5FA4018}" name="Qtd" dataDxfId="186"/>
    <tableColumn id="3" xr3:uid="{E43CD07F-1913-4EA7-9073-80B127CCA066}" name="Salário Base Total (R$)" dataDxfId="185" dataCellStyle="Moeda">
      <calculatedColumnFormula>SUM(L4:T4)</calculatedColumnFormula>
    </tableColumn>
    <tableColumn id="4" xr3:uid="{2B771711-EC01-402A-B8DB-23BB14FA05D9}" name="Outros Vencimentos (R$)" dataDxfId="184" dataCellStyle="Moeda"/>
    <tableColumn id="7" xr3:uid="{C21A4B55-367A-4A2A-B826-B3B57F93A727}" name="H. Extras" dataDxfId="183" dataCellStyle="Moeda"/>
    <tableColumn id="5" xr3:uid="{C4B8EB26-8F39-4D53-A390-4A6D44B1F28D}" name="Diárias" dataDxfId="182" dataCellStyle="Moeda"/>
    <tableColumn id="8" xr3:uid="{3DF778EE-95BE-414F-9255-A9E138623012}" name="1/3 de Férias" dataDxfId="181" dataCellStyle="Moeda"/>
    <tableColumn id="6" xr3:uid="{799596FE-3A40-42AE-AE16-0DD29769C5EC}" name="Total de Vencimentos (R$)" dataDxfId="180" dataCellStyle="Moeda">
      <calculatedColumnFormula>SUM(Tabela2416[[#This Row],[Salário Base Total (R$)]:[1/3 de Férias]])</calculatedColumnFormula>
    </tableColumn>
    <tableColumn id="9" xr3:uid="{66CE7899-C791-4AFF-808E-FFB6AF38D6E2}" name="INSS" dataDxfId="179" dataCellStyle="Moeda"/>
    <tableColumn id="10" xr3:uid="{4B2702FD-8894-41E3-9300-5D2C6D794D11}" name="IRRF" dataDxfId="178" dataCellStyle="Moeda"/>
    <tableColumn id="11" xr3:uid="{5D58876A-3B80-429B-9866-13C2D6030FF2}" name="Outros Descontos" dataDxfId="177" dataCellStyle="Moeda"/>
    <tableColumn id="12" xr3:uid="{B37245B6-78E6-4896-99F9-28F4F85A37D6}" name="Total de Descontos" dataDxfId="176" dataCellStyle="Moeda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A2578CD-2C77-4C93-AC6C-62B30E3E6AFF}" name="Tabela24517" displayName="Tabela24517" ref="A33:L40" totalsRowShown="0" headerRowDxfId="175" headerRowBorderDxfId="174" tableBorderDxfId="173" totalsRowBorderDxfId="172">
  <tableColumns count="12">
    <tableColumn id="1" xr3:uid="{C47A3B1F-7F15-4281-96F2-A4D0879CEC87}" name="Regime" dataDxfId="171"/>
    <tableColumn id="2" xr3:uid="{78C40B25-6928-4DE7-B6F5-EFC32F121A24}" name="Qtd" dataDxfId="170"/>
    <tableColumn id="3" xr3:uid="{7384EBDB-9220-4E60-ADBC-5C8B201086F4}" name="Salário Base Total (R$)" dataDxfId="169" dataCellStyle="Moeda">
      <calculatedColumnFormula>SUM(L34:T34)</calculatedColumnFormula>
    </tableColumn>
    <tableColumn id="4" xr3:uid="{E6AEEA4B-0171-46EB-911A-EB3414662B27}" name="Outros Vencimentos (R$)" dataDxfId="168" dataCellStyle="Moeda"/>
    <tableColumn id="7" xr3:uid="{25136CEC-7D7C-4D5C-9175-88B4F7AC9AAD}" name="H. Extras" dataDxfId="167" dataCellStyle="Moeda"/>
    <tableColumn id="5" xr3:uid="{A22CD0B8-74FD-422B-852A-890A7DC0650D}" name="Diárias" dataDxfId="166" dataCellStyle="Moeda"/>
    <tableColumn id="8" xr3:uid="{2CBA58A4-662C-43CD-9B3E-E9755A60EDBD}" name="1/3 de Férias" dataDxfId="165" dataCellStyle="Moeda"/>
    <tableColumn id="6" xr3:uid="{079666D8-314D-4CB5-9C0C-255451349A19}" name="Total de Vencimentos (R$)" dataDxfId="164" dataCellStyle="Moeda">
      <calculatedColumnFormula>SUM(Tabela24517[[#This Row],[Salário Base Total (R$)]:[1/3 de Férias]])</calculatedColumnFormula>
    </tableColumn>
    <tableColumn id="9" xr3:uid="{38F150E2-E36A-4262-8C37-ED7609D9693C}" name="INSS" dataDxfId="163" dataCellStyle="Moeda"/>
    <tableColumn id="10" xr3:uid="{BF5E06FF-C269-4658-A5A6-3AD5640FF540}" name="IRRF" dataDxfId="162" dataCellStyle="Moeda"/>
    <tableColumn id="11" xr3:uid="{6D642B05-AB15-4DE5-9BEC-8B25E0427858}" name="Outros Descontos" dataDxfId="161" dataCellStyle="Moeda"/>
    <tableColumn id="12" xr3:uid="{15306D4D-8CF5-41C2-9729-8C20F9AE3681}" name="Total de Descontos" dataDxfId="160" dataCellStyle="Moeda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13478D-7CD2-4659-8EE2-38F09E1C5E77}" name="Tabela2451729" displayName="Tabela2451729" ref="A48:L55" totalsRowShown="0" headerRowDxfId="159" headerRowBorderDxfId="158" tableBorderDxfId="157" totalsRowBorderDxfId="156">
  <tableColumns count="12">
    <tableColumn id="1" xr3:uid="{2DA352BE-ADD6-414A-89D9-142F1E57F064}" name="Regime" dataDxfId="155"/>
    <tableColumn id="2" xr3:uid="{3E1E723E-3069-4367-9CB4-946D61D16555}" name="Qtd" dataDxfId="154"/>
    <tableColumn id="3" xr3:uid="{BED6FA72-0EFF-457F-AFB9-CD24AA253389}" name="Salário Base Total (R$)" dataDxfId="153" dataCellStyle="Moeda">
      <calculatedColumnFormula>SUM(L49:T49)</calculatedColumnFormula>
    </tableColumn>
    <tableColumn id="4" xr3:uid="{CC586E98-9F7C-4E68-8176-3F9F8917FF30}" name="Outros Vencimentos (R$)" dataDxfId="152" dataCellStyle="Moeda"/>
    <tableColumn id="7" xr3:uid="{AD5687C9-E1DC-47DD-9A4E-0C00B42C7060}" name="H. Extras" dataDxfId="151" dataCellStyle="Moeda"/>
    <tableColumn id="5" xr3:uid="{1994CC4F-78FA-42EF-B9A8-C2C71753584E}" name="Diárias" dataDxfId="150" dataCellStyle="Moeda"/>
    <tableColumn id="8" xr3:uid="{5D9804FE-767F-443E-83C9-70E64D72ED4E}" name="1/3 de Férias" dataDxfId="149" dataCellStyle="Moeda"/>
    <tableColumn id="6" xr3:uid="{068ECECD-D7E6-4735-9B3D-F560843FA507}" name="Total de Vencimentos (R$)" dataDxfId="148" dataCellStyle="Moeda">
      <calculatedColumnFormula>SUM(Tabela2451729[[#This Row],[Salário Base Total (R$)]:[1/3 de Férias]])</calculatedColumnFormula>
    </tableColumn>
    <tableColumn id="9" xr3:uid="{E0B652BD-0F61-4AAF-A745-A632C5CADA83}" name="INSS" dataDxfId="147" dataCellStyle="Moeda"/>
    <tableColumn id="10" xr3:uid="{7131F6EF-03BB-4549-AF74-55865FA1DA35}" name="IRRF" dataDxfId="146" dataCellStyle="Moeda"/>
    <tableColumn id="11" xr3:uid="{8EBB1E92-E56F-4831-AFA2-4D1A6A7CB0D2}" name="Outros Descontos" dataDxfId="145" dataCellStyle="Moeda"/>
    <tableColumn id="12" xr3:uid="{B980C029-57BC-4A96-A6D2-0705DB068AD8}" name="Total de Descontos" dataDxfId="144" dataCellStyle="Moeda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4257F50-DFA6-443A-B308-02CCA95934A9}" name="Tabela2451731" displayName="Tabela2451731" ref="A63:L70" totalsRowShown="0" headerRowDxfId="143" headerRowBorderDxfId="142" tableBorderDxfId="141" totalsRowBorderDxfId="140">
  <tableColumns count="12">
    <tableColumn id="1" xr3:uid="{49552A10-0E46-46CD-8507-FD984C3D56EF}" name="Regime" dataDxfId="139"/>
    <tableColumn id="2" xr3:uid="{70BE84B9-6C52-46A0-95F4-E48B965514EA}" name="Qtd" dataDxfId="138"/>
    <tableColumn id="3" xr3:uid="{3090BE0E-2FC6-42E8-9FD2-88D5B49A7392}" name="Salário Base Total (R$)" dataDxfId="137" dataCellStyle="Moeda">
      <calculatedColumnFormula>SUM(L64:T64)</calculatedColumnFormula>
    </tableColumn>
    <tableColumn id="4" xr3:uid="{0781CCB0-DA80-439A-9CB3-DA927AE1B80D}" name="Outros Vencimentos (R$)" dataDxfId="136" dataCellStyle="Moeda"/>
    <tableColumn id="7" xr3:uid="{040A1A72-9E40-43F3-824D-424A3DF69EE2}" name="H. Extras" dataDxfId="135" dataCellStyle="Moeda"/>
    <tableColumn id="5" xr3:uid="{80D520BC-770C-4215-95FD-99AFA027A19C}" name="Diárias" dataDxfId="134" dataCellStyle="Moeda"/>
    <tableColumn id="8" xr3:uid="{75BC0115-0BBE-4070-A946-5E9ADDD7472A}" name="1/3 de Férias" dataDxfId="133" dataCellStyle="Moeda"/>
    <tableColumn id="6" xr3:uid="{86A0AF8D-1FFE-45BB-B922-2DEB366C05A9}" name="Total de Vencimentos (R$)" dataDxfId="132" dataCellStyle="Moeda">
      <calculatedColumnFormula>SUM(Tabela2451731[[#This Row],[Salário Base Total (R$)]:[1/3 de Férias]])</calculatedColumnFormula>
    </tableColumn>
    <tableColumn id="9" xr3:uid="{4A75E9EA-269C-4469-BFD0-299F3D0DEA76}" name="INSS" dataDxfId="131" dataCellStyle="Moeda"/>
    <tableColumn id="10" xr3:uid="{48E3D47B-AB5C-4DC3-9C04-178E08CA9DD7}" name="IRRF" dataDxfId="130" dataCellStyle="Moeda"/>
    <tableColumn id="11" xr3:uid="{86EB385A-D8AA-460F-9FF0-AC07A64D6677}" name="Outros Descontos" dataDxfId="129" dataCellStyle="Moeda"/>
    <tableColumn id="12" xr3:uid="{B27E693D-AC3F-4AA4-9BCA-12BBBA4F3176}" name="Total de Descontos" dataDxfId="128" dataCellStyle="Moeda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0DE09FC-164B-493B-B5DA-73C7D6ADF8BB}" name="Tabela2451733" displayName="Tabela2451733" ref="A78:L85" totalsRowShown="0" headerRowDxfId="127" headerRowBorderDxfId="126" tableBorderDxfId="125" totalsRowBorderDxfId="124">
  <tableColumns count="12">
    <tableColumn id="1" xr3:uid="{8E4D401F-30C6-424B-9BAA-49D64958EEAD}" name="Regime" dataDxfId="123"/>
    <tableColumn id="2" xr3:uid="{D2C8C766-36E6-41B6-A919-CDB10C4E0450}" name="Qtd" dataDxfId="122"/>
    <tableColumn id="3" xr3:uid="{D2B65CD6-A343-47FC-A79E-DA12F2327141}" name="Salário Base Total (R$)" dataDxfId="121" dataCellStyle="Moeda">
      <calculatedColumnFormula>SUM(L79:T79)</calculatedColumnFormula>
    </tableColumn>
    <tableColumn id="4" xr3:uid="{03FFE673-489B-4065-A52B-89484BA5D710}" name="Outros Vencimentos (R$)" dataDxfId="120" dataCellStyle="Moeda"/>
    <tableColumn id="7" xr3:uid="{7D8CD07C-3EE6-4B4A-98D2-1A854D156BE4}" name="H. Extras" dataDxfId="119" dataCellStyle="Moeda"/>
    <tableColumn id="5" xr3:uid="{3FB800AE-A40A-4994-A3F9-2037EAC07783}" name="Diárias" dataDxfId="118" dataCellStyle="Moeda"/>
    <tableColumn id="8" xr3:uid="{228A05B6-F9DC-4AE5-A77D-EF8239FDC799}" name="1/3 de Férias" dataDxfId="117" dataCellStyle="Moeda"/>
    <tableColumn id="6" xr3:uid="{6CEE0FDB-390C-4217-B175-4966F3D534D1}" name="Total de Vencimentos (R$)" dataDxfId="116" dataCellStyle="Moeda">
      <calculatedColumnFormula>SUM(Tabela2451733[[#This Row],[Salário Base Total (R$)]:[1/3 de Férias]])</calculatedColumnFormula>
    </tableColumn>
    <tableColumn id="9" xr3:uid="{0942F2B6-C4CA-40A7-B340-014DE5840DA3}" name="INSS" dataDxfId="115" dataCellStyle="Moeda"/>
    <tableColumn id="10" xr3:uid="{CED321E7-7B6B-4BB4-9A0E-AD675EE534C5}" name="IRRF" dataDxfId="114" dataCellStyle="Moeda"/>
    <tableColumn id="11" xr3:uid="{97B25AA9-0A1D-4914-85F2-82C1AA1F2A1A}" name="Outros Descontos" dataDxfId="113" dataCellStyle="Moeda"/>
    <tableColumn id="12" xr3:uid="{95700C5E-16A4-4F61-928B-10953565C5CD}" name="Total de Descontos" dataDxfId="112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95B658-1513-47FD-815C-15658D3AC6A1}" name="Tabela24" displayName="Tabela24" ref="A3:L10" totalsRowShown="0" headerRowDxfId="399" headerRowBorderDxfId="398" tableBorderDxfId="397" totalsRowBorderDxfId="396">
  <tableColumns count="12">
    <tableColumn id="1" xr3:uid="{EABFC920-1FD5-43D4-BB5A-89712290D5B6}" name="Regime" dataDxfId="395"/>
    <tableColumn id="2" xr3:uid="{7A201EC5-E0C3-4E81-86EE-3DC70D265FA0}" name="Qtd" dataDxfId="394"/>
    <tableColumn id="3" xr3:uid="{0EC1FFD1-2879-43D6-8653-A1FF46BF225C}" name="Salário Base Total (R$)" dataDxfId="393" dataCellStyle="Moeda">
      <calculatedColumnFormula>SUM(L4:T4)</calculatedColumnFormula>
    </tableColumn>
    <tableColumn id="4" xr3:uid="{1AB3D6A6-5A73-4D51-976A-66ABCB7DE766}" name="Outros Vencimentos (R$)" dataDxfId="392" dataCellStyle="Moeda"/>
    <tableColumn id="7" xr3:uid="{E127347F-08EF-4BE1-84C1-1B60FAE1B1C6}" name="H. Extras" dataDxfId="391" dataCellStyle="Moeda"/>
    <tableColumn id="5" xr3:uid="{CA221C9F-C25C-40E1-A45E-44099EDC7B63}" name="Diárias" dataDxfId="390" dataCellStyle="Moeda"/>
    <tableColumn id="8" xr3:uid="{84E41D09-F71B-47B5-AC62-DB5D3D7F8D79}" name="1/3 de Férias" dataDxfId="389" dataCellStyle="Moeda"/>
    <tableColumn id="6" xr3:uid="{886A015E-2CB0-430D-BE31-EE123396C69A}" name="Total de Vencimentos (R$)" dataDxfId="388" dataCellStyle="Moeda">
      <calculatedColumnFormula>SUM(Tabela24[[#This Row],[Salário Base Total (R$)]:[1/3 de Férias]])</calculatedColumnFormula>
    </tableColumn>
    <tableColumn id="9" xr3:uid="{BC25AF17-D006-4EC6-8886-2C6F05825B66}" name="INSS" dataDxfId="387" dataCellStyle="Moeda"/>
    <tableColumn id="10" xr3:uid="{ECEDA0E0-E38C-4409-9285-2CA6134D47AF}" name="IRRF" dataDxfId="386" dataCellStyle="Moeda"/>
    <tableColumn id="11" xr3:uid="{51D9586C-C7FE-4E52-989C-0308C4384F66}" name="Outros Descontos" dataDxfId="385" dataCellStyle="Moeda"/>
    <tableColumn id="12" xr3:uid="{6CE8E8F6-17AF-44C3-85F2-6957B7B7E9F0}" name="Total de Descontos" dataDxfId="384" dataCellStyle="Moeda"/>
  </tableColumns>
  <tableStyleInfo name="TableStyleMedium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F2BDE6F-1F8D-4C2F-A92A-1366C12B1C68}" name="Tabela2451735" displayName="Tabela2451735" ref="A93:L100" totalsRowShown="0" headerRowDxfId="111" headerRowBorderDxfId="110" tableBorderDxfId="109" totalsRowBorderDxfId="108">
  <tableColumns count="12">
    <tableColumn id="1" xr3:uid="{8B25E0CB-54E5-45D8-8BCE-1E1F8CF4FFD2}" name="Regime" dataDxfId="107"/>
    <tableColumn id="2" xr3:uid="{03EE05FF-44B6-4819-B6AA-7AE3A4B5D64E}" name="Qtd" dataDxfId="106"/>
    <tableColumn id="3" xr3:uid="{44251D68-F7B4-4FB0-974D-940DDDD73709}" name="Salário Base Total (R$)" dataDxfId="105" dataCellStyle="Moeda">
      <calculatedColumnFormula>SUM(L94:T94)</calculatedColumnFormula>
    </tableColumn>
    <tableColumn id="4" xr3:uid="{B75015DE-DD06-484C-A241-17AA8056DF50}" name="Outros Vencimentos (R$)" dataDxfId="104" dataCellStyle="Moeda"/>
    <tableColumn id="7" xr3:uid="{43F576EC-9D7C-48C2-BB26-C8BEEBD113FF}" name="H. Extras" dataDxfId="103" dataCellStyle="Moeda"/>
    <tableColumn id="5" xr3:uid="{C192370C-3780-411A-A24C-1ECA43C4D1C5}" name="Diárias" dataDxfId="102" dataCellStyle="Moeda"/>
    <tableColumn id="8" xr3:uid="{7E462A0A-2869-4DD6-9C44-5CBC20187CF8}" name="1/3 de Férias" dataDxfId="101" dataCellStyle="Moeda"/>
    <tableColumn id="6" xr3:uid="{1E4A6666-BF21-4658-BD8B-82D76B59988B}" name="Total de Vencimentos (R$)" dataDxfId="100" dataCellStyle="Moeda">
      <calculatedColumnFormula>SUM(Tabela2451735[[#This Row],[Salário Base Total (R$)]:[1/3 de Férias]])</calculatedColumnFormula>
    </tableColumn>
    <tableColumn id="9" xr3:uid="{8A4B659B-BC2F-4137-9892-8450B291B574}" name="INSS" dataDxfId="99" dataCellStyle="Moeda"/>
    <tableColumn id="10" xr3:uid="{F2A18027-DEFB-4C5D-B66A-4EF5B42C9226}" name="IRRF" dataDxfId="98" dataCellStyle="Moeda"/>
    <tableColumn id="11" xr3:uid="{E590F22D-FBD6-4824-8F71-FFC6D39A6E4B}" name="Outros Descontos" dataDxfId="97" dataCellStyle="Moeda"/>
    <tableColumn id="12" xr3:uid="{927F82CB-2B6C-41A5-B978-1E8124D30B27}" name="Total de Descontos" dataDxfId="96" dataCellStyle="Moeda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EED4919-5544-4DAB-AFF8-73DA46869DC3}" name="Tabela2451737" displayName="Tabela2451737" ref="A108:L115" totalsRowShown="0" headerRowDxfId="95" headerRowBorderDxfId="94" tableBorderDxfId="93" totalsRowBorderDxfId="92">
  <tableColumns count="12">
    <tableColumn id="1" xr3:uid="{F092037E-748E-4EEE-96B0-64248BDBDCD4}" name="Regime" dataDxfId="91"/>
    <tableColumn id="2" xr3:uid="{760D3FCF-8209-4484-9935-16D29EB088D6}" name="Qtd" dataDxfId="90"/>
    <tableColumn id="3" xr3:uid="{C91CAE90-B5ED-47DF-A17E-B6463AE6CB85}" name="Salário Base Total (R$)" dataDxfId="89" dataCellStyle="Moeda">
      <calculatedColumnFormula>SUM(L109:T109)</calculatedColumnFormula>
    </tableColumn>
    <tableColumn id="4" xr3:uid="{66D9D2D7-E9E6-46B1-97A5-CEF303B17175}" name="Outros Vencimentos (R$)" dataDxfId="88" dataCellStyle="Moeda"/>
    <tableColumn id="7" xr3:uid="{4921EA03-D532-40AF-B6F4-E2F484F36D3A}" name="H. Extras" dataDxfId="87" dataCellStyle="Moeda"/>
    <tableColumn id="5" xr3:uid="{3CF52931-1A67-4D9C-96EC-377328293161}" name="Diárias" dataDxfId="86" dataCellStyle="Moeda"/>
    <tableColumn id="8" xr3:uid="{F6E2A3F7-A289-4732-A089-C2D5662AD6F2}" name="1/3 de Férias" dataDxfId="85" dataCellStyle="Moeda"/>
    <tableColumn id="6" xr3:uid="{99213CF4-19B1-4799-BDEE-540B9E588FBE}" name="Total de Vencimentos (R$)" dataDxfId="84" dataCellStyle="Moeda">
      <calculatedColumnFormula>SUM(Tabela2451737[[#This Row],[Salário Base Total (R$)]:[1/3 de Férias]])</calculatedColumnFormula>
    </tableColumn>
    <tableColumn id="9" xr3:uid="{4CD162E0-32F0-4D92-B215-309AF7D8F2E5}" name="INSS" dataDxfId="83" dataCellStyle="Moeda"/>
    <tableColumn id="10" xr3:uid="{FB91D2E7-52AF-40D7-BD92-731CB60A7B27}" name="IRRF" dataDxfId="82" dataCellStyle="Moeda"/>
    <tableColumn id="11" xr3:uid="{7E5C3E6D-F05C-4F15-ADC8-6B2B75C5E369}" name="Outros Descontos" dataDxfId="81" dataCellStyle="Moeda"/>
    <tableColumn id="12" xr3:uid="{721AC687-9572-4166-AD2C-150DDFF1A78F}" name="Total de Descontos" dataDxfId="80" dataCellStyle="Moeda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AF671A7-395F-48E6-BA5A-4ABD584F60F9}" name="Tabela2451739" displayName="Tabela2451739" ref="A123:L130" totalsRowShown="0" headerRowDxfId="79" headerRowBorderDxfId="78" tableBorderDxfId="77" totalsRowBorderDxfId="76">
  <tableColumns count="12">
    <tableColumn id="1" xr3:uid="{71E64A9B-F04F-4568-8961-507AB5B5E78B}" name="Regime" dataDxfId="75"/>
    <tableColumn id="2" xr3:uid="{FFDB4C83-8B3F-4C31-8049-829329EF7831}" name="Qtd" dataDxfId="74"/>
    <tableColumn id="3" xr3:uid="{DF194EC0-0F20-4078-A20C-80013B1940F2}" name="Salário Base Total (R$)" dataDxfId="73" dataCellStyle="Moeda">
      <calculatedColumnFormula>SUM(L124:T124)</calculatedColumnFormula>
    </tableColumn>
    <tableColumn id="4" xr3:uid="{A2AA26AD-4EB1-4A48-9E7D-9B7026D6D30E}" name="Outros Vencimentos (R$)" dataDxfId="72" dataCellStyle="Moeda"/>
    <tableColumn id="7" xr3:uid="{1EE5AA39-737A-4E93-8E3A-3745A884B7D2}" name="H. Extras" dataDxfId="71" dataCellStyle="Moeda"/>
    <tableColumn id="5" xr3:uid="{9D586787-A897-4772-B2CD-F7D92EF2E8BD}" name="Diárias" dataDxfId="70" dataCellStyle="Moeda"/>
    <tableColumn id="8" xr3:uid="{3745C7DD-6BEC-446C-B0E8-D2DA7BD2CACC}" name="1/3 de Férias" dataDxfId="69" dataCellStyle="Moeda"/>
    <tableColumn id="6" xr3:uid="{FA447642-00FF-4851-A09E-0B2F8E9E20FD}" name="Total de Vencimentos (R$)" dataDxfId="68" dataCellStyle="Moeda">
      <calculatedColumnFormula>SUM(Tabela2451739[[#This Row],[Salário Base Total (R$)]:[1/3 de Férias]])</calculatedColumnFormula>
    </tableColumn>
    <tableColumn id="9" xr3:uid="{BCD348DF-4295-4E58-9C8F-EC500A5D01E4}" name="INSS" dataDxfId="67" dataCellStyle="Moeda"/>
    <tableColumn id="10" xr3:uid="{CDAF7471-9E97-426B-97F2-55FD061F7338}" name="IRRF" dataDxfId="66" dataCellStyle="Moeda"/>
    <tableColumn id="11" xr3:uid="{CFA9D2A5-7BAE-496E-8AC5-271516C12C7D}" name="Outros Descontos" dataDxfId="65" dataCellStyle="Moeda"/>
    <tableColumn id="12" xr3:uid="{59BFB8E0-76DE-4723-B2F3-648D1C96CCE0}" name="Total de Descontos" dataDxfId="64" dataCellStyle="Moeda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3D8833B-BFA4-4CE5-9A15-68FC21AE8C6A}" name="Tabela2451741" displayName="Tabela2451741" ref="A138:L145" totalsRowShown="0" headerRowDxfId="63" headerRowBorderDxfId="62" tableBorderDxfId="61" totalsRowBorderDxfId="60">
  <tableColumns count="12">
    <tableColumn id="1" xr3:uid="{5F6DE01F-1A1B-4767-A3C6-FBCBCFE4914D}" name="Regime" dataDxfId="59"/>
    <tableColumn id="2" xr3:uid="{2B592554-1B1F-4159-AC2D-29F91069C994}" name="Qtd" dataDxfId="58"/>
    <tableColumn id="3" xr3:uid="{B76B40A4-4A28-4E0F-A061-D0DCA9DBB30C}" name="Salário Base Total (R$)" dataDxfId="57" dataCellStyle="Moeda">
      <calculatedColumnFormula>SUM(L139:T139)</calculatedColumnFormula>
    </tableColumn>
    <tableColumn id="4" xr3:uid="{7D921D56-A3A8-4986-9F4F-876186D095A5}" name="Outros Vencimentos (R$)" dataDxfId="56" dataCellStyle="Moeda"/>
    <tableColumn id="7" xr3:uid="{FD82E940-9641-4E20-BAA9-88959DCD9769}" name="H. Extras" dataDxfId="55" dataCellStyle="Moeda"/>
    <tableColumn id="5" xr3:uid="{FB9DE0AF-1BBB-4D3E-889B-29692EB027A9}" name="Diárias" dataDxfId="54" dataCellStyle="Moeda"/>
    <tableColumn id="8" xr3:uid="{7378C156-A091-4AB3-9465-DA71943F422D}" name="1/3 de Férias" dataDxfId="53" dataCellStyle="Moeda"/>
    <tableColumn id="6" xr3:uid="{EF9A3CF5-9F04-4182-AEFD-76F24E9B1009}" name="Total de Vencimentos (R$)" dataDxfId="52" dataCellStyle="Moeda">
      <calculatedColumnFormula>SUM(Tabela2451741[[#This Row],[Salário Base Total (R$)]:[1/3 de Férias]])</calculatedColumnFormula>
    </tableColumn>
    <tableColumn id="9" xr3:uid="{412A8BAB-186C-44AA-996E-BF75142ABFF6}" name="INSS" dataDxfId="51" dataCellStyle="Moeda"/>
    <tableColumn id="10" xr3:uid="{9BAEB49B-9445-46F9-9A95-59CCDEADF9A3}" name="IRRF" dataDxfId="50" dataCellStyle="Moeda"/>
    <tableColumn id="11" xr3:uid="{C40FEF6E-2205-4712-B742-CD75A632796E}" name="Outros Descontos" dataDxfId="49" dataCellStyle="Moeda"/>
    <tableColumn id="12" xr3:uid="{5F213B2E-C5B5-46E3-89C1-BB2676957AC2}" name="Total de Descontos" dataDxfId="48" dataCellStyle="Moeda"/>
  </tableColumns>
  <tableStyleInfo name="TableStyleMedium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1AD6A75-40FD-4036-87C4-92806C2E172A}" name="Tabela2451743" displayName="Tabela2451743" ref="A153:L160" totalsRowShown="0" headerRowDxfId="47" headerRowBorderDxfId="46" tableBorderDxfId="45" totalsRowBorderDxfId="44">
  <tableColumns count="12">
    <tableColumn id="1" xr3:uid="{C2EE46A7-693A-4B12-90D7-F806D747A760}" name="Regime" dataDxfId="43"/>
    <tableColumn id="2" xr3:uid="{9F318BBB-6B16-4382-9095-101C4DEE4BD1}" name="Qtd" dataDxfId="42"/>
    <tableColumn id="3" xr3:uid="{04BB288F-C8DC-493C-996F-38E4E6F4DA08}" name="Salário Base Total (R$)" dataDxfId="41" dataCellStyle="Moeda">
      <calculatedColumnFormula>SUM(L154:T154)</calculatedColumnFormula>
    </tableColumn>
    <tableColumn id="4" xr3:uid="{48378B53-9B30-46AD-ACB8-706E4624AD52}" name="Outros Vencimentos (R$)" dataDxfId="40" dataCellStyle="Moeda"/>
    <tableColumn id="7" xr3:uid="{4EA91375-62A8-47DC-87AA-BDAB34C6C6A8}" name="H. Extras" dataDxfId="39" dataCellStyle="Moeda"/>
    <tableColumn id="5" xr3:uid="{D8DD8780-7DC6-4F7E-A632-F3B5BCCB0CE5}" name="Diárias" dataDxfId="38" dataCellStyle="Moeda"/>
    <tableColumn id="8" xr3:uid="{09BD4193-7E9E-4A23-96FA-78A7E1576C07}" name="1/3 de Férias" dataDxfId="37" dataCellStyle="Moeda"/>
    <tableColumn id="6" xr3:uid="{E0CF1F30-E396-4FA4-80E1-CF17F05F965F}" name="Total de Vencimentos (R$)" dataDxfId="36" dataCellStyle="Moeda">
      <calculatedColumnFormula>SUM(Tabela2451743[[#This Row],[Salário Base Total (R$)]:[1/3 de Férias]])</calculatedColumnFormula>
    </tableColumn>
    <tableColumn id="9" xr3:uid="{DF4A8684-DD00-4F54-AAE6-A34284644485}" name="INSS" dataDxfId="35" dataCellStyle="Moeda"/>
    <tableColumn id="10" xr3:uid="{AD614C67-420F-42D9-A690-DE995BEB1BBA}" name="IRRF" dataDxfId="34" dataCellStyle="Moeda"/>
    <tableColumn id="11" xr3:uid="{9C3046CF-B452-434A-BD5B-9A00CA7C4A5A}" name="Outros Descontos" dataDxfId="33" dataCellStyle="Moeda"/>
    <tableColumn id="12" xr3:uid="{26BCB5FD-E543-4E03-9552-D71805A4D9ED}" name="Total de Descontos" dataDxfId="32" dataCellStyle="Moeda"/>
  </tableColumns>
  <tableStyleInfo name="TableStyleMedium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32B67C75-682D-45B6-BADF-B7E4D2E9558E}" name="Tabela2451745" displayName="Tabela2451745" ref="A168:L175" totalsRowShown="0" headerRowDxfId="31" headerRowBorderDxfId="30" tableBorderDxfId="29" totalsRowBorderDxfId="28">
  <tableColumns count="12">
    <tableColumn id="1" xr3:uid="{C3540A1D-F054-4E73-AF8B-CAAD72C0BF5C}" name="Regime" dataDxfId="27"/>
    <tableColumn id="2" xr3:uid="{010047DB-AE02-4491-A9C2-51EB9ACFF010}" name="Qtd" dataDxfId="26"/>
    <tableColumn id="3" xr3:uid="{9EA4B0C1-1D67-490B-8AF1-4A3515A3836F}" name="Salário Base Total (R$)" dataDxfId="25" dataCellStyle="Moeda">
      <calculatedColumnFormula>SUM(L169:T169)</calculatedColumnFormula>
    </tableColumn>
    <tableColumn id="4" xr3:uid="{27512C37-25B5-47EE-B881-8E5BE089CBDD}" name="Outros Vencimentos (R$)" dataDxfId="24" dataCellStyle="Moeda"/>
    <tableColumn id="7" xr3:uid="{9E43568E-6452-46D0-961D-4FEB9CEDBEAC}" name="H. Extras" dataDxfId="23" dataCellStyle="Moeda"/>
    <tableColumn id="5" xr3:uid="{A69A2250-5201-47AA-AC46-B7B7E98435A5}" name="Diárias" dataDxfId="22" dataCellStyle="Moeda"/>
    <tableColumn id="8" xr3:uid="{A49F1190-E47F-43E9-82CA-E0B9E56D5C5B}" name="1/3 de Férias" dataDxfId="21" dataCellStyle="Moeda"/>
    <tableColumn id="6" xr3:uid="{3B77D54E-0FB6-4F2A-BBBB-7862F599887A}" name="Total de Vencimentos (R$)" dataDxfId="20" dataCellStyle="Moeda">
      <calculatedColumnFormula>SUM(Tabela2451745[[#This Row],[Salário Base Total (R$)]:[1/3 de Férias]])</calculatedColumnFormula>
    </tableColumn>
    <tableColumn id="9" xr3:uid="{92811118-D713-457B-AE4D-82195241564C}" name="INSS" dataDxfId="19" dataCellStyle="Moeda"/>
    <tableColumn id="10" xr3:uid="{6AE08CB2-C859-48E3-8987-0EF603B14B4D}" name="IRRF" dataDxfId="18" dataCellStyle="Moeda"/>
    <tableColumn id="11" xr3:uid="{1F8B45DA-B7D2-494C-BE37-261C46693FC8}" name="Outros Descontos" dataDxfId="17" dataCellStyle="Moeda"/>
    <tableColumn id="12" xr3:uid="{2A098036-FC9F-4F96-A8E2-A3A72319B608}" name="Total de Descontos" dataDxfId="16" dataCellStyle="Moeda"/>
  </tableColumns>
  <tableStyleInfo name="TableStyleMedium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8ED31BB1-0B67-4D13-A301-DEEA8095E030}" name="Tabela245174547" displayName="Tabela245174547" ref="A183:L190" totalsRowShown="0" headerRowDxfId="15" headerRowBorderDxfId="14" tableBorderDxfId="13" totalsRowBorderDxfId="12">
  <tableColumns count="12">
    <tableColumn id="1" xr3:uid="{62AF49E7-EE6F-4C6B-A052-8E3773BC9A44}" name="Regime" dataDxfId="11"/>
    <tableColumn id="2" xr3:uid="{C6BE26D2-616A-4EB6-812C-FDCAAF61E849}" name="Qtd" dataDxfId="10"/>
    <tableColumn id="3" xr3:uid="{158D8266-90A7-4C3A-82AF-5F1E07A3F554}" name="Salário Base Total (R$)" dataDxfId="9" dataCellStyle="Vírgula">
      <calculatedColumnFormula>SUM(L184:T184)</calculatedColumnFormula>
    </tableColumn>
    <tableColumn id="4" xr3:uid="{A81E10E7-E59A-4651-8E80-D924A06AD1EC}" name="Outros Vencimentos (R$)" dataDxfId="8" dataCellStyle="Vírgula"/>
    <tableColumn id="7" xr3:uid="{940E9B4C-1F4A-49CE-8049-733C8BF3E2A8}" name="H. Extras" dataDxfId="7" dataCellStyle="Vírgula"/>
    <tableColumn id="5" xr3:uid="{A885A72B-7203-41C6-936F-941D57FAD423}" name="Diárias" dataDxfId="6" dataCellStyle="Vírgula"/>
    <tableColumn id="8" xr3:uid="{FD8A9CCD-2C44-4BF6-AA54-4C8310A2AEB4}" name="1/3 de Férias" dataDxfId="5" dataCellStyle="Vírgula"/>
    <tableColumn id="6" xr3:uid="{88E924B8-B210-488B-B2FB-1A3494D7506C}" name="Total de Vencimentos (R$)" dataDxfId="4" dataCellStyle="Vírgula">
      <calculatedColumnFormula>SUM(Tabela245174547[[#This Row],[Salário Base Total (R$)]:[1/3 de Férias]])</calculatedColumnFormula>
    </tableColumn>
    <tableColumn id="9" xr3:uid="{E9CE31B2-1A83-473B-850E-A237883E74A2}" name="INSS" dataDxfId="3" dataCellStyle="Vírgula"/>
    <tableColumn id="10" xr3:uid="{3366831A-B90D-4644-A692-4503F772445C}" name="IRRF" dataDxfId="2" dataCellStyle="Vírgula"/>
    <tableColumn id="11" xr3:uid="{90A4E20D-2B05-4A35-B89E-AB382A3A6A7C}" name="Outros Descontos" dataDxfId="1" dataCellStyle="Vírgula"/>
    <tableColumn id="12" xr3:uid="{43136D4A-024B-44C3-8807-BA6EEE40F631}" name="Total de Descontos" dataDxfId="0" dataCellStyle="Vírgul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73445D-78A3-41F1-BDDE-0B539062229D}" name="Tabela245" displayName="Tabela245" ref="A33:L40" totalsRowShown="0" headerRowDxfId="383" headerRowBorderDxfId="382" tableBorderDxfId="381" totalsRowBorderDxfId="380">
  <tableColumns count="12">
    <tableColumn id="1" xr3:uid="{8B1F6DE9-884A-4ACD-BBE9-5400C67EED97}" name="Regime" dataDxfId="379"/>
    <tableColumn id="2" xr3:uid="{D10B718B-8A51-48E7-9ADA-D6D83EC1FD08}" name="Qtd" dataDxfId="378"/>
    <tableColumn id="3" xr3:uid="{1DF15B7E-177D-4DF7-954A-588D0519E7F9}" name="Salário Base Total (R$)" dataDxfId="377" dataCellStyle="Moeda">
      <calculatedColumnFormula>SUM(L34:T34)</calculatedColumnFormula>
    </tableColumn>
    <tableColumn id="4" xr3:uid="{648F0207-A624-4BF6-9637-AE3294F5D52B}" name="Outros Vencimentos (R$)" dataDxfId="376" dataCellStyle="Moeda"/>
    <tableColumn id="7" xr3:uid="{42CC9F2B-3F1E-4CEF-86E4-F1A82862D61F}" name="H. Extras" dataDxfId="375" dataCellStyle="Moeda"/>
    <tableColumn id="5" xr3:uid="{C626CA33-A55F-422C-90F1-7316F487E29E}" name="Diárias" dataDxfId="374" dataCellStyle="Moeda"/>
    <tableColumn id="8" xr3:uid="{81115CFC-89C9-47E7-83BD-4ABCEB18A484}" name="1/3 de Férias" dataDxfId="373" dataCellStyle="Moeda"/>
    <tableColumn id="6" xr3:uid="{F5A69E74-7E05-4B0D-AA8F-A6CEBF36E0E1}" name="Total de Vencimentos (R$)" dataDxfId="372" dataCellStyle="Moeda">
      <calculatedColumnFormula>SUM(Tabela245[[#This Row],[Salário Base Total (R$)]:[1/3 de Férias]])</calculatedColumnFormula>
    </tableColumn>
    <tableColumn id="9" xr3:uid="{367BE9B7-9509-4387-AB95-A9E950B72EED}" name="INSS" dataDxfId="371" dataCellStyle="Moeda"/>
    <tableColumn id="10" xr3:uid="{2A285764-1D49-4463-A9F7-0167412F09BC}" name="IRRF" dataDxfId="370" dataCellStyle="Moeda"/>
    <tableColumn id="11" xr3:uid="{9486218F-4BF8-4497-85EA-F8F7B2371300}" name="Outros Descontos" dataDxfId="369" dataCellStyle="Moeda"/>
    <tableColumn id="12" xr3:uid="{54460540-767E-445C-9617-DD530F21EBCE}" name="Total de Descontos" dataDxfId="368" dataCellStyle="Moeda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FBBA0-B909-443A-8FCC-3462AF92CF6F}" name="Tabela2452" displayName="Tabela2452" ref="A48:L55" totalsRowShown="0" headerRowDxfId="367" headerRowBorderDxfId="366" tableBorderDxfId="365" totalsRowBorderDxfId="364">
  <tableColumns count="12">
    <tableColumn id="1" xr3:uid="{ED3C42FB-AC2F-4BC8-A9E7-3D22BE266593}" name="Regime" dataDxfId="363"/>
    <tableColumn id="2" xr3:uid="{8A57F8C5-518D-46E1-AEB8-366793DEF32C}" name="Qtd" dataDxfId="362"/>
    <tableColumn id="3" xr3:uid="{A7E16104-AAD1-4A14-9A86-6CA23B799BBF}" name="Salário Base Total (R$)" dataDxfId="361" dataCellStyle="Moeda">
      <calculatedColumnFormula>SUM(L49:T49)</calculatedColumnFormula>
    </tableColumn>
    <tableColumn id="4" xr3:uid="{1DBD386F-60BC-4BBA-A1E2-B519CD646AAD}" name="Outros Vencimentos (R$)" dataDxfId="360" dataCellStyle="Moeda"/>
    <tableColumn id="7" xr3:uid="{6DA28FCE-AC86-48EB-ADE9-12666A2CEC34}" name="H. Extras" dataDxfId="359" dataCellStyle="Moeda"/>
    <tableColumn id="5" xr3:uid="{24A5D38B-1E80-445B-8B2E-B6FF4697AB06}" name="Diárias" dataDxfId="358" dataCellStyle="Moeda"/>
    <tableColumn id="8" xr3:uid="{CDB8B7D1-4BFB-4C35-8A0B-573199F9B33F}" name="1/3 de Férias" dataDxfId="357" dataCellStyle="Moeda"/>
    <tableColumn id="6" xr3:uid="{5407EEE7-0D2C-40AE-A0EB-BFE7559F17AC}" name="Total de Vencimentos (R$)" dataDxfId="356" dataCellStyle="Moeda">
      <calculatedColumnFormula>SUM(Tabela2452[[#This Row],[Salário Base Total (R$)]:[1/3 de Férias]])</calculatedColumnFormula>
    </tableColumn>
    <tableColumn id="9" xr3:uid="{3C97F798-12AF-489F-BD46-1A84ACE08705}" name="INSS" dataDxfId="355" dataCellStyle="Moeda"/>
    <tableColumn id="10" xr3:uid="{618B6B69-F7D2-42A9-ADD1-13133F4EBACD}" name="IRRF" dataDxfId="354" dataCellStyle="Moeda"/>
    <tableColumn id="11" xr3:uid="{FB2B85A8-43BA-4333-AC76-E6C89FF19E90}" name="Outros Descontos" dataDxfId="353" dataCellStyle="Moeda"/>
    <tableColumn id="12" xr3:uid="{BE47FE95-7D8B-4DE7-A618-6D9CFD3AF52C}" name="Total de Descontos" dataDxfId="352" dataCellStyle="Moeda">
      <calculatedColumnFormula>SUM(Tabela2452[[#This Row],[INSS]:[Outros Descontos]])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706E76-01BE-477F-A64D-DD8F6A689279}" name="Tabela24526" displayName="Tabela24526" ref="A63:L70" totalsRowShown="0" headerRowDxfId="351" headerRowBorderDxfId="350" tableBorderDxfId="349" totalsRowBorderDxfId="348">
  <tableColumns count="12">
    <tableColumn id="1" xr3:uid="{CADB350F-7967-4C9C-8191-22145BF038EA}" name="Regime" dataDxfId="347"/>
    <tableColumn id="2" xr3:uid="{09825C89-4D6B-4C01-A9D9-76CD60833503}" name="Qtd" dataDxfId="346"/>
    <tableColumn id="3" xr3:uid="{EA40D40A-CBD3-4F7C-99A0-D6CBE318E6DA}" name="Salário Base Total (R$)" dataDxfId="345" dataCellStyle="Moeda">
      <calculatedColumnFormula>SUM(L64:T64)</calculatedColumnFormula>
    </tableColumn>
    <tableColumn id="4" xr3:uid="{C00A587B-39C3-48F4-9255-56686BA49DD9}" name="Outros Vencimentos (R$)" dataDxfId="344" dataCellStyle="Moeda"/>
    <tableColumn id="7" xr3:uid="{80659EE8-8DD7-4B60-898C-686BAAE979F6}" name="H. Extras" dataDxfId="343" dataCellStyle="Moeda"/>
    <tableColumn id="5" xr3:uid="{44297FCB-088A-4A62-913D-3C376F46A396}" name="Diárias" dataDxfId="342" dataCellStyle="Moeda"/>
    <tableColumn id="8" xr3:uid="{C54F1E35-AB59-45A6-BCA4-190DDC24BBB8}" name="1/3 de Férias" dataDxfId="341" dataCellStyle="Moeda"/>
    <tableColumn id="6" xr3:uid="{EC67F7BC-26CE-4ABA-858E-001133EB25B3}" name="Total de Vencimentos (R$)" dataDxfId="340" dataCellStyle="Moeda">
      <calculatedColumnFormula>SUM(Tabela24526[[#This Row],[Salário Base Total (R$)]:[1/3 de Férias]])</calculatedColumnFormula>
    </tableColumn>
    <tableColumn id="9" xr3:uid="{3F779BAB-AE71-45B8-8F74-672BB887D259}" name="INSS" dataDxfId="339" dataCellStyle="Moeda"/>
    <tableColumn id="10" xr3:uid="{D5F4DCC5-BDD8-4C4C-85AB-8631F51A66C1}" name="IRRF" dataDxfId="338" dataCellStyle="Moeda"/>
    <tableColumn id="11" xr3:uid="{6D87DD60-416C-4FCB-AEE5-5DA01B4CD98F}" name="Outros Descontos" dataDxfId="337" dataCellStyle="Moeda"/>
    <tableColumn id="12" xr3:uid="{4EC0CADA-BBA6-4435-A421-B2ED8F7D40E1}" name="Total de Descontos" dataDxfId="336" dataCellStyle="Moeda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5E6967-350B-486B-90FB-86FD12DB1FDD}" name="Tabela245267" displayName="Tabela245267" ref="A78:L85" totalsRowShown="0" headerRowDxfId="335" headerRowBorderDxfId="334" tableBorderDxfId="333" totalsRowBorderDxfId="332">
  <tableColumns count="12">
    <tableColumn id="1" xr3:uid="{4F8180A6-89D5-4935-96BB-3026C49771B5}" name="Regime" dataDxfId="331"/>
    <tableColumn id="2" xr3:uid="{C718F5A5-3C19-44F1-B4DA-CA2CF220F1C7}" name="Qtd" dataDxfId="330"/>
    <tableColumn id="3" xr3:uid="{7D565E1E-CE98-4E12-AD42-D3DE24F7E0A2}" name="Salário Base Total (R$)" dataDxfId="329" dataCellStyle="Moeda">
      <calculatedColumnFormula>SUM(L79:T79)</calculatedColumnFormula>
    </tableColumn>
    <tableColumn id="4" xr3:uid="{EFCC6458-F458-484A-97A4-EB046A3BEBDE}" name="Outros Vencimentos (R$)" dataDxfId="328" dataCellStyle="Moeda"/>
    <tableColumn id="7" xr3:uid="{DDDCE5C7-7D3E-446E-8401-4283F65AF2B3}" name="H. Extras" dataDxfId="327" dataCellStyle="Moeda"/>
    <tableColumn id="5" xr3:uid="{D93A8FBD-0590-42B2-B809-3358198B9583}" name="Diárias" dataDxfId="326" dataCellStyle="Moeda"/>
    <tableColumn id="8" xr3:uid="{D28625F1-C352-4970-98FD-194DF94EF4B2}" name="1/3 de Férias" dataDxfId="325" dataCellStyle="Moeda"/>
    <tableColumn id="6" xr3:uid="{D8A82C7A-5FE7-4168-8034-FF2064A07459}" name="Total de Vencimentos (R$)" dataDxfId="324" dataCellStyle="Moeda">
      <calculatedColumnFormula>SUM(Tabela245267[[#This Row],[Salário Base Total (R$)]:[1/3 de Férias]])</calculatedColumnFormula>
    </tableColumn>
    <tableColumn id="9" xr3:uid="{B037E66E-4708-4745-9801-4C7B13F0A1E7}" name="INSS" dataDxfId="323" dataCellStyle="Moeda"/>
    <tableColumn id="10" xr3:uid="{78B4F0BF-34EE-44A3-A3F7-1B462AF26FCF}" name="IRRF" dataDxfId="322" dataCellStyle="Moeda"/>
    <tableColumn id="11" xr3:uid="{45E478FD-4029-4FF3-9632-D19577A2BB34}" name="Outros Descontos" dataDxfId="321" dataCellStyle="Moeda"/>
    <tableColumn id="12" xr3:uid="{6FC606BE-7BF2-4233-88C9-635610C22456}" name="Total de Descontos" dataDxfId="320" dataCellStyle="Moeda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8B7FAA-2F4C-4F40-A13F-A717DC78B7DE}" name="Tabela245268" displayName="Tabela245268" ref="A93:L100" totalsRowShown="0" headerRowDxfId="319" headerRowBorderDxfId="318" tableBorderDxfId="317" totalsRowBorderDxfId="316">
  <tableColumns count="12">
    <tableColumn id="1" xr3:uid="{E8F05DB7-BAFA-4E98-A042-8702460D68D0}" name="Regime" dataDxfId="315"/>
    <tableColumn id="2" xr3:uid="{FE3C22C5-94A1-4E7C-B712-9C4BC3F24E84}" name="Qtd" dataDxfId="314"/>
    <tableColumn id="3" xr3:uid="{E012CEB6-0B2D-49F8-BD70-9CB668F98B44}" name="Salário Base Total (R$)" dataDxfId="313" dataCellStyle="Moeda">
      <calculatedColumnFormula>SUM(L94:T94)</calculatedColumnFormula>
    </tableColumn>
    <tableColumn id="4" xr3:uid="{B8716844-423D-4015-B112-875F0D83C899}" name="Outros Vencimentos (R$)" dataDxfId="312" dataCellStyle="Moeda"/>
    <tableColumn id="7" xr3:uid="{53ACDC8A-1F35-407A-B036-75C62DAA22F7}" name="H. Extras" dataDxfId="311" dataCellStyle="Moeda"/>
    <tableColumn id="5" xr3:uid="{27EDDDE6-7615-4A11-80AC-33C89A418EE1}" name="Diárias" dataDxfId="310" dataCellStyle="Moeda"/>
    <tableColumn id="8" xr3:uid="{649BF891-E711-4DAE-9E36-85D294CF939F}" name="1/3 de Férias" dataDxfId="309" dataCellStyle="Moeda"/>
    <tableColumn id="6" xr3:uid="{5C76AC4E-3059-4070-8003-4B4131CA8856}" name="Total de Vencimentos (R$)" dataDxfId="308" dataCellStyle="Moeda">
      <calculatedColumnFormula>SUM(Tabela245268[[#This Row],[Salário Base Total (R$)]:[1/3 de Férias]])</calculatedColumnFormula>
    </tableColumn>
    <tableColumn id="9" xr3:uid="{C467342B-0716-4401-8D20-C0C0A88DF108}" name="INSS" dataDxfId="307" dataCellStyle="Moeda"/>
    <tableColumn id="10" xr3:uid="{525FCFC2-C78D-42C1-A889-209C4F9B6137}" name="IRRF" dataDxfId="306" dataCellStyle="Moeda"/>
    <tableColumn id="11" xr3:uid="{526E1869-FFC3-4126-B76F-45707AECBCB8}" name="Outros Descontos" dataDxfId="305" dataCellStyle="Moeda"/>
    <tableColumn id="12" xr3:uid="{2F15A5A9-EE40-484D-9CA4-CABA150907A4}" name="Total de Descontos" dataDxfId="304" dataCellStyle="Moeda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002BF84-19C6-4383-9F2D-AC6B415566CA}" name="Tabela245269" displayName="Tabela245269" ref="A108:L115" totalsRowShown="0" headerRowDxfId="303" headerRowBorderDxfId="302" tableBorderDxfId="301" totalsRowBorderDxfId="300">
  <tableColumns count="12">
    <tableColumn id="1" xr3:uid="{F9FE4AD4-0525-4101-BB28-4B1E59514B2C}" name="Regime" dataDxfId="299"/>
    <tableColumn id="2" xr3:uid="{501335B6-751A-4DDF-BA17-D851122BE466}" name="Qtd" dataDxfId="298"/>
    <tableColumn id="3" xr3:uid="{4BF6764F-2840-466C-BAA5-D9F37017211D}" name="Salário Base Total (R$)" dataDxfId="297" dataCellStyle="Moeda">
      <calculatedColumnFormula>SUM(L109:T109)</calculatedColumnFormula>
    </tableColumn>
    <tableColumn id="4" xr3:uid="{2ACB9C05-197D-4C59-B907-0254756116B1}" name="Outros Vencimentos (R$)" dataDxfId="296" dataCellStyle="Moeda"/>
    <tableColumn id="7" xr3:uid="{538C519A-1552-4857-8950-DD03F268785B}" name="H. Extras" dataDxfId="295" dataCellStyle="Moeda"/>
    <tableColumn id="5" xr3:uid="{BBF440A7-1065-4692-9E22-FBA795A38BCE}" name="Diárias" dataDxfId="294" dataCellStyle="Moeda"/>
    <tableColumn id="8" xr3:uid="{A0C01304-1A5B-496F-A2C4-467A557C9748}" name="1/3 de Férias" dataDxfId="293" dataCellStyle="Moeda"/>
    <tableColumn id="6" xr3:uid="{167D66E0-A876-40DE-BF03-29BB4AE18423}" name="Total de Vencimentos (R$)" dataDxfId="292" dataCellStyle="Moeda">
      <calculatedColumnFormula>SUM(Tabela245269[[#This Row],[Salário Base Total (R$)]:[1/3 de Férias]])</calculatedColumnFormula>
    </tableColumn>
    <tableColumn id="9" xr3:uid="{C9A76D8C-3229-4F5A-A495-AF03498FAD77}" name="INSS" dataDxfId="291" dataCellStyle="Moeda"/>
    <tableColumn id="10" xr3:uid="{8F79DE52-327F-48F1-926F-8A65C6834B09}" name="IRRF" dataDxfId="290" dataCellStyle="Moeda"/>
    <tableColumn id="11" xr3:uid="{087ABB0B-C32E-4B06-8335-D101039E44EF}" name="Outros Descontos" dataDxfId="289" dataCellStyle="Moeda"/>
    <tableColumn id="12" xr3:uid="{A89E4AFF-E486-4036-937F-22AC70968941}" name="Total de Descontos" dataDxfId="288" dataCellStyle="Moeda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4611F8-FE98-4C4C-B970-9FE4CF54B70F}" name="Tabela2452610" displayName="Tabela2452610" ref="A123:L130" totalsRowShown="0" headerRowDxfId="287" headerRowBorderDxfId="286" tableBorderDxfId="285" totalsRowBorderDxfId="284">
  <tableColumns count="12">
    <tableColumn id="1" xr3:uid="{372ECE9E-0C1A-4084-A7CA-307D0F03185A}" name="Regime" dataDxfId="283"/>
    <tableColumn id="2" xr3:uid="{7F00827A-AF8E-475D-A1EF-26B8D5365B2A}" name="Qtd" dataDxfId="282"/>
    <tableColumn id="3" xr3:uid="{63DA5BFF-2086-47B5-B7B0-CEB5AF510866}" name="Salário Base Total (R$)" dataDxfId="281" dataCellStyle="Moeda">
      <calculatedColumnFormula>SUM(L124:T124)</calculatedColumnFormula>
    </tableColumn>
    <tableColumn id="4" xr3:uid="{3A741B7A-51E2-4483-8138-0AF8CF942917}" name="Outros Vencimentos (R$)" dataDxfId="280" dataCellStyle="Moeda"/>
    <tableColumn id="7" xr3:uid="{5B3B9333-EBF4-46B1-B4FE-A532E57E1AE1}" name="H. Extras" dataDxfId="279" dataCellStyle="Moeda"/>
    <tableColumn id="5" xr3:uid="{984BC512-65F1-47C3-9993-8BE8C18A4B31}" name="Diárias" dataDxfId="278" dataCellStyle="Moeda"/>
    <tableColumn id="8" xr3:uid="{E4D5BD18-AEF4-45FA-AF1C-A6E8652E90AE}" name="1/3 de Férias" dataDxfId="277" dataCellStyle="Moeda"/>
    <tableColumn id="6" xr3:uid="{6D9A85C3-471A-4223-A691-60E39ABC2D0E}" name="Total de Vencimentos (R$)" dataDxfId="276" dataCellStyle="Moeda">
      <calculatedColumnFormula>SUM(Tabela2452610[[#This Row],[Salário Base Total (R$)]:[1/3 de Férias]])</calculatedColumnFormula>
    </tableColumn>
    <tableColumn id="9" xr3:uid="{9CF50C32-C1FF-4990-9CA8-7E20DE134133}" name="INSS" dataDxfId="275" dataCellStyle="Moeda"/>
    <tableColumn id="10" xr3:uid="{DBACA74F-F498-4810-A46A-23F8565949BE}" name="IRRF" dataDxfId="274" dataCellStyle="Moeda"/>
    <tableColumn id="11" xr3:uid="{04A17D25-F846-4027-A799-19AF26C02C9D}" name="Outros Descontos" dataDxfId="273" dataCellStyle="Moeda"/>
    <tableColumn id="12" xr3:uid="{F2C719D8-0C1B-48D1-A726-69A41491DD3D}" name="Total de Descontos" dataDxfId="272" dataCellStyle="Moe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4D71-5E13-480B-BCE4-2BBB72D610B4}">
  <dimension ref="A1:N66"/>
  <sheetViews>
    <sheetView zoomScaleNormal="100" workbookViewId="0">
      <selection activeCell="H22" sqref="H22"/>
    </sheetView>
  </sheetViews>
  <sheetFormatPr defaultRowHeight="15" x14ac:dyDescent="0.25"/>
  <cols>
    <col min="1" max="1" width="15.42578125" customWidth="1"/>
    <col min="2" max="2" width="10.5703125" bestFit="1" customWidth="1"/>
    <col min="3" max="4" width="23.5703125" bestFit="1" customWidth="1"/>
    <col min="5" max="7" width="13.28515625" bestFit="1" customWidth="1"/>
    <col min="8" max="8" width="15.85546875" bestFit="1" customWidth="1"/>
    <col min="9" max="9" width="6.5703125" customWidth="1"/>
    <col min="10" max="11" width="14.28515625" bestFit="1" customWidth="1"/>
    <col min="12" max="12" width="15.85546875" bestFit="1" customWidth="1"/>
    <col min="13" max="13" width="16.140625" customWidth="1"/>
    <col min="14" max="14" width="13.28515625" bestFit="1" customWidth="1"/>
  </cols>
  <sheetData>
    <row r="1" spans="1:12" x14ac:dyDescent="0.25">
      <c r="A1" s="73" t="s">
        <v>26</v>
      </c>
      <c r="B1" s="73"/>
      <c r="C1" t="s">
        <v>27</v>
      </c>
    </row>
    <row r="2" spans="1:12" x14ac:dyDescent="0.25">
      <c r="A2" s="24">
        <v>45658</v>
      </c>
      <c r="B2" s="2">
        <v>378</v>
      </c>
      <c r="C2" s="26">
        <v>0</v>
      </c>
    </row>
    <row r="3" spans="1:12" x14ac:dyDescent="0.25">
      <c r="A3" s="24">
        <v>45689</v>
      </c>
      <c r="B3" s="2">
        <v>420</v>
      </c>
      <c r="C3" s="25">
        <f>(B3-B2)/B2</f>
        <v>0.1111111111111111</v>
      </c>
      <c r="E3">
        <f>B3-B2</f>
        <v>42</v>
      </c>
      <c r="F3" s="25">
        <f>E3/B2</f>
        <v>0.1111111111111111</v>
      </c>
    </row>
    <row r="4" spans="1:12" x14ac:dyDescent="0.25">
      <c r="A4" s="24">
        <v>45717</v>
      </c>
      <c r="B4" s="2">
        <v>429</v>
      </c>
      <c r="C4" s="25">
        <f>(B4-B3)/B3</f>
        <v>2.1428571428571429E-2</v>
      </c>
      <c r="E4">
        <f>B4-B3</f>
        <v>9</v>
      </c>
      <c r="F4" s="25">
        <f>E4/B3</f>
        <v>2.1428571428571429E-2</v>
      </c>
    </row>
    <row r="10" spans="1:12" x14ac:dyDescent="0.25">
      <c r="A10" t="s">
        <v>5</v>
      </c>
      <c r="B10" t="s">
        <v>21</v>
      </c>
      <c r="C10" t="s">
        <v>10</v>
      </c>
      <c r="D10" t="s">
        <v>0</v>
      </c>
      <c r="E10" t="s">
        <v>20</v>
      </c>
      <c r="F10" t="s">
        <v>2</v>
      </c>
      <c r="G10" t="s">
        <v>11</v>
      </c>
      <c r="H10" t="s">
        <v>37</v>
      </c>
      <c r="K10" t="s">
        <v>38</v>
      </c>
      <c r="L10" t="s">
        <v>39</v>
      </c>
    </row>
    <row r="11" spans="1:12" x14ac:dyDescent="0.25">
      <c r="A11" s="27">
        <v>45292</v>
      </c>
      <c r="B11">
        <v>445</v>
      </c>
      <c r="C11" s="21">
        <f t="shared" ref="C11:C22" si="0">H11*$J$30</f>
        <v>913870.66121647321</v>
      </c>
      <c r="D11" s="21">
        <f t="shared" ref="D11:D21" si="1">H11*$K$30</f>
        <v>17508.204951229643</v>
      </c>
      <c r="E11">
        <v>0</v>
      </c>
      <c r="F11" s="21">
        <f t="shared" ref="F11:F21" si="2">H11*$M$30</f>
        <v>2633.3017830266913</v>
      </c>
      <c r="G11" s="21">
        <f t="shared" ref="G11:G21" si="3">H11*$N$30</f>
        <v>25832.954687595473</v>
      </c>
      <c r="H11" s="21">
        <f t="shared" ref="H11:H18" si="4">L11*$L$25</f>
        <v>959845.12263832509</v>
      </c>
      <c r="K11">
        <v>505</v>
      </c>
      <c r="L11" s="28">
        <v>1607324.94</v>
      </c>
    </row>
    <row r="12" spans="1:12" x14ac:dyDescent="0.25">
      <c r="A12" s="27">
        <v>45323</v>
      </c>
      <c r="B12">
        <v>463</v>
      </c>
      <c r="C12" s="21">
        <f t="shared" si="0"/>
        <v>936287.35089876212</v>
      </c>
      <c r="D12" s="21">
        <f t="shared" si="1"/>
        <v>17937.670535301677</v>
      </c>
      <c r="E12">
        <v>0</v>
      </c>
      <c r="F12" s="21">
        <f t="shared" si="2"/>
        <v>2697.8950689423937</v>
      </c>
      <c r="G12" s="21">
        <f t="shared" si="3"/>
        <v>26466.621302997726</v>
      </c>
      <c r="H12" s="21">
        <f t="shared" si="4"/>
        <v>983389.53780600405</v>
      </c>
      <c r="K12">
        <v>523</v>
      </c>
      <c r="L12" s="28">
        <v>1646751.6400000001</v>
      </c>
    </row>
    <row r="13" spans="1:12" x14ac:dyDescent="0.25">
      <c r="A13" s="27">
        <v>45352</v>
      </c>
      <c r="B13">
        <v>465</v>
      </c>
      <c r="C13" s="21">
        <f t="shared" si="0"/>
        <v>934813.81489019678</v>
      </c>
      <c r="D13" s="21">
        <f t="shared" si="1"/>
        <v>17909.440095770293</v>
      </c>
      <c r="E13">
        <v>0</v>
      </c>
      <c r="F13" s="21">
        <f t="shared" si="2"/>
        <v>2693.6491015824786</v>
      </c>
      <c r="G13" s="21">
        <f t="shared" si="3"/>
        <v>26424.967937203994</v>
      </c>
      <c r="H13" s="21">
        <f t="shared" si="4"/>
        <v>981841.87202475371</v>
      </c>
      <c r="K13">
        <v>523</v>
      </c>
      <c r="L13" s="28">
        <v>1644159.97</v>
      </c>
    </row>
    <row r="14" spans="1:12" x14ac:dyDescent="0.25">
      <c r="A14" s="27">
        <v>45383</v>
      </c>
      <c r="B14">
        <v>478</v>
      </c>
      <c r="C14" s="21">
        <f t="shared" si="0"/>
        <v>943588.8839478594</v>
      </c>
      <c r="D14" s="21">
        <f t="shared" si="1"/>
        <v>18077.555469250216</v>
      </c>
      <c r="E14">
        <v>0</v>
      </c>
      <c r="F14" s="21">
        <f t="shared" si="2"/>
        <v>2718.9343043757999</v>
      </c>
      <c r="G14" s="21">
        <f t="shared" si="3"/>
        <v>26673.018313441451</v>
      </c>
      <c r="H14" s="21">
        <f t="shared" si="4"/>
        <v>991058.39203492703</v>
      </c>
      <c r="K14">
        <v>525</v>
      </c>
      <c r="L14" s="28">
        <v>1659593.65</v>
      </c>
    </row>
    <row r="15" spans="1:12" x14ac:dyDescent="0.25">
      <c r="A15" s="27">
        <v>45413</v>
      </c>
      <c r="B15">
        <v>483</v>
      </c>
      <c r="C15" s="21">
        <f t="shared" si="0"/>
        <v>951054.96574592532</v>
      </c>
      <c r="D15" s="21">
        <f t="shared" si="1"/>
        <v>18220.592876895167</v>
      </c>
      <c r="E15">
        <v>0</v>
      </c>
      <c r="F15" s="21">
        <f t="shared" si="2"/>
        <v>2740.4476840535099</v>
      </c>
      <c r="G15" s="21">
        <f t="shared" si="3"/>
        <v>26884.066726492136</v>
      </c>
      <c r="H15" s="21">
        <f t="shared" si="4"/>
        <v>998900.07303336624</v>
      </c>
      <c r="K15">
        <v>538</v>
      </c>
      <c r="L15" s="28">
        <v>1672725.07</v>
      </c>
    </row>
    <row r="16" spans="1:12" x14ac:dyDescent="0.25">
      <c r="A16" s="27">
        <v>45444</v>
      </c>
      <c r="B16">
        <v>484</v>
      </c>
      <c r="C16" s="21">
        <f t="shared" si="0"/>
        <v>958943.52067180618</v>
      </c>
      <c r="D16" s="21">
        <f t="shared" si="1"/>
        <v>18371.724149921818</v>
      </c>
      <c r="E16">
        <v>0</v>
      </c>
      <c r="F16" s="21">
        <f t="shared" si="2"/>
        <v>2763.1784124086307</v>
      </c>
      <c r="G16" s="21">
        <f t="shared" si="3"/>
        <v>27107.057452203393</v>
      </c>
      <c r="H16" s="21">
        <f t="shared" si="4"/>
        <v>1007185.4806863401</v>
      </c>
      <c r="K16">
        <v>547</v>
      </c>
      <c r="L16" s="28">
        <v>1686599.54</v>
      </c>
    </row>
    <row r="17" spans="1:14" x14ac:dyDescent="0.25">
      <c r="A17" s="27">
        <v>45474</v>
      </c>
      <c r="B17">
        <v>483</v>
      </c>
      <c r="C17" s="21">
        <f t="shared" si="0"/>
        <v>977083.79072112392</v>
      </c>
      <c r="D17" s="21">
        <f t="shared" si="1"/>
        <v>18719.260819357445</v>
      </c>
      <c r="E17">
        <v>0</v>
      </c>
      <c r="F17" s="21">
        <f t="shared" si="2"/>
        <v>2815.4492724905899</v>
      </c>
      <c r="G17" s="21">
        <f t="shared" si="3"/>
        <v>27619.839833881982</v>
      </c>
      <c r="H17" s="21">
        <f t="shared" si="4"/>
        <v>1026238.340646854</v>
      </c>
      <c r="K17">
        <v>551</v>
      </c>
      <c r="L17" s="28">
        <v>1718504.83</v>
      </c>
    </row>
    <row r="18" spans="1:14" x14ac:dyDescent="0.25">
      <c r="A18" s="27">
        <v>45505</v>
      </c>
      <c r="B18">
        <v>483</v>
      </c>
      <c r="C18" s="21">
        <f t="shared" si="0"/>
        <v>969261.84332760761</v>
      </c>
      <c r="D18" s="21">
        <f t="shared" si="1"/>
        <v>18569.405633174836</v>
      </c>
      <c r="E18">
        <v>0</v>
      </c>
      <c r="F18" s="21">
        <f t="shared" si="2"/>
        <v>2792.9104725353868</v>
      </c>
      <c r="G18" s="21">
        <f t="shared" si="3"/>
        <v>27398.731945029867</v>
      </c>
      <c r="H18" s="21">
        <f t="shared" si="4"/>
        <v>1018022.8913783478</v>
      </c>
      <c r="K18">
        <v>550</v>
      </c>
      <c r="L18" s="28">
        <v>1704747.51</v>
      </c>
    </row>
    <row r="19" spans="1:14" x14ac:dyDescent="0.25">
      <c r="A19" s="27">
        <v>45536</v>
      </c>
      <c r="B19">
        <v>483</v>
      </c>
      <c r="C19" s="21">
        <f t="shared" si="0"/>
        <v>971174.21579972364</v>
      </c>
      <c r="D19" s="21">
        <f t="shared" si="1"/>
        <v>18606.043431723188</v>
      </c>
      <c r="E19">
        <v>0</v>
      </c>
      <c r="F19" s="21">
        <f t="shared" si="2"/>
        <v>2798.4209392287053</v>
      </c>
      <c r="G19" s="21">
        <f t="shared" si="3"/>
        <v>27452.790176150032</v>
      </c>
      <c r="H19" s="21">
        <f t="shared" ref="H19:H21" si="5">L19*$L$25</f>
        <v>1020031.4703468257</v>
      </c>
      <c r="K19">
        <v>546</v>
      </c>
      <c r="L19" s="28">
        <v>1708111.01</v>
      </c>
    </row>
    <row r="20" spans="1:14" x14ac:dyDescent="0.25">
      <c r="A20" s="27">
        <v>45566</v>
      </c>
      <c r="B20">
        <v>483</v>
      </c>
      <c r="C20" s="21">
        <f t="shared" si="0"/>
        <v>973000.31971967861</v>
      </c>
      <c r="D20" s="21">
        <f t="shared" si="1"/>
        <v>18641.028471783731</v>
      </c>
      <c r="E20">
        <v>0</v>
      </c>
      <c r="F20" s="21">
        <f t="shared" si="2"/>
        <v>2803.6828246491305</v>
      </c>
      <c r="G20" s="21">
        <f t="shared" si="3"/>
        <v>27504.409800043246</v>
      </c>
      <c r="H20" s="21">
        <f t="shared" si="5"/>
        <v>1021949.4408161548</v>
      </c>
      <c r="K20">
        <v>546</v>
      </c>
      <c r="L20" s="28">
        <v>1711322.78</v>
      </c>
    </row>
    <row r="21" spans="1:14" x14ac:dyDescent="0.25">
      <c r="A21" s="27">
        <v>45597</v>
      </c>
      <c r="B21">
        <v>483</v>
      </c>
      <c r="C21" s="21">
        <f t="shared" si="0"/>
        <v>970535.54536775453</v>
      </c>
      <c r="D21" s="21">
        <f t="shared" si="1"/>
        <v>18593.807594318889</v>
      </c>
      <c r="E21">
        <v>0</v>
      </c>
      <c r="F21" s="21">
        <f t="shared" si="2"/>
        <v>2796.5806219292836</v>
      </c>
      <c r="G21" s="21">
        <f t="shared" si="3"/>
        <v>27434.736478805815</v>
      </c>
      <c r="H21" s="21">
        <f t="shared" si="5"/>
        <v>1019360.6700628087</v>
      </c>
      <c r="K21">
        <v>543</v>
      </c>
      <c r="L21" s="28">
        <v>1706987.71</v>
      </c>
    </row>
    <row r="22" spans="1:14" x14ac:dyDescent="0.25">
      <c r="A22" s="27">
        <v>45627</v>
      </c>
      <c r="B22">
        <v>462</v>
      </c>
      <c r="C22" s="21">
        <f t="shared" si="0"/>
        <v>963742.15131844289</v>
      </c>
      <c r="D22" s="21">
        <f>H22*$K$30</f>
        <v>18463.657737914164</v>
      </c>
      <c r="E22">
        <v>0</v>
      </c>
      <c r="F22" s="21">
        <f>H22*$M$30</f>
        <v>2777.0055798341114</v>
      </c>
      <c r="G22" s="21">
        <f>H22*$N$30</f>
        <v>27242.703351910979</v>
      </c>
      <c r="H22" s="21">
        <f>L22*$L$25</f>
        <v>1012225.5179881023</v>
      </c>
      <c r="K22">
        <v>522</v>
      </c>
      <c r="L22" s="28">
        <v>1695039.42</v>
      </c>
    </row>
    <row r="23" spans="1:14" x14ac:dyDescent="0.25">
      <c r="A23" s="27">
        <v>45658</v>
      </c>
      <c r="B23" s="29">
        <f>Projeção!B6</f>
        <v>378</v>
      </c>
      <c r="C23" s="21">
        <f>Projeção!C6</f>
        <v>964787.36</v>
      </c>
      <c r="D23" s="21">
        <f>Projeção!D6</f>
        <v>14396.030000000006</v>
      </c>
      <c r="E23" s="21">
        <f>Projeção!E6</f>
        <v>0</v>
      </c>
      <c r="F23" s="21">
        <f>Projeção!F6</f>
        <v>0</v>
      </c>
      <c r="G23" s="21">
        <f>Projeção!G6</f>
        <v>47712.66</v>
      </c>
      <c r="H23" s="21">
        <f>SUM(C23:G23)</f>
        <v>1026896.05</v>
      </c>
      <c r="J23">
        <f>H23/Projeção!H10</f>
        <v>0.57977823524232464</v>
      </c>
    </row>
    <row r="24" spans="1:14" x14ac:dyDescent="0.25">
      <c r="A24" s="27">
        <v>45689</v>
      </c>
      <c r="B24" s="29">
        <f>Projeção!B21</f>
        <v>420</v>
      </c>
      <c r="C24" s="21">
        <f>Projeção!C21</f>
        <v>1123311.95</v>
      </c>
      <c r="D24" s="21">
        <f>Projeção!D21</f>
        <v>23580.6</v>
      </c>
      <c r="E24" s="21">
        <f>Projeção!E21</f>
        <v>0</v>
      </c>
      <c r="F24" s="21">
        <f>Projeção!F21</f>
        <v>7953.6</v>
      </c>
      <c r="G24" s="21">
        <f>Projeção!G21</f>
        <v>27883.14</v>
      </c>
      <c r="H24" s="21">
        <f t="shared" ref="H24:H25" si="6">SUM(C24:G24)</f>
        <v>1182729.29</v>
      </c>
      <c r="J24">
        <f>H24/Projeção!H25</f>
        <v>0.60578691082151415</v>
      </c>
    </row>
    <row r="25" spans="1:14" x14ac:dyDescent="0.25">
      <c r="A25" s="27">
        <v>45717</v>
      </c>
      <c r="B25" s="29">
        <f>Projeção!B36</f>
        <v>429</v>
      </c>
      <c r="C25" s="21">
        <f>Projeção!C36</f>
        <v>1150493.1000000001</v>
      </c>
      <c r="D25" s="21">
        <f>Projeção!D36</f>
        <v>24705.249999999956</v>
      </c>
      <c r="E25" s="21">
        <f>Projeção!E36</f>
        <v>0</v>
      </c>
      <c r="F25" s="21">
        <f>Projeção!F36</f>
        <v>1791.26</v>
      </c>
      <c r="G25" s="21">
        <f>Projeção!G36</f>
        <v>12733.33</v>
      </c>
      <c r="H25" s="21">
        <f t="shared" si="6"/>
        <v>1189722.9400000002</v>
      </c>
      <c r="J25">
        <f>H25/Projeção!H40</f>
        <v>0.6059427788458408</v>
      </c>
      <c r="L25">
        <f>AVERAGE(J23:J25)</f>
        <v>0.59716930830322656</v>
      </c>
    </row>
    <row r="26" spans="1:14" x14ac:dyDescent="0.25">
      <c r="A26" s="27">
        <v>45748</v>
      </c>
      <c r="B26">
        <f>ROUNDUP(_xlfn.FORECAST.LINEAR(A26,$B$11:B25,$A$11:A25),0)</f>
        <v>437</v>
      </c>
      <c r="C26" s="28">
        <f>_xlfn.FORECAST.LINEAR(A26,$C$11:C25,$A$11:A25)</f>
        <v>1067963.808221383</v>
      </c>
      <c r="D26" s="28">
        <f>_xlfn.FORECAST.LINEAR(A26,$D$11:D25,$A$11:A25)</f>
        <v>20799.955498981872</v>
      </c>
      <c r="E26" s="28">
        <f>_xlfn.FORECAST.LINEAR(A26,$E$11:E25,$A$11:A25)</f>
        <v>0</v>
      </c>
      <c r="F26" s="28">
        <f>_xlfn.FORECAST.LINEAR(A26,$F$11:F25,$A$11:A25)</f>
        <v>3216.3922174736654</v>
      </c>
      <c r="G26" s="28">
        <f>_xlfn.FORECAST.LINEAR(A26,$G$11:G25,$A$11:A25)</f>
        <v>28312.507354260772</v>
      </c>
      <c r="H26" s="28">
        <f>_xlfn.FORECAST.LINEAR(A26,$H$11:H25,$A$11:A25)</f>
        <v>1120292.6632921007</v>
      </c>
    </row>
    <row r="27" spans="1:14" x14ac:dyDescent="0.25">
      <c r="A27" s="27">
        <v>45778</v>
      </c>
      <c r="B27">
        <f>ROUNDUP(_xlfn.FORECAST.LINEAR(A27,$B$11:B26,$A$11:A26),0)</f>
        <v>434</v>
      </c>
      <c r="C27" s="28">
        <f>_xlfn.FORECAST.LINEAR(A27,$C$11:C26,$A$11:A26)</f>
        <v>1078810.4683451094</v>
      </c>
      <c r="D27" s="28">
        <f>_xlfn.FORECAST.LINEAR(A27,$D$11:D26,$A$11:A26)</f>
        <v>21044.459291940846</v>
      </c>
      <c r="E27" s="28">
        <f>_xlfn.FORECAST.LINEAR(A27,$E$11:E26,$A$11:A26)</f>
        <v>0</v>
      </c>
      <c r="F27" s="28">
        <f>_xlfn.FORECAST.LINEAR(A27,$F$11:F26,$A$11:A26)</f>
        <v>3261.4215851771223</v>
      </c>
      <c r="G27" s="28">
        <f>_xlfn.FORECAST.LINEAR(A27,$G$11:G26,$A$11:A26)</f>
        <v>28413.906220683566</v>
      </c>
      <c r="H27" s="28">
        <f>_xlfn.FORECAST.LINEAR(A27,$H$11:H26,$A$11:A26)</f>
        <v>1131530.2554429118</v>
      </c>
      <c r="J27">
        <f>C23/$H$23</f>
        <v>0.93951803592973204</v>
      </c>
      <c r="K27">
        <f>D23/$H$23</f>
        <v>1.4018974948827591E-2</v>
      </c>
      <c r="L27">
        <f t="shared" ref="L27" si="7">E23/$H$23</f>
        <v>0</v>
      </c>
      <c r="M27">
        <f>F23/$H$23</f>
        <v>0</v>
      </c>
      <c r="N27">
        <f>G23/$H$23</f>
        <v>4.6462989121440285E-2</v>
      </c>
    </row>
    <row r="28" spans="1:14" x14ac:dyDescent="0.25">
      <c r="A28" s="27">
        <v>45809</v>
      </c>
      <c r="B28">
        <f>ROUNDUP(_xlfn.FORECAST.LINEAR(A28,$B$11:B27,$A$11:A27),0)</f>
        <v>431</v>
      </c>
      <c r="C28" s="28">
        <f>_xlfn.FORECAST.LINEAR(A28,$C$11:C27,$A$11:A27)</f>
        <v>1090018.6838062946</v>
      </c>
      <c r="D28" s="28">
        <f>_xlfn.FORECAST.LINEAR(A28,$D$11:D27,$A$11:A27)</f>
        <v>21297.113211331889</v>
      </c>
      <c r="E28" s="28">
        <f>_xlfn.FORECAST.LINEAR(A28,$E$11:E27,$A$11:A27)</f>
        <v>0</v>
      </c>
      <c r="F28" s="28">
        <f>_xlfn.FORECAST.LINEAR(A28,$F$11:F27,$A$11:A27)</f>
        <v>3307.9519318040475</v>
      </c>
      <c r="G28" s="28">
        <f>_xlfn.FORECAST.LINEAR(A28,$G$11:G27,$A$11:A27)</f>
        <v>28518.685049320426</v>
      </c>
      <c r="H28" s="28">
        <f>_xlfn.FORECAST.LINEAR(A28,$H$11:H27,$A$11:A27)</f>
        <v>1143142.4339987487</v>
      </c>
      <c r="J28">
        <f>C24/$H$24</f>
        <v>0.9497625191982858</v>
      </c>
      <c r="K28">
        <f t="shared" ref="K28:N28" si="8">D24/$H$24</f>
        <v>1.9937444856886904E-2</v>
      </c>
      <c r="L28">
        <f t="shared" si="8"/>
        <v>0</v>
      </c>
      <c r="M28">
        <f t="shared" si="8"/>
        <v>6.7247848406629049E-3</v>
      </c>
      <c r="N28">
        <f t="shared" si="8"/>
        <v>2.3575251104164335E-2</v>
      </c>
    </row>
    <row r="29" spans="1:14" x14ac:dyDescent="0.25">
      <c r="A29" s="27">
        <v>45839</v>
      </c>
      <c r="B29">
        <f>ROUNDUP(_xlfn.FORECAST.LINEAR(A29,$B$11:B28,$A$11:A28),0)</f>
        <v>428</v>
      </c>
      <c r="C29" s="28">
        <f>_xlfn.FORECAST.LINEAR(A29,$C$11:C28,$A$11:A28)</f>
        <v>1100865.3439300228</v>
      </c>
      <c r="D29" s="28">
        <f>_xlfn.FORECAST.LINEAR(A29,$D$11:D28,$A$11:A28)</f>
        <v>21541.617004290922</v>
      </c>
      <c r="E29" s="28">
        <f>_xlfn.FORECAST.LINEAR(A29,$E$11:E28,$A$11:A28)</f>
        <v>0</v>
      </c>
      <c r="F29" s="28">
        <f>_xlfn.FORECAST.LINEAR(A29,$F$11:F28,$A$11:A28)</f>
        <v>3352.9812995075117</v>
      </c>
      <c r="G29" s="28">
        <f>_xlfn.FORECAST.LINEAR(A29,$G$11:G28,$A$11:A28)</f>
        <v>28620.083915743249</v>
      </c>
      <c r="H29" s="28">
        <f>_xlfn.FORECAST.LINEAR(A29,$H$11:H28,$A$11:A28)</f>
        <v>1154380.0261495654</v>
      </c>
      <c r="J29">
        <f>C25/$H$25</f>
        <v>0.96702607079258296</v>
      </c>
      <c r="K29">
        <f t="shared" ref="K29:N29" si="9">D25/$H$25</f>
        <v>2.0765548994121232E-2</v>
      </c>
      <c r="L29">
        <f t="shared" si="9"/>
        <v>0</v>
      </c>
      <c r="M29">
        <f t="shared" si="9"/>
        <v>1.5056110458793034E-3</v>
      </c>
      <c r="N29">
        <f t="shared" si="9"/>
        <v>1.0702769167416406E-2</v>
      </c>
    </row>
    <row r="30" spans="1:14" x14ac:dyDescent="0.25">
      <c r="A30" s="27">
        <v>45870</v>
      </c>
      <c r="B30">
        <f>ROUNDUP(_xlfn.FORECAST.LINEAR(A30,$B$11:B29,$A$11:A29),0)</f>
        <v>425</v>
      </c>
      <c r="C30" s="28">
        <f>_xlfn.FORECAST.LINEAR(A30,$C$11:C29,$A$11:A29)</f>
        <v>1112073.5593912061</v>
      </c>
      <c r="D30" s="28">
        <f>_xlfn.FORECAST.LINEAR(A30,$D$11:D29,$A$11:A29)</f>
        <v>21794.270923681732</v>
      </c>
      <c r="E30" s="28">
        <f>_xlfn.FORECAST.LINEAR(A30,$E$11:E29,$A$11:A29)</f>
        <v>0</v>
      </c>
      <c r="F30" s="28">
        <f>_xlfn.FORECAST.LINEAR(A30,$F$11:F29,$A$11:A29)</f>
        <v>3399.5116461344296</v>
      </c>
      <c r="G30" s="28">
        <f>_xlfn.FORECAST.LINEAR(A30,$G$11:G29,$A$11:A29)</f>
        <v>28724.862744380123</v>
      </c>
      <c r="H30" s="28">
        <f>_xlfn.FORECAST.LINEAR(A30,$H$11:H29,$A$11:A29)</f>
        <v>1165992.2047054023</v>
      </c>
      <c r="J30">
        <f>AVERAGE(J27:J29)</f>
        <v>0.95210220864020023</v>
      </c>
      <c r="K30">
        <f>AVERAGE(K27:K29)</f>
        <v>1.8240656266611911E-2</v>
      </c>
      <c r="L30">
        <f>AVERAGE(L27:L29)</f>
        <v>0</v>
      </c>
      <c r="M30">
        <f>AVERAGE(M27:M29)</f>
        <v>2.7434652955140699E-3</v>
      </c>
      <c r="N30">
        <f>AVERAGE(N27:N29)</f>
        <v>2.6913669797673675E-2</v>
      </c>
    </row>
    <row r="31" spans="1:14" x14ac:dyDescent="0.25">
      <c r="A31" s="27">
        <v>45901</v>
      </c>
      <c r="B31">
        <f>ROUNDUP(_xlfn.FORECAST.LINEAR(A31,$B$11:B30,$A$11:A30),0)</f>
        <v>422</v>
      </c>
      <c r="C31" s="28">
        <f>_xlfn.FORECAST.LINEAR(A31,$C$11:C30,$A$11:A30)</f>
        <v>1123281.7748523895</v>
      </c>
      <c r="D31" s="28">
        <f>_xlfn.FORECAST.LINEAR(A31,$D$11:D30,$A$11:A30)</f>
        <v>22046.924843072775</v>
      </c>
      <c r="E31" s="28">
        <f>_xlfn.FORECAST.LINEAR(A31,$E$11:E30,$A$11:A30)</f>
        <v>0</v>
      </c>
      <c r="F31" s="28">
        <f>_xlfn.FORECAST.LINEAR(A31,$F$11:F30,$A$11:A30)</f>
        <v>3446.0419927613475</v>
      </c>
      <c r="G31" s="28">
        <f>_xlfn.FORECAST.LINEAR(A31,$G$11:G30,$A$11:A30)</f>
        <v>28829.641573017012</v>
      </c>
      <c r="H31" s="28">
        <f>_xlfn.FORECAST.LINEAR(A31,$H$11:H30,$A$11:A30)</f>
        <v>1177604.383261241</v>
      </c>
    </row>
    <row r="32" spans="1:14" x14ac:dyDescent="0.25">
      <c r="A32" s="27">
        <v>45931</v>
      </c>
      <c r="B32">
        <f>ROUNDUP(_xlfn.FORECAST.LINEAR(A32,$B$11:B31,$A$11:A31),0)</f>
        <v>419</v>
      </c>
      <c r="C32" s="28">
        <f>_xlfn.FORECAST.LINEAR(A32,$C$11:C31,$A$11:A31)</f>
        <v>1134128.4349761195</v>
      </c>
      <c r="D32" s="28">
        <f>_xlfn.FORECAST.LINEAR(A32,$D$11:D31,$A$11:A31)</f>
        <v>22291.428636031807</v>
      </c>
      <c r="E32" s="28">
        <f>_xlfn.FORECAST.LINEAR(A32,$E$11:E31,$A$11:A31)</f>
        <v>0</v>
      </c>
      <c r="F32" s="28">
        <f>_xlfn.FORECAST.LINEAR(A32,$F$11:F31,$A$11:A31)</f>
        <v>3491.071360464819</v>
      </c>
      <c r="G32" s="28">
        <f>_xlfn.FORECAST.LINEAR(A32,$G$11:G31,$A$11:A31)</f>
        <v>28931.040439439821</v>
      </c>
      <c r="H32" s="28">
        <f>_xlfn.FORECAST.LINEAR(A32,$H$11:H31,$A$11:A31)</f>
        <v>1188841.975412054</v>
      </c>
    </row>
    <row r="33" spans="1:14" x14ac:dyDescent="0.25">
      <c r="A33" s="27">
        <v>45962</v>
      </c>
      <c r="B33">
        <f>ROUNDUP(_xlfn.FORECAST.LINEAR(A33,$B$11:B32,$A$11:A32),0)</f>
        <v>416</v>
      </c>
      <c r="C33" s="28">
        <f>_xlfn.FORECAST.LINEAR(A33,$C$11:C32,$A$11:A32)</f>
        <v>1145336.6504373029</v>
      </c>
      <c r="D33" s="28">
        <f>_xlfn.FORECAST.LINEAR(A33,$D$11:D32,$A$11:A32)</f>
        <v>22544.082555422734</v>
      </c>
      <c r="E33" s="28">
        <f>_xlfn.FORECAST.LINEAR(A33,$E$11:E32,$A$11:A32)</f>
        <v>0</v>
      </c>
      <c r="F33" s="28">
        <f>_xlfn.FORECAST.LINEAR(A33,$F$11:F32,$A$11:A32)</f>
        <v>3537.6017070917369</v>
      </c>
      <c r="G33" s="28">
        <f>_xlfn.FORECAST.LINEAR(A33,$G$11:G32,$A$11:A32)</f>
        <v>29035.819268076695</v>
      </c>
      <c r="H33" s="28">
        <f>_xlfn.FORECAST.LINEAR(A33,$H$11:H32,$A$11:A32)</f>
        <v>1200454.1539678928</v>
      </c>
    </row>
    <row r="34" spans="1:14" x14ac:dyDescent="0.25">
      <c r="A34" s="27">
        <v>45992</v>
      </c>
      <c r="B34">
        <f>ROUNDUP(_xlfn.FORECAST.LINEAR(A34,$B$11:B33,$A$11:A33),0)</f>
        <v>413</v>
      </c>
      <c r="C34" s="28">
        <f>_xlfn.FORECAST.LINEAR(A34,$C$11:C33,$A$11:A33)</f>
        <v>1156183.3105610292</v>
      </c>
      <c r="D34" s="28">
        <f>_xlfn.FORECAST.LINEAR(A34,$D$11:D33,$A$11:A33)</f>
        <v>22788.586348381767</v>
      </c>
      <c r="E34" s="28">
        <f>_xlfn.FORECAST.LINEAR(A34,$E$11:E33,$A$11:A33)</f>
        <v>0</v>
      </c>
      <c r="F34" s="28">
        <f>_xlfn.FORECAST.LINEAR(A34,$F$11:F33,$A$11:A33)</f>
        <v>3582.6310747952011</v>
      </c>
      <c r="G34" s="28">
        <f>_xlfn.FORECAST.LINEAR(A34,$G$11:G33,$A$11:A33)</f>
        <v>29137.218134499475</v>
      </c>
      <c r="H34" s="28">
        <f>_xlfn.FORECAST.LINEAR(A34,$H$11:H33,$A$11:A33)</f>
        <v>1211691.7461187057</v>
      </c>
    </row>
    <row r="38" spans="1:14" x14ac:dyDescent="0.25">
      <c r="A38" t="s">
        <v>40</v>
      </c>
      <c r="B38" t="s">
        <v>21</v>
      </c>
      <c r="C38" t="s">
        <v>10</v>
      </c>
      <c r="D38" t="s">
        <v>0</v>
      </c>
      <c r="E38" t="s">
        <v>20</v>
      </c>
      <c r="F38" t="s">
        <v>2</v>
      </c>
      <c r="G38" t="s">
        <v>11</v>
      </c>
      <c r="H38" t="s">
        <v>37</v>
      </c>
    </row>
    <row r="39" spans="1:14" x14ac:dyDescent="0.25">
      <c r="A39" s="27">
        <v>45658</v>
      </c>
      <c r="B39">
        <f>Projeção!B5</f>
        <v>39</v>
      </c>
      <c r="C39" s="21">
        <f>Projeção!C5</f>
        <v>123209.24999999997</v>
      </c>
      <c r="D39" s="21">
        <f>Projeção!D5</f>
        <v>160117.55000000002</v>
      </c>
      <c r="E39" s="21">
        <f>Projeção!E5</f>
        <v>962.24</v>
      </c>
      <c r="F39" s="21">
        <f>Projeção!F5</f>
        <v>0</v>
      </c>
      <c r="G39" s="21">
        <f>Projeção!G5</f>
        <v>3483.78</v>
      </c>
      <c r="H39" s="21">
        <f>Projeção!H5</f>
        <v>287772.82</v>
      </c>
      <c r="L39" s="21">
        <f>H39-F39</f>
        <v>287772.82</v>
      </c>
    </row>
    <row r="40" spans="1:14" x14ac:dyDescent="0.25">
      <c r="A40" s="27">
        <v>45689</v>
      </c>
      <c r="B40">
        <v>39</v>
      </c>
      <c r="C40" s="21">
        <f>Projeção!C20</f>
        <v>125738.77999999997</v>
      </c>
      <c r="D40" s="21">
        <f>Projeção!D20</f>
        <v>160034.63999999998</v>
      </c>
      <c r="E40" s="21">
        <f>Projeção!E20</f>
        <v>3853.5299999999997</v>
      </c>
      <c r="F40" s="21">
        <f>Projeção!F20</f>
        <v>8748.9599999999991</v>
      </c>
      <c r="G40" s="21">
        <f>Projeção!G20</f>
        <v>0</v>
      </c>
      <c r="H40" s="21">
        <f>Projeção!H20</f>
        <v>298375.90999999997</v>
      </c>
      <c r="L40" s="21">
        <f>H40-F40</f>
        <v>289626.94999999995</v>
      </c>
      <c r="M40" s="3">
        <v>26924.98</v>
      </c>
      <c r="N40" s="3">
        <v>38011.589999999997</v>
      </c>
    </row>
    <row r="41" spans="1:14" x14ac:dyDescent="0.25">
      <c r="A41" s="27">
        <v>45717</v>
      </c>
      <c r="B41">
        <v>39</v>
      </c>
      <c r="C41" s="21">
        <f>Projeção!C35</f>
        <v>125903.01999999999</v>
      </c>
      <c r="D41" s="21">
        <f>Projeção!D35</f>
        <v>173964.68000000002</v>
      </c>
      <c r="E41" s="21">
        <f>Projeção!E35</f>
        <v>3267.25</v>
      </c>
      <c r="F41" s="21">
        <f>Projeção!F35</f>
        <v>3181.44</v>
      </c>
      <c r="G41" s="21">
        <f>Projeção!G35</f>
        <v>4225.99</v>
      </c>
      <c r="H41" s="21">
        <f>Projeção!H35</f>
        <v>310542.38</v>
      </c>
      <c r="J41" s="21">
        <f>SUM(C39:C41)</f>
        <v>374851.04999999993</v>
      </c>
      <c r="K41" s="21">
        <f>J41/3</f>
        <v>124950.34999999998</v>
      </c>
      <c r="M41">
        <v>9.2964346032024997E-2</v>
      </c>
      <c r="N41">
        <v>0.13124327691190341</v>
      </c>
    </row>
    <row r="42" spans="1:14" x14ac:dyDescent="0.25">
      <c r="A42" s="27">
        <v>45748</v>
      </c>
      <c r="B42">
        <v>39</v>
      </c>
      <c r="C42" s="28">
        <f>_xlfn.FORECAST.LINEAR(A42,$C$39:C41,$A$39:A41)</f>
        <v>127728.15229621157</v>
      </c>
      <c r="D42" s="28">
        <f>_xlfn.FORECAST.LINEAR(A42,$D$39:D41,$A$39:A41)</f>
        <v>178533.99968235753</v>
      </c>
      <c r="E42" s="28">
        <f>_xlfn.FORECAST.LINEAR(A42,$E$39:E41,$A$39:A41)</f>
        <v>5096.2887944891118</v>
      </c>
      <c r="F42" s="28">
        <f>_xlfn.FORECAST.LINEAR(A42,$F$39:F41,$A$39:A41)</f>
        <v>7455.9292766936123</v>
      </c>
      <c r="G42" s="28">
        <f>_xlfn.FORECAST.LINEAR(A42,$G$39:G41,$A$39:A41)</f>
        <v>3191.2887753539835</v>
      </c>
      <c r="H42" s="28">
        <f>_xlfn.FORECAST.LINEAR(A42,$H$39:H41,$A$39:A41)</f>
        <v>322005.65882510319</v>
      </c>
    </row>
    <row r="43" spans="1:14" x14ac:dyDescent="0.25">
      <c r="A43" s="27">
        <v>45778</v>
      </c>
      <c r="B43">
        <v>39</v>
      </c>
      <c r="C43" s="28">
        <f>_xlfn.FORECAST.LINEAR(A43,$C$39:C42,$A$39:A42)</f>
        <v>129117.05344431731</v>
      </c>
      <c r="D43" s="28">
        <f>_xlfn.FORECAST.LINEAR(A43,$D$39:D42,$A$39:A42)</f>
        <v>185448.18785686977</v>
      </c>
      <c r="E43" s="28">
        <f>_xlfn.FORECAST.LINEAR(A43,$E$39:E42,$A$39:A42)</f>
        <v>6297.2631917337421</v>
      </c>
      <c r="F43" s="28">
        <f>_xlfn.FORECAST.LINEAR(A43,$F$39:F42,$A$39:A42)</f>
        <v>9195.4939150405116</v>
      </c>
      <c r="G43" s="28">
        <f>_xlfn.FORECAST.LINEAR(A43,$G$39:G42,$A$39:A42)</f>
        <v>3501.9714963643346</v>
      </c>
      <c r="H43" s="28">
        <f>_xlfn.FORECAST.LINEAR(A43,$H$39:H42,$A$39:A42)</f>
        <v>333559.96990431845</v>
      </c>
    </row>
    <row r="44" spans="1:14" x14ac:dyDescent="0.25">
      <c r="A44" s="27">
        <v>45809</v>
      </c>
      <c r="B44">
        <v>39</v>
      </c>
      <c r="C44" s="28">
        <f>_xlfn.FORECAST.LINEAR(A44,$C$39:C43,$A$39:A43)</f>
        <v>130552.25129736005</v>
      </c>
      <c r="D44" s="28">
        <f>_xlfn.FORECAST.LINEAR(A44,$D$39:D43,$A$39:A43)</f>
        <v>192592.84897053242</v>
      </c>
      <c r="E44" s="28">
        <f>_xlfn.FORECAST.LINEAR(A44,$E$39:E43,$A$39:A43)</f>
        <v>7538.270068886457</v>
      </c>
      <c r="F44" s="28">
        <f>_xlfn.FORECAST.LINEAR(A44,$F$39:F43,$A$39:A43)</f>
        <v>10993.044041331857</v>
      </c>
      <c r="G44" s="28">
        <f>_xlfn.FORECAST.LINEAR(A44,$G$39:G43,$A$39:A43)</f>
        <v>3823.0103080750559</v>
      </c>
      <c r="H44" s="28">
        <f>_xlfn.FORECAST.LINEAR(A44,$H$39:H43,$A$39:A43)</f>
        <v>345499.42468617857</v>
      </c>
    </row>
    <row r="45" spans="1:14" x14ac:dyDescent="0.25">
      <c r="A45" s="27">
        <v>45839</v>
      </c>
      <c r="B45">
        <v>39</v>
      </c>
      <c r="C45" s="28">
        <f>_xlfn.FORECAST.LINEAR(A45,$C$39:C44,$A$39:A44)</f>
        <v>131941.15244546626</v>
      </c>
      <c r="D45" s="28">
        <f>_xlfn.FORECAST.LINEAR(A45,$D$39:D44,$A$39:A44)</f>
        <v>199507.03714504652</v>
      </c>
      <c r="E45" s="28">
        <f>_xlfn.FORECAST.LINEAR(A45,$E$39:E44,$A$39:A44)</f>
        <v>8739.2444661308546</v>
      </c>
      <c r="F45" s="28">
        <f>_xlfn.FORECAST.LINEAR(A45,$F$39:F44,$A$39:A44)</f>
        <v>12732.608679678757</v>
      </c>
      <c r="G45" s="28">
        <f>_xlfn.FORECAST.LINEAR(A45,$G$39:G44,$A$39:A44)</f>
        <v>4133.693029085407</v>
      </c>
      <c r="H45" s="28">
        <f>_xlfn.FORECAST.LINEAR(A45,$H$39:H44,$A$39:A44)</f>
        <v>357053.73576539755</v>
      </c>
      <c r="K45" s="21">
        <f>C41*1.1</f>
        <v>138493.32199999999</v>
      </c>
    </row>
    <row r="46" spans="1:14" x14ac:dyDescent="0.25">
      <c r="A46" s="27">
        <v>45870</v>
      </c>
      <c r="B46">
        <v>39</v>
      </c>
      <c r="C46" s="28">
        <f>_xlfn.FORECAST.LINEAR(A46,$C$39:C45,$A$39:A45)</f>
        <v>133376.35029850854</v>
      </c>
      <c r="D46" s="28">
        <f>_xlfn.FORECAST.LINEAR(A46,$D$39:D45,$A$39:A45)</f>
        <v>206651.6982587073</v>
      </c>
      <c r="E46" s="28">
        <f>_xlfn.FORECAST.LINEAR(A46,$E$39:E45,$A$39:A45)</f>
        <v>9980.2513432835694</v>
      </c>
      <c r="F46" s="28">
        <f>_xlfn.FORECAST.LINEAR(A46,$F$39:F45,$A$39:A45)</f>
        <v>14530.158805970103</v>
      </c>
      <c r="G46" s="28">
        <f>_xlfn.FORECAST.LINEAR(A46,$G$39:G45,$A$39:A45)</f>
        <v>4454.7318407960702</v>
      </c>
      <c r="H46" s="28">
        <f>_xlfn.FORECAST.LINEAR(A46,$H$39:H45,$A$39:A45)</f>
        <v>368993.19054725394</v>
      </c>
    </row>
    <row r="47" spans="1:14" x14ac:dyDescent="0.25">
      <c r="A47" s="27">
        <v>45901</v>
      </c>
      <c r="B47">
        <v>39</v>
      </c>
      <c r="C47" s="28">
        <f>_xlfn.FORECAST.LINEAR(A47,$C$39:C46,$A$39:A46)</f>
        <v>134811.54815155128</v>
      </c>
      <c r="D47" s="28">
        <f>_xlfn.FORECAST.LINEAR(A47,$D$39:D46,$A$39:A46)</f>
        <v>213796.35937237181</v>
      </c>
      <c r="E47" s="28">
        <f>_xlfn.FORECAST.LINEAR(A47,$E$39:E46,$A$39:A46)</f>
        <v>11221.258220436517</v>
      </c>
      <c r="F47" s="28">
        <f>_xlfn.FORECAST.LINEAR(A47,$F$39:F46,$A$39:A46)</f>
        <v>16327.70893226238</v>
      </c>
      <c r="G47" s="28">
        <f>_xlfn.FORECAST.LINEAR(A47,$G$39:G46,$A$39:A46)</f>
        <v>4775.7706525067915</v>
      </c>
      <c r="H47" s="28">
        <f>_xlfn.FORECAST.LINEAR(A47,$H$39:H46,$A$39:A46)</f>
        <v>380932.64532911777</v>
      </c>
    </row>
    <row r="48" spans="1:14" x14ac:dyDescent="0.25">
      <c r="A48" s="27">
        <v>45931</v>
      </c>
      <c r="B48">
        <v>39</v>
      </c>
      <c r="C48" s="28">
        <f>_xlfn.FORECAST.LINEAR(A48,$C$39:C47,$A$39:A47)</f>
        <v>136200.44929965702</v>
      </c>
      <c r="D48" s="28">
        <f>_xlfn.FORECAST.LINEAR(A48,$D$39:D47,$A$39:A47)</f>
        <v>220710.54754688218</v>
      </c>
      <c r="E48" s="28">
        <f>_xlfn.FORECAST.LINEAR(A48,$E$39:E47,$A$39:A47)</f>
        <v>12422.232617680915</v>
      </c>
      <c r="F48" s="28">
        <f>_xlfn.FORECAST.LINEAR(A48,$F$39:F47,$A$39:A47)</f>
        <v>18067.273570608813</v>
      </c>
      <c r="G48" s="28">
        <f>_xlfn.FORECAST.LINEAR(A48,$G$39:G47,$A$39:A47)</f>
        <v>5086.4533735170262</v>
      </c>
      <c r="H48" s="28">
        <f>_xlfn.FORECAST.LINEAR(A48,$H$39:H47,$A$39:A47)</f>
        <v>392486.95640832931</v>
      </c>
    </row>
    <row r="49" spans="1:12" x14ac:dyDescent="0.25">
      <c r="A49" s="27">
        <v>45962</v>
      </c>
      <c r="B49">
        <v>39</v>
      </c>
      <c r="C49" s="28">
        <f>_xlfn.FORECAST.LINEAR(A49,$C$39:C48,$A$39:A48)</f>
        <v>137635.6471527</v>
      </c>
      <c r="D49" s="28">
        <f>_xlfn.FORECAST.LINEAR(A49,$D$39:D48,$A$39:A48)</f>
        <v>227855.20866054483</v>
      </c>
      <c r="E49" s="28">
        <f>_xlfn.FORECAST.LINEAR(A49,$E$39:E48,$A$39:A48)</f>
        <v>13663.23949483363</v>
      </c>
      <c r="F49" s="28">
        <f>_xlfn.FORECAST.LINEAR(A49,$F$39:F48,$A$39:A48)</f>
        <v>19864.823696900159</v>
      </c>
      <c r="G49" s="28">
        <f>_xlfn.FORECAST.LINEAR(A49,$G$39:G48,$A$39:A48)</f>
        <v>5407.4921852277475</v>
      </c>
      <c r="H49" s="28">
        <f>_xlfn.FORECAST.LINEAR(A49,$H$39:H48,$A$39:A48)</f>
        <v>404426.41119018942</v>
      </c>
    </row>
    <row r="50" spans="1:12" x14ac:dyDescent="0.25">
      <c r="A50" s="27">
        <v>45992</v>
      </c>
      <c r="B50">
        <v>39</v>
      </c>
      <c r="C50" s="28">
        <f>_xlfn.FORECAST.LINEAR(A50,$C$39:C49,$A$39:A49)</f>
        <v>139024.54830080573</v>
      </c>
      <c r="D50" s="28">
        <f>_xlfn.FORECAST.LINEAR(A50,$D$39:D49,$A$39:A49)</f>
        <v>234769.39683505893</v>
      </c>
      <c r="E50" s="28">
        <f>_xlfn.FORECAST.LINEAR(A50,$E$39:E49,$A$39:A49)</f>
        <v>14864.213892078027</v>
      </c>
      <c r="F50" s="28">
        <f>_xlfn.FORECAST.LINEAR(A50,$F$39:F49,$A$39:A49)</f>
        <v>21604.388335247524</v>
      </c>
      <c r="G50" s="28">
        <f>_xlfn.FORECAST.LINEAR(A50,$G$39:G49,$A$39:A49)</f>
        <v>5718.1749062381568</v>
      </c>
      <c r="H50" s="28">
        <f>_xlfn.FORECAST.LINEAR(A50,$H$39:H49,$A$39:A49)</f>
        <v>415980.7222694084</v>
      </c>
    </row>
    <row r="53" spans="1:12" x14ac:dyDescent="0.25">
      <c r="A53" t="s">
        <v>41</v>
      </c>
      <c r="B53" t="s">
        <v>21</v>
      </c>
      <c r="C53" t="s">
        <v>10</v>
      </c>
      <c r="D53" t="s">
        <v>0</v>
      </c>
      <c r="E53" t="s">
        <v>20</v>
      </c>
      <c r="F53" t="s">
        <v>2</v>
      </c>
      <c r="G53" t="s">
        <v>11</v>
      </c>
      <c r="H53" t="s">
        <v>37</v>
      </c>
    </row>
    <row r="54" spans="1:12" x14ac:dyDescent="0.25">
      <c r="A54" s="27">
        <v>45658</v>
      </c>
      <c r="B54">
        <v>23</v>
      </c>
      <c r="C54" s="21">
        <f>Projeção!C4</f>
        <v>431086.93</v>
      </c>
      <c r="D54" s="21">
        <f>Projeção!D4</f>
        <v>0</v>
      </c>
      <c r="E54" s="21">
        <f>Projeção!E4</f>
        <v>0</v>
      </c>
      <c r="F54" s="21">
        <f>Projeção!F4</f>
        <v>0</v>
      </c>
      <c r="G54" s="21">
        <f>Projeção!G4</f>
        <v>0</v>
      </c>
      <c r="H54" s="21">
        <f>Projeção!H4</f>
        <v>431086.93</v>
      </c>
    </row>
    <row r="55" spans="1:12" x14ac:dyDescent="0.25">
      <c r="A55" s="27">
        <v>45689</v>
      </c>
      <c r="B55">
        <v>23</v>
      </c>
      <c r="C55" s="21">
        <f>Projeção!C19</f>
        <v>431086.93</v>
      </c>
      <c r="D55" s="21">
        <f>Projeção!D19</f>
        <v>0</v>
      </c>
      <c r="E55" s="21">
        <f>Projeção!E19</f>
        <v>0</v>
      </c>
      <c r="F55" s="21">
        <f>Projeção!F19</f>
        <v>11135.04</v>
      </c>
      <c r="G55" s="21">
        <f>Projeção!G19</f>
        <v>0</v>
      </c>
      <c r="H55" s="21">
        <f>Projeção!H19</f>
        <v>442221.97</v>
      </c>
    </row>
    <row r="56" spans="1:12" x14ac:dyDescent="0.25">
      <c r="A56" s="27">
        <v>45717</v>
      </c>
      <c r="B56">
        <v>23</v>
      </c>
      <c r="C56" s="21">
        <f>Projeção!C34</f>
        <v>431086.93</v>
      </c>
      <c r="D56" s="21">
        <f>Projeção!D34</f>
        <v>0</v>
      </c>
      <c r="E56" s="21">
        <f>Projeção!E34</f>
        <v>0</v>
      </c>
      <c r="F56" s="21">
        <f>Projeção!F34</f>
        <v>4077.07</v>
      </c>
      <c r="G56" s="21">
        <f>Projeção!G34</f>
        <v>0</v>
      </c>
      <c r="H56" s="21">
        <f>Projeção!H34</f>
        <v>435164</v>
      </c>
    </row>
    <row r="57" spans="1:12" x14ac:dyDescent="0.25">
      <c r="A57" s="27">
        <v>45748</v>
      </c>
      <c r="B57">
        <v>23</v>
      </c>
      <c r="C57" s="28">
        <v>431086.93</v>
      </c>
      <c r="D57">
        <v>0</v>
      </c>
      <c r="E57">
        <v>0</v>
      </c>
      <c r="F57" s="28">
        <f>K57*1.25</f>
        <v>11908.2731104095</v>
      </c>
      <c r="G57">
        <v>0</v>
      </c>
      <c r="H57" s="21">
        <f>SUM(C57:G57)</f>
        <v>442995.20311040949</v>
      </c>
      <c r="K57">
        <v>9526.6184883276001</v>
      </c>
      <c r="L57" s="28">
        <f>_xlfn.FORECAST.LINEAR(A57,F55:F56,A55:A56)</f>
        <v>-3737.1110714301467</v>
      </c>
    </row>
    <row r="58" spans="1:12" x14ac:dyDescent="0.25">
      <c r="A58" s="27">
        <v>45778</v>
      </c>
      <c r="B58">
        <v>23</v>
      </c>
      <c r="C58" s="28">
        <v>431086.93</v>
      </c>
      <c r="D58">
        <v>0</v>
      </c>
      <c r="E58">
        <v>0</v>
      </c>
      <c r="F58" s="28">
        <f t="shared" ref="F58:F65" si="10">K58*1.25</f>
        <v>8534.2095923353918</v>
      </c>
      <c r="G58">
        <v>0</v>
      </c>
      <c r="H58" s="21">
        <f t="shared" ref="H58:H65" si="11">SUM(C58:G58)</f>
        <v>439621.13959233538</v>
      </c>
      <c r="K58">
        <v>6827.3676738683134</v>
      </c>
      <c r="L58" s="28">
        <f t="shared" ref="L58:L65" si="12">_xlfn.FORECAST.LINEAR(A58,F56:F57,A56:A57)</f>
        <v>19486.856765644625</v>
      </c>
    </row>
    <row r="59" spans="1:12" x14ac:dyDescent="0.25">
      <c r="A59" s="27">
        <v>45809</v>
      </c>
      <c r="B59">
        <v>23</v>
      </c>
      <c r="C59" s="28">
        <v>431086.93</v>
      </c>
      <c r="D59">
        <v>0</v>
      </c>
      <c r="E59">
        <v>0</v>
      </c>
      <c r="F59" s="28">
        <f t="shared" si="10"/>
        <v>12025.249064737873</v>
      </c>
      <c r="G59">
        <v>0</v>
      </c>
      <c r="H59" s="21">
        <f t="shared" si="11"/>
        <v>443112.17906473787</v>
      </c>
      <c r="K59">
        <v>9620.1992517902981</v>
      </c>
      <c r="L59" s="28">
        <f t="shared" si="12"/>
        <v>5047.6772903259844</v>
      </c>
    </row>
    <row r="60" spans="1:12" x14ac:dyDescent="0.25">
      <c r="A60" s="27">
        <v>45839</v>
      </c>
      <c r="B60">
        <v>23</v>
      </c>
      <c r="C60" s="28">
        <v>431086.93</v>
      </c>
      <c r="D60">
        <v>0</v>
      </c>
      <c r="E60">
        <v>0</v>
      </c>
      <c r="F60" s="28">
        <f t="shared" si="10"/>
        <v>10976.209462895768</v>
      </c>
      <c r="G60">
        <v>0</v>
      </c>
      <c r="H60" s="21">
        <f t="shared" si="11"/>
        <v>442063.13946289575</v>
      </c>
      <c r="K60">
        <v>8780.967570316614</v>
      </c>
      <c r="L60" s="28">
        <f t="shared" si="12"/>
        <v>15403.674360611476</v>
      </c>
    </row>
    <row r="61" spans="1:12" x14ac:dyDescent="0.25">
      <c r="A61" s="27">
        <v>45870</v>
      </c>
      <c r="B61">
        <v>23</v>
      </c>
      <c r="C61" s="28">
        <v>431086.93</v>
      </c>
      <c r="D61">
        <v>0</v>
      </c>
      <c r="E61">
        <v>0</v>
      </c>
      <c r="F61" s="28">
        <f t="shared" si="10"/>
        <v>12991.95608152746</v>
      </c>
      <c r="G61">
        <v>0</v>
      </c>
      <c r="H61" s="21">
        <f t="shared" si="11"/>
        <v>444078.88608152745</v>
      </c>
      <c r="K61">
        <v>10393.564865221968</v>
      </c>
      <c r="L61" s="28">
        <f t="shared" si="12"/>
        <v>9892.2018743255176</v>
      </c>
    </row>
    <row r="62" spans="1:12" x14ac:dyDescent="0.25">
      <c r="A62" s="27">
        <v>45901</v>
      </c>
      <c r="B62">
        <v>23</v>
      </c>
      <c r="C62" s="28">
        <v>431086.93</v>
      </c>
      <c r="D62">
        <v>0</v>
      </c>
      <c r="E62">
        <v>0</v>
      </c>
      <c r="F62" s="28">
        <f t="shared" si="10"/>
        <v>12991.918434279069</v>
      </c>
      <c r="G62">
        <v>0</v>
      </c>
      <c r="H62" s="21">
        <f t="shared" si="11"/>
        <v>444078.84843427909</v>
      </c>
      <c r="K62">
        <v>10393.534747423255</v>
      </c>
      <c r="L62" s="28">
        <f t="shared" si="12"/>
        <v>15007.702700159512</v>
      </c>
    </row>
    <row r="63" spans="1:12" x14ac:dyDescent="0.25">
      <c r="A63" s="27">
        <v>45931</v>
      </c>
      <c r="B63">
        <v>23</v>
      </c>
      <c r="C63" s="28">
        <v>431086.93</v>
      </c>
      <c r="D63">
        <v>0</v>
      </c>
      <c r="E63">
        <v>0</v>
      </c>
      <c r="F63" s="28">
        <f t="shared" si="10"/>
        <v>14303.225529261981</v>
      </c>
      <c r="G63">
        <v>0</v>
      </c>
      <c r="H63" s="21">
        <f t="shared" si="11"/>
        <v>445390.15552926197</v>
      </c>
      <c r="K63">
        <v>11442.580423409585</v>
      </c>
      <c r="L63" s="28">
        <f t="shared" si="12"/>
        <v>12991.882001458045</v>
      </c>
    </row>
    <row r="64" spans="1:12" x14ac:dyDescent="0.25">
      <c r="A64" s="27">
        <v>45962</v>
      </c>
      <c r="B64">
        <v>23</v>
      </c>
      <c r="C64" s="28">
        <v>431086.93</v>
      </c>
      <c r="D64">
        <v>0</v>
      </c>
      <c r="E64">
        <v>0</v>
      </c>
      <c r="F64" s="28">
        <f t="shared" si="10"/>
        <v>14740.145775549172</v>
      </c>
      <c r="G64">
        <v>0</v>
      </c>
      <c r="H64" s="21">
        <f t="shared" si="11"/>
        <v>445827.07577554916</v>
      </c>
      <c r="K64">
        <v>11792.116620439338</v>
      </c>
      <c r="L64" s="28">
        <f t="shared" si="12"/>
        <v>15658.242860744242</v>
      </c>
    </row>
    <row r="65" spans="1:12" x14ac:dyDescent="0.25">
      <c r="A65" s="27">
        <v>45992</v>
      </c>
      <c r="B65">
        <v>23</v>
      </c>
      <c r="C65" s="28">
        <v>431086.93</v>
      </c>
      <c r="D65">
        <v>0</v>
      </c>
      <c r="E65">
        <v>0</v>
      </c>
      <c r="F65" s="28">
        <f t="shared" si="10"/>
        <v>15745.530158517795</v>
      </c>
      <c r="G65">
        <v>0</v>
      </c>
      <c r="H65" s="21">
        <f t="shared" si="11"/>
        <v>446832.46015851782</v>
      </c>
      <c r="K65">
        <v>12596.424126814236</v>
      </c>
      <c r="L65" s="28">
        <f t="shared" si="12"/>
        <v>15162.971820343286</v>
      </c>
    </row>
    <row r="66" spans="1:12" x14ac:dyDescent="0.25">
      <c r="F66" s="28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DC64-9AF8-4C37-897F-1525F3448C4E}">
  <dimension ref="A1:L211"/>
  <sheetViews>
    <sheetView showGridLines="0" topLeftCell="A192" zoomScale="95" zoomScaleNormal="95" zoomScalePageLayoutView="80" workbookViewId="0">
      <selection activeCell="L200" sqref="L200"/>
    </sheetView>
  </sheetViews>
  <sheetFormatPr defaultRowHeight="15" x14ac:dyDescent="0.25"/>
  <cols>
    <col min="1" max="1" width="16.28515625" bestFit="1" customWidth="1"/>
    <col min="2" max="2" width="7" customWidth="1"/>
    <col min="3" max="4" width="19.42578125" customWidth="1"/>
    <col min="5" max="5" width="14" customWidth="1"/>
    <col min="6" max="6" width="14.42578125" customWidth="1"/>
    <col min="7" max="7" width="14.7109375" bestFit="1" customWidth="1"/>
    <col min="8" max="8" width="21.5703125" customWidth="1"/>
    <col min="9" max="9" width="17.28515625" customWidth="1"/>
    <col min="10" max="10" width="15.42578125" customWidth="1"/>
    <col min="11" max="11" width="18.140625" customWidth="1"/>
    <col min="12" max="12" width="16.28515625" customWidth="1"/>
    <col min="14" max="14" width="12.5703125" bestFit="1" customWidth="1"/>
  </cols>
  <sheetData>
    <row r="1" spans="1:12" ht="17.25" x14ac:dyDescent="0.3">
      <c r="A1" s="10" t="s">
        <v>16</v>
      </c>
      <c r="B1" s="9" t="s">
        <v>19</v>
      </c>
      <c r="C1" s="9"/>
    </row>
    <row r="2" spans="1:12" ht="6.75" customHeight="1" x14ac:dyDescent="0.25"/>
    <row r="3" spans="1:12" ht="30" x14ac:dyDescent="0.25">
      <c r="A3" s="18" t="s">
        <v>3</v>
      </c>
      <c r="B3" s="19" t="s">
        <v>21</v>
      </c>
      <c r="C3" s="19" t="s">
        <v>10</v>
      </c>
      <c r="D3" s="19" t="s">
        <v>0</v>
      </c>
      <c r="E3" s="19" t="s">
        <v>20</v>
      </c>
      <c r="F3" s="19" t="s">
        <v>2</v>
      </c>
      <c r="G3" s="20" t="s">
        <v>11</v>
      </c>
      <c r="H3" s="20" t="s">
        <v>1</v>
      </c>
      <c r="I3" s="19" t="s">
        <v>12</v>
      </c>
      <c r="J3" s="19" t="s">
        <v>13</v>
      </c>
      <c r="K3" s="19" t="s">
        <v>14</v>
      </c>
      <c r="L3" s="19" t="s">
        <v>15</v>
      </c>
    </row>
    <row r="4" spans="1:12" x14ac:dyDescent="0.25">
      <c r="A4" s="5" t="s">
        <v>7</v>
      </c>
      <c r="B4" s="1">
        <v>23</v>
      </c>
      <c r="C4" s="3">
        <v>431086.93</v>
      </c>
      <c r="D4" s="3">
        <v>0</v>
      </c>
      <c r="E4" s="3">
        <v>0</v>
      </c>
      <c r="F4" s="3">
        <v>0</v>
      </c>
      <c r="G4" s="3">
        <v>0</v>
      </c>
      <c r="H4" s="3">
        <f>SUM(Tabela24[[#This Row],[Salário Base Total (R$)]:[1/3 de Férias]])</f>
        <v>431086.93</v>
      </c>
      <c r="I4" s="4">
        <v>21887.26</v>
      </c>
      <c r="J4" s="4">
        <v>91921.8</v>
      </c>
      <c r="K4" s="4">
        <f>401.1+186.39+4923.45+151.8+8344.64+230+1526.73+46.28</f>
        <v>15810.39</v>
      </c>
      <c r="L4" s="4">
        <f>SUM(Tabela24[[#This Row],[INSS]:[Outros Descontos]])</f>
        <v>129619.45</v>
      </c>
    </row>
    <row r="5" spans="1:12" x14ac:dyDescent="0.25">
      <c r="A5" s="5" t="s">
        <v>4</v>
      </c>
      <c r="B5" s="1">
        <v>39</v>
      </c>
      <c r="C5" s="3">
        <v>123209.24999999997</v>
      </c>
      <c r="D5" s="3">
        <v>160117.55000000002</v>
      </c>
      <c r="E5" s="3">
        <v>962.24</v>
      </c>
      <c r="F5" s="3">
        <v>0</v>
      </c>
      <c r="G5" s="3">
        <v>3483.78</v>
      </c>
      <c r="H5" s="3">
        <f>SUM(Tabela24[[#This Row],[Salário Base Total (R$)]:[1/3 de Férias]])</f>
        <v>287772.82</v>
      </c>
      <c r="I5" s="3">
        <v>26124.589999999993</v>
      </c>
      <c r="J5" s="3">
        <v>38026</v>
      </c>
      <c r="K5" s="3">
        <v>18382.960000000003</v>
      </c>
      <c r="L5" s="4">
        <f>SUM(Tabela24[[#This Row],[INSS]:[Outros Descontos]])</f>
        <v>82533.55</v>
      </c>
    </row>
    <row r="6" spans="1:12" x14ac:dyDescent="0.25">
      <c r="A6" s="5" t="s">
        <v>5</v>
      </c>
      <c r="B6" s="1">
        <v>378</v>
      </c>
      <c r="C6" s="3">
        <v>964787.36</v>
      </c>
      <c r="D6" s="3">
        <v>14396.030000000006</v>
      </c>
      <c r="E6" s="3">
        <v>0</v>
      </c>
      <c r="F6" s="3">
        <v>0</v>
      </c>
      <c r="G6" s="3">
        <v>47712.66</v>
      </c>
      <c r="H6" s="3">
        <f>SUM(Tabela24[[#This Row],[Salário Base Total (R$)]:[1/3 de Férias]])</f>
        <v>1026896.05</v>
      </c>
      <c r="I6" s="3">
        <v>90587.97</v>
      </c>
      <c r="J6" s="3">
        <v>28489.51</v>
      </c>
      <c r="K6" s="3">
        <v>6143.9500000000007</v>
      </c>
      <c r="L6" s="4">
        <f>SUM(Tabela24[[#This Row],[INSS]:[Outros Descontos]])</f>
        <v>125221.43</v>
      </c>
    </row>
    <row r="7" spans="1:12" x14ac:dyDescent="0.25">
      <c r="A7" s="5" t="s">
        <v>22</v>
      </c>
      <c r="B7" s="1">
        <v>1</v>
      </c>
      <c r="C7" s="3">
        <v>4452.1899999999996</v>
      </c>
      <c r="D7" s="3">
        <v>0</v>
      </c>
      <c r="E7" s="3">
        <v>0</v>
      </c>
      <c r="F7" s="3">
        <v>0</v>
      </c>
      <c r="G7" s="3">
        <v>0</v>
      </c>
      <c r="H7" s="3">
        <f>SUM(Tabela24[[#This Row],[Salário Base Total (R$)]:[1/3 de Férias]])</f>
        <v>4452.1899999999996</v>
      </c>
      <c r="I7" s="3">
        <v>0</v>
      </c>
      <c r="J7" s="3">
        <v>21.68</v>
      </c>
      <c r="K7" s="3">
        <v>0</v>
      </c>
      <c r="L7" s="4">
        <f>SUM(Tabela24[[#This Row],[INSS]:[Outros Descontos]])</f>
        <v>21.68</v>
      </c>
    </row>
    <row r="8" spans="1:12" x14ac:dyDescent="0.25">
      <c r="A8" s="5" t="s">
        <v>6</v>
      </c>
      <c r="B8" s="1">
        <v>4</v>
      </c>
      <c r="C8" s="3">
        <v>13979.66</v>
      </c>
      <c r="D8" s="3">
        <v>0</v>
      </c>
      <c r="E8" s="3">
        <v>0</v>
      </c>
      <c r="F8" s="3">
        <v>0</v>
      </c>
      <c r="G8" s="3">
        <v>0</v>
      </c>
      <c r="H8" s="3">
        <f>SUM(Tabela24[[#This Row],[Salário Base Total (R$)]:[1/3 de Férias]])</f>
        <v>13979.66</v>
      </c>
      <c r="I8" s="3">
        <v>0</v>
      </c>
      <c r="J8" s="3">
        <f>212.01-J7</f>
        <v>190.32999999999998</v>
      </c>
      <c r="K8" s="3">
        <f>508.91+563.78</f>
        <v>1072.69</v>
      </c>
      <c r="L8" s="4">
        <f>SUM(Tabela24[[#This Row],[INSS]:[Outros Descontos]])</f>
        <v>1263.02</v>
      </c>
    </row>
    <row r="9" spans="1:12" x14ac:dyDescent="0.25">
      <c r="A9" s="5" t="s">
        <v>8</v>
      </c>
      <c r="B9" s="1">
        <v>10</v>
      </c>
      <c r="C9" s="3">
        <v>5000</v>
      </c>
      <c r="D9" s="3">
        <v>2000</v>
      </c>
      <c r="E9" s="3">
        <v>0</v>
      </c>
      <c r="F9" s="3">
        <v>0</v>
      </c>
      <c r="G9" s="3">
        <v>0</v>
      </c>
      <c r="H9" s="3">
        <f>SUM(Tabela24[[#This Row],[Salário Base Total (R$)]:[1/3 de Férias]])</f>
        <v>7000</v>
      </c>
      <c r="I9" s="3">
        <v>0</v>
      </c>
      <c r="J9" s="3">
        <v>0</v>
      </c>
      <c r="K9" s="3">
        <v>0</v>
      </c>
      <c r="L9" s="4">
        <f>SUM(Tabela24[[#This Row],[INSS]:[Outros Descontos]])</f>
        <v>0</v>
      </c>
    </row>
    <row r="10" spans="1:12" ht="15.75" x14ac:dyDescent="0.25">
      <c r="A10" s="6" t="s">
        <v>9</v>
      </c>
      <c r="B10" s="7">
        <f t="shared" ref="B10:H10" si="0">SUBTOTAL(109,B4:B9)</f>
        <v>455</v>
      </c>
      <c r="C10" s="8">
        <f t="shared" si="0"/>
        <v>1542515.39</v>
      </c>
      <c r="D10" s="8">
        <f t="shared" si="0"/>
        <v>176513.58000000002</v>
      </c>
      <c r="E10" s="8">
        <f t="shared" si="0"/>
        <v>962.24</v>
      </c>
      <c r="F10" s="8">
        <f t="shared" si="0"/>
        <v>0</v>
      </c>
      <c r="G10" s="8">
        <f t="shared" si="0"/>
        <v>51196.44</v>
      </c>
      <c r="H10" s="8">
        <f t="shared" si="0"/>
        <v>1771187.65</v>
      </c>
      <c r="I10" s="8">
        <f t="shared" ref="I10:L10" si="1">SUBTOTAL(109,I4:I9)</f>
        <v>138599.82</v>
      </c>
      <c r="J10" s="8">
        <f t="shared" si="1"/>
        <v>158649.31999999998</v>
      </c>
      <c r="K10" s="8">
        <f t="shared" si="1"/>
        <v>41409.990000000005</v>
      </c>
      <c r="L10" s="8">
        <f t="shared" si="1"/>
        <v>338659.13</v>
      </c>
    </row>
    <row r="11" spans="1:12" ht="7.5" customHeight="1" x14ac:dyDescent="0.25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5.75" x14ac:dyDescent="0.25">
      <c r="A12" s="11"/>
      <c r="B12" s="12"/>
      <c r="C12" s="22" t="s">
        <v>25</v>
      </c>
      <c r="D12" s="23">
        <f>H10-L10</f>
        <v>1432528.52</v>
      </c>
      <c r="E12" s="13"/>
      <c r="F12" s="13"/>
      <c r="G12" s="13"/>
      <c r="H12" s="22" t="s">
        <v>23</v>
      </c>
      <c r="I12" s="23">
        <v>1742765.8</v>
      </c>
      <c r="J12" s="30"/>
      <c r="K12" s="13"/>
      <c r="L12" s="13"/>
    </row>
    <row r="13" spans="1:12" ht="15.75" x14ac:dyDescent="0.25">
      <c r="E13" s="13"/>
      <c r="H13" s="22" t="s">
        <v>24</v>
      </c>
      <c r="I13" s="23">
        <f>I12*0.21</f>
        <v>365980.81799999997</v>
      </c>
      <c r="K13" s="13"/>
      <c r="L13" s="13"/>
    </row>
    <row r="14" spans="1:12" ht="7.5" customHeight="1" x14ac:dyDescent="0.25">
      <c r="A14" s="17"/>
      <c r="B14" s="17"/>
      <c r="C14" s="17"/>
      <c r="D14" s="16"/>
      <c r="E14" s="16"/>
      <c r="F14" s="17"/>
      <c r="G14" s="17"/>
      <c r="H14" s="17"/>
      <c r="I14" s="17"/>
      <c r="J14" s="17"/>
      <c r="K14" s="16"/>
      <c r="L14" s="16"/>
    </row>
    <row r="15" spans="1:12" ht="7.5" customHeight="1" x14ac:dyDescent="0.25"/>
    <row r="16" spans="1:12" ht="17.25" x14ac:dyDescent="0.3">
      <c r="A16" s="10" t="s">
        <v>16</v>
      </c>
      <c r="B16" s="9" t="s">
        <v>17</v>
      </c>
      <c r="C16" s="9"/>
    </row>
    <row r="17" spans="1:12" ht="6.75" customHeight="1" x14ac:dyDescent="0.25"/>
    <row r="18" spans="1:12" ht="27" customHeight="1" x14ac:dyDescent="0.25">
      <c r="A18" s="18" t="s">
        <v>3</v>
      </c>
      <c r="B18" s="19" t="s">
        <v>21</v>
      </c>
      <c r="C18" s="19" t="s">
        <v>10</v>
      </c>
      <c r="D18" s="19" t="s">
        <v>0</v>
      </c>
      <c r="E18" s="19" t="s">
        <v>20</v>
      </c>
      <c r="F18" s="19" t="s">
        <v>2</v>
      </c>
      <c r="G18" s="20" t="s">
        <v>11</v>
      </c>
      <c r="H18" s="20" t="s">
        <v>1</v>
      </c>
      <c r="I18" s="19" t="s">
        <v>12</v>
      </c>
      <c r="J18" s="19" t="s">
        <v>13</v>
      </c>
      <c r="K18" s="19" t="s">
        <v>14</v>
      </c>
      <c r="L18" s="19" t="s">
        <v>15</v>
      </c>
    </row>
    <row r="19" spans="1:12" x14ac:dyDescent="0.25">
      <c r="A19" s="5" t="s">
        <v>7</v>
      </c>
      <c r="B19" s="1">
        <v>23</v>
      </c>
      <c r="C19" s="3">
        <v>431086.93</v>
      </c>
      <c r="D19" s="3">
        <v>0</v>
      </c>
      <c r="E19" s="3">
        <v>0</v>
      </c>
      <c r="F19" s="3">
        <v>11135.04</v>
      </c>
      <c r="G19" s="3">
        <v>0</v>
      </c>
      <c r="H19" s="3">
        <f>SUM(Tabela2[[#This Row],[Salário Base Total (R$)]:[1/3 de Férias]])</f>
        <v>442221.97</v>
      </c>
      <c r="I19" s="4">
        <v>21887.26</v>
      </c>
      <c r="J19" s="4">
        <v>91921.8</v>
      </c>
      <c r="K19" s="4">
        <f>382+186.39+4923.45+87.97+151.8+21969.42+400+1526.73+44.64+11135.04</f>
        <v>40807.440000000002</v>
      </c>
      <c r="L19" s="4">
        <f>SUM(Tabela2[[#This Row],[INSS]:[Outros Descontos]])</f>
        <v>154616.5</v>
      </c>
    </row>
    <row r="20" spans="1:12" x14ac:dyDescent="0.25">
      <c r="A20" s="5" t="s">
        <v>4</v>
      </c>
      <c r="B20" s="1">
        <v>39</v>
      </c>
      <c r="C20" s="3">
        <v>125738.77999999997</v>
      </c>
      <c r="D20" s="3">
        <v>160034.63999999998</v>
      </c>
      <c r="E20" s="3">
        <v>3853.5299999999997</v>
      </c>
      <c r="F20" s="3">
        <v>8748.9599999999991</v>
      </c>
      <c r="G20" s="3">
        <v>0</v>
      </c>
      <c r="H20" s="3">
        <f>SUM(Tabela2[[#This Row],[Salário Base Total (R$)]:[1/3 de Férias]])</f>
        <v>298375.90999999997</v>
      </c>
      <c r="I20" s="3">
        <v>26924.98</v>
      </c>
      <c r="J20" s="3">
        <v>38011.589999999997</v>
      </c>
      <c r="K20" s="3">
        <v>27529.35</v>
      </c>
      <c r="L20" s="4">
        <f>SUM(Tabela2[[#This Row],[INSS]:[Outros Descontos]])</f>
        <v>92465.919999999984</v>
      </c>
    </row>
    <row r="21" spans="1:12" x14ac:dyDescent="0.25">
      <c r="A21" s="5" t="s">
        <v>5</v>
      </c>
      <c r="B21" s="1">
        <v>420</v>
      </c>
      <c r="C21" s="3">
        <v>1123311.95</v>
      </c>
      <c r="D21" s="3">
        <v>23580.6</v>
      </c>
      <c r="E21" s="3">
        <v>0</v>
      </c>
      <c r="F21" s="3">
        <v>7953.6</v>
      </c>
      <c r="G21" s="3">
        <v>27883.14</v>
      </c>
      <c r="H21" s="3">
        <f>SUM(Tabela2[[#This Row],[Salário Base Total (R$)]:[1/3 de Férias]])</f>
        <v>1182729.29</v>
      </c>
      <c r="I21" s="3">
        <v>104047.51000000001</v>
      </c>
      <c r="J21" s="3">
        <v>35197.290000000008</v>
      </c>
      <c r="K21" s="3">
        <v>19768.780000000002</v>
      </c>
      <c r="L21" s="4">
        <f>SUM(Tabela2[[#This Row],[INSS]:[Outros Descontos]])</f>
        <v>159013.58000000002</v>
      </c>
    </row>
    <row r="22" spans="1:12" x14ac:dyDescent="0.25">
      <c r="A22" s="5" t="s">
        <v>22</v>
      </c>
      <c r="B22" s="1">
        <v>1</v>
      </c>
      <c r="C22" s="3">
        <v>4452.1899999999996</v>
      </c>
      <c r="D22" s="3">
        <v>0</v>
      </c>
      <c r="E22" s="3">
        <v>0</v>
      </c>
      <c r="F22" s="3">
        <v>0</v>
      </c>
      <c r="G22" s="3">
        <v>0</v>
      </c>
      <c r="H22" s="3">
        <f>SUM(Tabela2[[#This Row],[Salário Base Total (R$)]:[1/3 de Férias]])</f>
        <v>4452.1899999999996</v>
      </c>
      <c r="I22" s="3"/>
      <c r="J22" s="3">
        <v>21.68</v>
      </c>
      <c r="K22" s="3"/>
      <c r="L22" s="4">
        <f>SUM(Tabela2[[#This Row],[INSS]:[Outros Descontos]])</f>
        <v>21.68</v>
      </c>
    </row>
    <row r="23" spans="1:12" x14ac:dyDescent="0.25">
      <c r="A23" s="5" t="s">
        <v>6</v>
      </c>
      <c r="B23" s="1">
        <v>4</v>
      </c>
      <c r="C23" s="3">
        <v>13979.66</v>
      </c>
      <c r="D23" s="3">
        <v>0</v>
      </c>
      <c r="E23" s="3">
        <v>0</v>
      </c>
      <c r="F23" s="3">
        <v>0</v>
      </c>
      <c r="G23" s="3">
        <v>0</v>
      </c>
      <c r="H23" s="3">
        <f>SUM(Tabela2[[#This Row],[Salário Base Total (R$)]:[1/3 de Férias]])</f>
        <v>13979.66</v>
      </c>
      <c r="I23" s="3"/>
      <c r="J23" s="3">
        <f>212.01-J22</f>
        <v>190.32999999999998</v>
      </c>
      <c r="K23" s="3">
        <f>508.91+15.72+563.78</f>
        <v>1088.4099999999999</v>
      </c>
      <c r="L23" s="4">
        <f>SUM(Tabela2[[#This Row],[INSS]:[Outros Descontos]])</f>
        <v>1278.7399999999998</v>
      </c>
    </row>
    <row r="24" spans="1:12" x14ac:dyDescent="0.25">
      <c r="A24" s="5" t="s">
        <v>8</v>
      </c>
      <c r="B24" s="1">
        <v>10</v>
      </c>
      <c r="C24" s="3">
        <v>9563.4</v>
      </c>
      <c r="D24" s="3">
        <v>1062.6000000000001</v>
      </c>
      <c r="E24" s="3">
        <v>0</v>
      </c>
      <c r="F24" s="3">
        <v>0</v>
      </c>
      <c r="G24" s="3">
        <v>0</v>
      </c>
      <c r="H24" s="3">
        <f>SUM(Tabela2[[#This Row],[Salário Base Total (R$)]:[1/3 de Férias]])</f>
        <v>10626</v>
      </c>
      <c r="I24" s="3"/>
      <c r="J24" s="3"/>
      <c r="K24" s="3"/>
      <c r="L24" s="4">
        <f>SUM(Tabela2[[#This Row],[INSS]:[Outros Descontos]])</f>
        <v>0</v>
      </c>
    </row>
    <row r="25" spans="1:12" ht="15.75" x14ac:dyDescent="0.25">
      <c r="A25" s="6" t="s">
        <v>9</v>
      </c>
      <c r="B25" s="7">
        <f t="shared" ref="B25:H25" si="2">SUBTOTAL(109,B19:B24)</f>
        <v>497</v>
      </c>
      <c r="C25" s="8">
        <f t="shared" si="2"/>
        <v>1708132.9099999997</v>
      </c>
      <c r="D25" s="8">
        <f t="shared" si="2"/>
        <v>184677.84</v>
      </c>
      <c r="E25" s="8">
        <f t="shared" si="2"/>
        <v>3853.5299999999997</v>
      </c>
      <c r="F25" s="8">
        <f t="shared" si="2"/>
        <v>27837.599999999999</v>
      </c>
      <c r="G25" s="8">
        <f t="shared" si="2"/>
        <v>27883.14</v>
      </c>
      <c r="H25" s="8">
        <f t="shared" si="2"/>
        <v>1952385.0199999998</v>
      </c>
      <c r="I25" s="8">
        <f>SUBTOTAL(109,I19:I24)</f>
        <v>152859.75</v>
      </c>
      <c r="J25" s="8">
        <f>SUBTOTAL(109,J19:J24)</f>
        <v>165342.68999999997</v>
      </c>
      <c r="K25" s="8">
        <f>SUBTOTAL(109,K19:K24)</f>
        <v>89193.98000000001</v>
      </c>
      <c r="L25" s="8">
        <f>SUBTOTAL(109,L19:L24)</f>
        <v>407396.42</v>
      </c>
    </row>
    <row r="26" spans="1:12" ht="7.5" customHeight="1" x14ac:dyDescent="0.25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15.75" x14ac:dyDescent="0.25">
      <c r="A27" s="11"/>
      <c r="B27" s="12"/>
      <c r="C27" s="22" t="s">
        <v>25</v>
      </c>
      <c r="D27" s="23">
        <f>H25-L25</f>
        <v>1544988.5999999999</v>
      </c>
      <c r="E27" s="13"/>
      <c r="F27" s="13"/>
      <c r="G27" s="13"/>
      <c r="H27" s="22" t="s">
        <v>23</v>
      </c>
      <c r="I27" s="23">
        <v>1891849.57</v>
      </c>
      <c r="J27" s="30"/>
      <c r="K27" s="13"/>
      <c r="L27" s="13"/>
    </row>
    <row r="28" spans="1:12" ht="15.75" x14ac:dyDescent="0.25">
      <c r="A28" s="11"/>
      <c r="B28" s="12"/>
      <c r="E28" s="13"/>
      <c r="H28" s="22" t="s">
        <v>24</v>
      </c>
      <c r="I28" s="23">
        <f>I27*0.21</f>
        <v>397288.40970000002</v>
      </c>
      <c r="J28" s="13"/>
      <c r="K28" s="13"/>
      <c r="L28" s="13"/>
    </row>
    <row r="29" spans="1:12" ht="7.5" customHeight="1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6"/>
      <c r="K29" s="16"/>
      <c r="L29" s="16"/>
    </row>
    <row r="30" spans="1:12" ht="7.5" customHeight="1" x14ac:dyDescent="0.25">
      <c r="I30" s="21"/>
    </row>
    <row r="31" spans="1:12" ht="17.25" x14ac:dyDescent="0.3">
      <c r="A31" s="10" t="s">
        <v>16</v>
      </c>
      <c r="B31" s="9" t="s">
        <v>18</v>
      </c>
      <c r="C31" s="9"/>
      <c r="I31" s="21"/>
    </row>
    <row r="32" spans="1:12" ht="6.75" customHeight="1" x14ac:dyDescent="0.25"/>
    <row r="33" spans="1:12" ht="30" x14ac:dyDescent="0.25">
      <c r="A33" s="18" t="s">
        <v>3</v>
      </c>
      <c r="B33" s="19" t="s">
        <v>21</v>
      </c>
      <c r="C33" s="19" t="s">
        <v>10</v>
      </c>
      <c r="D33" s="19" t="s">
        <v>0</v>
      </c>
      <c r="E33" s="19" t="s">
        <v>20</v>
      </c>
      <c r="F33" s="19" t="s">
        <v>2</v>
      </c>
      <c r="G33" s="20" t="s">
        <v>11</v>
      </c>
      <c r="H33" s="20" t="s">
        <v>1</v>
      </c>
      <c r="I33" s="19" t="s">
        <v>12</v>
      </c>
      <c r="J33" s="19" t="s">
        <v>13</v>
      </c>
      <c r="K33" s="19" t="s">
        <v>14</v>
      </c>
      <c r="L33" s="19" t="s">
        <v>15</v>
      </c>
    </row>
    <row r="34" spans="1:12" x14ac:dyDescent="0.25">
      <c r="A34" s="5" t="s">
        <v>7</v>
      </c>
      <c r="B34" s="1">
        <v>23</v>
      </c>
      <c r="C34" s="3">
        <v>431086.93</v>
      </c>
      <c r="D34" s="3">
        <v>0</v>
      </c>
      <c r="E34" s="3">
        <v>0</v>
      </c>
      <c r="F34" s="3">
        <v>4077.07</v>
      </c>
      <c r="G34" s="3">
        <v>0</v>
      </c>
      <c r="H34" s="3">
        <f>SUM(Tabela245[[#This Row],[Salário Base Total (R$)]:[1/3 de Férias]])</f>
        <v>435164</v>
      </c>
      <c r="I34" s="4">
        <v>21887.26</v>
      </c>
      <c r="J34" s="4">
        <v>91921.8</v>
      </c>
      <c r="K34" s="4">
        <f>382+4923.45+229.5+151.8+35785.75+400+1526.73+87+4077.07</f>
        <v>47563.3</v>
      </c>
      <c r="L34" s="4">
        <f>SUM(Tabela245[[#This Row],[INSS]:[Outros Descontos]])</f>
        <v>161372.35999999999</v>
      </c>
    </row>
    <row r="35" spans="1:12" x14ac:dyDescent="0.25">
      <c r="A35" s="5" t="s">
        <v>4</v>
      </c>
      <c r="B35" s="1">
        <v>39</v>
      </c>
      <c r="C35" s="3">
        <v>125903.01999999999</v>
      </c>
      <c r="D35" s="3">
        <v>173964.68000000002</v>
      </c>
      <c r="E35" s="3">
        <v>3267.25</v>
      </c>
      <c r="F35" s="3">
        <v>3181.44</v>
      </c>
      <c r="G35" s="3">
        <v>4225.99</v>
      </c>
      <c r="H35" s="3">
        <f>SUM(Tabela245[[#This Row],[Salário Base Total (R$)]:[1/3 de Férias]])</f>
        <v>310542.38</v>
      </c>
      <c r="I35" s="3">
        <v>27785.93</v>
      </c>
      <c r="J35" s="3">
        <v>42521.08</v>
      </c>
      <c r="K35" s="3">
        <v>21077.8</v>
      </c>
      <c r="L35" s="4">
        <f>SUM(Tabela245[[#This Row],[INSS]:[Outros Descontos]])</f>
        <v>91384.810000000012</v>
      </c>
    </row>
    <row r="36" spans="1:12" x14ac:dyDescent="0.25">
      <c r="A36" s="5" t="s">
        <v>5</v>
      </c>
      <c r="B36" s="1">
        <v>429</v>
      </c>
      <c r="C36" s="3">
        <v>1150493.1000000001</v>
      </c>
      <c r="D36" s="3">
        <v>24705.249999999956</v>
      </c>
      <c r="E36" s="3">
        <v>0</v>
      </c>
      <c r="F36" s="3">
        <v>1791.26</v>
      </c>
      <c r="G36" s="3">
        <v>12733.33</v>
      </c>
      <c r="H36" s="3">
        <f>SUM(Tabela245[[#This Row],[Salário Base Total (R$)]:[1/3 de Férias]])</f>
        <v>1189722.9400000002</v>
      </c>
      <c r="I36" s="3">
        <v>105048.94</v>
      </c>
      <c r="J36" s="3">
        <v>35497.61</v>
      </c>
      <c r="K36" s="3">
        <v>28759.17</v>
      </c>
      <c r="L36" s="4">
        <f>SUM(Tabela245[[#This Row],[INSS]:[Outros Descontos]])</f>
        <v>169305.71999999997</v>
      </c>
    </row>
    <row r="37" spans="1:12" x14ac:dyDescent="0.25">
      <c r="A37" s="5" t="s">
        <v>22</v>
      </c>
      <c r="B37" s="1">
        <v>1</v>
      </c>
      <c r="C37" s="3">
        <v>4452.1899999999996</v>
      </c>
      <c r="D37" s="3">
        <v>0</v>
      </c>
      <c r="E37" s="3">
        <v>0</v>
      </c>
      <c r="F37" s="3">
        <v>0</v>
      </c>
      <c r="G37" s="3">
        <v>0</v>
      </c>
      <c r="H37" s="3">
        <f>SUM(Tabela245[[#This Row],[Salário Base Total (R$)]:[1/3 de Férias]])</f>
        <v>4452.1899999999996</v>
      </c>
      <c r="I37" s="3">
        <v>0</v>
      </c>
      <c r="J37" s="28">
        <v>21.68</v>
      </c>
      <c r="K37" s="3">
        <v>0</v>
      </c>
      <c r="L37" s="4">
        <f>SUM(Tabela245[[#This Row],[INSS]:[Outros Descontos]])</f>
        <v>21.68</v>
      </c>
    </row>
    <row r="38" spans="1:12" x14ac:dyDescent="0.25">
      <c r="A38" s="5" t="s">
        <v>6</v>
      </c>
      <c r="B38" s="1">
        <v>4</v>
      </c>
      <c r="C38" s="3">
        <v>13979.66</v>
      </c>
      <c r="D38" s="3">
        <v>0</v>
      </c>
      <c r="E38" s="3">
        <v>0</v>
      </c>
      <c r="F38" s="3">
        <v>0</v>
      </c>
      <c r="G38" s="3">
        <v>0</v>
      </c>
      <c r="H38" s="3">
        <f>SUM(Tabela245[[#This Row],[Salário Base Total (R$)]:[1/3 de Férias]])</f>
        <v>13979.66</v>
      </c>
      <c r="I38" s="3">
        <v>0</v>
      </c>
      <c r="J38" s="3">
        <f>212.01-J37</f>
        <v>190.32999999999998</v>
      </c>
      <c r="K38" s="3">
        <f>781.12+508.91+563.78</f>
        <v>1853.81</v>
      </c>
      <c r="L38" s="4">
        <f>SUM(Tabela245[[#This Row],[INSS]:[Outros Descontos]])</f>
        <v>2044.1399999999999</v>
      </c>
    </row>
    <row r="39" spans="1:12" x14ac:dyDescent="0.25">
      <c r="A39" s="5" t="s">
        <v>8</v>
      </c>
      <c r="B39" s="1">
        <v>9</v>
      </c>
      <c r="C39" s="3">
        <v>8607.06</v>
      </c>
      <c r="D39" s="3">
        <v>956.34</v>
      </c>
      <c r="E39" s="3">
        <v>0</v>
      </c>
      <c r="F39" s="3">
        <v>0</v>
      </c>
      <c r="G39" s="3">
        <v>0</v>
      </c>
      <c r="H39" s="3">
        <f>SUM(Tabela245[[#This Row],[Salário Base Total (R$)]:[1/3 de Férias]])</f>
        <v>9563.4</v>
      </c>
      <c r="I39" s="3">
        <v>0</v>
      </c>
      <c r="J39" s="3">
        <v>0</v>
      </c>
      <c r="K39" s="3">
        <v>0</v>
      </c>
      <c r="L39" s="4">
        <f>SUM(Tabela245[[#This Row],[INSS]:[Outros Descontos]])</f>
        <v>0</v>
      </c>
    </row>
    <row r="40" spans="1:12" ht="15.75" x14ac:dyDescent="0.25">
      <c r="A40" s="6" t="s">
        <v>9</v>
      </c>
      <c r="B40" s="7">
        <f t="shared" ref="B40:H40" si="3">SUBTOTAL(109,B34:B39)</f>
        <v>505</v>
      </c>
      <c r="C40" s="8">
        <f t="shared" si="3"/>
        <v>1734521.96</v>
      </c>
      <c r="D40" s="8">
        <f t="shared" si="3"/>
        <v>199626.27</v>
      </c>
      <c r="E40" s="8">
        <f t="shared" si="3"/>
        <v>3267.25</v>
      </c>
      <c r="F40" s="8">
        <f t="shared" si="3"/>
        <v>9049.77</v>
      </c>
      <c r="G40" s="8">
        <f t="shared" si="3"/>
        <v>16959.32</v>
      </c>
      <c r="H40" s="8">
        <f t="shared" si="3"/>
        <v>1963424.57</v>
      </c>
      <c r="I40" s="8">
        <f t="shared" ref="I40:L40" si="4">SUBTOTAL(109,I34:I39)</f>
        <v>154722.13</v>
      </c>
      <c r="J40" s="8">
        <f t="shared" si="4"/>
        <v>170152.49999999997</v>
      </c>
      <c r="K40" s="8">
        <f t="shared" si="4"/>
        <v>99254.080000000002</v>
      </c>
      <c r="L40" s="8">
        <f t="shared" si="4"/>
        <v>424128.70999999996</v>
      </c>
    </row>
    <row r="41" spans="1:12" ht="7.5" customHeight="1" x14ac:dyDescent="0.25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15.75" x14ac:dyDescent="0.25">
      <c r="C42" s="22" t="s">
        <v>25</v>
      </c>
      <c r="D42" s="23">
        <f>H40-L40</f>
        <v>1539295.86</v>
      </c>
      <c r="E42" s="13"/>
      <c r="F42" s="13"/>
      <c r="G42" s="13"/>
      <c r="H42" s="22" t="s">
        <v>23</v>
      </c>
      <c r="I42" s="23">
        <v>1922496.94</v>
      </c>
      <c r="K42" s="31"/>
    </row>
    <row r="43" spans="1:12" ht="15.75" x14ac:dyDescent="0.25">
      <c r="E43" s="13"/>
      <c r="H43" s="22" t="s">
        <v>24</v>
      </c>
      <c r="I43" s="23">
        <f>I42*0.21</f>
        <v>403724.35739999998</v>
      </c>
    </row>
    <row r="44" spans="1:12" ht="7.5" customHeight="1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6"/>
      <c r="K44" s="16"/>
      <c r="L44" s="16"/>
    </row>
    <row r="45" spans="1:12" ht="7.5" customHeight="1" x14ac:dyDescent="0.25">
      <c r="I45" s="21"/>
    </row>
    <row r="46" spans="1:12" ht="17.25" x14ac:dyDescent="0.3">
      <c r="A46" s="10" t="s">
        <v>16</v>
      </c>
      <c r="B46" s="9" t="s">
        <v>28</v>
      </c>
      <c r="C46" s="9"/>
    </row>
    <row r="47" spans="1:12" ht="6.75" customHeight="1" x14ac:dyDescent="0.25"/>
    <row r="48" spans="1:12" ht="30" x14ac:dyDescent="0.25">
      <c r="A48" s="18" t="s">
        <v>3</v>
      </c>
      <c r="B48" s="19" t="s">
        <v>21</v>
      </c>
      <c r="C48" s="19" t="s">
        <v>10</v>
      </c>
      <c r="D48" s="19" t="s">
        <v>0</v>
      </c>
      <c r="E48" s="19" t="s">
        <v>20</v>
      </c>
      <c r="F48" s="19" t="s">
        <v>2</v>
      </c>
      <c r="G48" s="20" t="s">
        <v>11</v>
      </c>
      <c r="H48" s="20" t="s">
        <v>1</v>
      </c>
      <c r="I48" s="19" t="s">
        <v>12</v>
      </c>
      <c r="J48" s="19" t="s">
        <v>13</v>
      </c>
      <c r="K48" s="19" t="s">
        <v>14</v>
      </c>
      <c r="L48" s="19" t="s">
        <v>15</v>
      </c>
    </row>
    <row r="49" spans="1:12" x14ac:dyDescent="0.25">
      <c r="A49" s="5" t="s">
        <v>7</v>
      </c>
      <c r="B49" s="1">
        <v>23</v>
      </c>
      <c r="C49" s="3">
        <v>431086.93</v>
      </c>
      <c r="D49" s="3">
        <v>0</v>
      </c>
      <c r="E49" s="3">
        <v>0</v>
      </c>
      <c r="F49" s="3">
        <v>11908.2731104095</v>
      </c>
      <c r="G49" s="3">
        <v>0</v>
      </c>
      <c r="H49" s="3">
        <f>SUM(Tabela2452[[#This Row],[Salário Base Total (R$)]:[1/3 de Férias]])</f>
        <v>442995.20311040949</v>
      </c>
      <c r="I49" s="4">
        <v>21887.26</v>
      </c>
      <c r="J49" s="4">
        <v>91921.8</v>
      </c>
      <c r="K49" s="4">
        <f>47563.3*1.03</f>
        <v>48990.199000000008</v>
      </c>
      <c r="L49" s="4">
        <f>SUM(Tabela2452[[#This Row],[INSS]:[Outros Descontos]])</f>
        <v>162799.25900000002</v>
      </c>
    </row>
    <row r="50" spans="1:12" x14ac:dyDescent="0.25">
      <c r="A50" s="5" t="s">
        <v>4</v>
      </c>
      <c r="B50" s="1">
        <v>39</v>
      </c>
      <c r="C50" s="3">
        <v>127728.15229621157</v>
      </c>
      <c r="D50" s="3">
        <v>178533.99968235753</v>
      </c>
      <c r="E50" s="3">
        <v>5096.2887944891118</v>
      </c>
      <c r="F50" s="3">
        <v>7455.9292766936123</v>
      </c>
      <c r="G50" s="3">
        <v>3483.78</v>
      </c>
      <c r="H50" s="3">
        <f>SUM(Tabela2452[[#This Row],[Salário Base Total (R$)]:[1/3 de Férias]])</f>
        <v>322298.15004975186</v>
      </c>
      <c r="I50" s="3">
        <f>I35/H35*H50</f>
        <v>28837.783224344137</v>
      </c>
      <c r="J50" s="3">
        <f>J35/H35*H50</f>
        <v>44130.741260234761</v>
      </c>
      <c r="K50" s="3">
        <f>K35/H35*H50</f>
        <v>21875.712896638001</v>
      </c>
      <c r="L50" s="4">
        <f>SUM(Tabela2452[[#This Row],[INSS]:[Outros Descontos]])</f>
        <v>94844.237381216895</v>
      </c>
    </row>
    <row r="51" spans="1:12" x14ac:dyDescent="0.25">
      <c r="A51" s="5" t="s">
        <v>5</v>
      </c>
      <c r="B51" s="1">
        <v>444</v>
      </c>
      <c r="C51" s="3">
        <f>C36/B36*B51</f>
        <v>1190720.1314685314</v>
      </c>
      <c r="D51" s="3">
        <v>20799.955498981872</v>
      </c>
      <c r="E51" s="3">
        <v>0</v>
      </c>
      <c r="F51" s="3">
        <v>3216.3922174736654</v>
      </c>
      <c r="G51" s="3">
        <v>47712.66</v>
      </c>
      <c r="H51" s="3">
        <f>SUM(Tabela2452[[#This Row],[Salário Base Total (R$)]:[1/3 de Férias]])</f>
        <v>1262449.1391849869</v>
      </c>
      <c r="I51" s="3">
        <f>I36/H36*H51</f>
        <v>111470.44359361123</v>
      </c>
      <c r="J51" s="3">
        <f>J36/H36*H51</f>
        <v>37667.532230339595</v>
      </c>
      <c r="K51" s="3">
        <f>K36/H36*H51</f>
        <v>30517.180252214599</v>
      </c>
      <c r="L51" s="4">
        <f>SUM(Tabela2452[[#This Row],[INSS]:[Outros Descontos]])</f>
        <v>179655.15607616544</v>
      </c>
    </row>
    <row r="52" spans="1:12" x14ac:dyDescent="0.25">
      <c r="A52" s="5" t="s">
        <v>22</v>
      </c>
      <c r="B52" s="1">
        <v>1</v>
      </c>
      <c r="C52" s="3">
        <v>4452.1899999999996</v>
      </c>
      <c r="D52" s="3">
        <v>0</v>
      </c>
      <c r="E52" s="3">
        <v>0</v>
      </c>
      <c r="F52" s="3">
        <v>0</v>
      </c>
      <c r="G52" s="3">
        <v>0</v>
      </c>
      <c r="H52" s="3">
        <v>4452.1899999999996</v>
      </c>
      <c r="I52" s="3">
        <v>0</v>
      </c>
      <c r="J52" s="28">
        <v>21.68</v>
      </c>
      <c r="K52" s="3">
        <v>0</v>
      </c>
      <c r="L52" s="4">
        <v>21.68</v>
      </c>
    </row>
    <row r="53" spans="1:12" x14ac:dyDescent="0.25">
      <c r="A53" s="5" t="s">
        <v>6</v>
      </c>
      <c r="B53" s="1">
        <v>4</v>
      </c>
      <c r="C53" s="3">
        <v>13979.66</v>
      </c>
      <c r="D53" s="3">
        <v>0</v>
      </c>
      <c r="E53" s="3">
        <v>0</v>
      </c>
      <c r="F53" s="3">
        <v>0</v>
      </c>
      <c r="G53" s="3">
        <v>0</v>
      </c>
      <c r="H53" s="3">
        <v>13979.66</v>
      </c>
      <c r="I53" s="3">
        <v>0</v>
      </c>
      <c r="J53" s="3">
        <v>190.32999999999998</v>
      </c>
      <c r="K53" s="3">
        <v>1853.81</v>
      </c>
      <c r="L53" s="4">
        <v>2044.1399999999999</v>
      </c>
    </row>
    <row r="54" spans="1:12" x14ac:dyDescent="0.25">
      <c r="A54" s="5" t="s">
        <v>8</v>
      </c>
      <c r="B54" s="1">
        <v>9</v>
      </c>
      <c r="C54" s="3">
        <v>8607.06</v>
      </c>
      <c r="D54" s="3">
        <v>956.34</v>
      </c>
      <c r="E54" s="3">
        <v>0</v>
      </c>
      <c r="F54" s="3">
        <v>0</v>
      </c>
      <c r="G54" s="3">
        <v>0</v>
      </c>
      <c r="H54" s="3">
        <v>9563.4</v>
      </c>
      <c r="I54" s="3">
        <v>0</v>
      </c>
      <c r="J54" s="3">
        <v>0</v>
      </c>
      <c r="K54" s="3">
        <v>0</v>
      </c>
      <c r="L54" s="4">
        <v>0</v>
      </c>
    </row>
    <row r="55" spans="1:12" ht="15.75" x14ac:dyDescent="0.25">
      <c r="A55" s="6" t="s">
        <v>9</v>
      </c>
      <c r="B55" s="7">
        <f t="shared" ref="B55" si="5">SUBTOTAL(109,B49:B54)</f>
        <v>520</v>
      </c>
      <c r="C55" s="8">
        <f>SUBTOTAL(109,C49:C54)</f>
        <v>1776574.1237647429</v>
      </c>
      <c r="D55" s="8">
        <f t="shared" ref="D55:J55" si="6">SUBTOTAL(109,D49:D54)</f>
        <v>200290.2951813394</v>
      </c>
      <c r="E55" s="8">
        <f t="shared" si="6"/>
        <v>5096.2887944891118</v>
      </c>
      <c r="F55" s="8">
        <f t="shared" si="6"/>
        <v>22580.594604576778</v>
      </c>
      <c r="G55" s="8">
        <f t="shared" si="6"/>
        <v>51196.44</v>
      </c>
      <c r="H55" s="8">
        <f t="shared" si="6"/>
        <v>2055737.742345148</v>
      </c>
      <c r="I55" s="8">
        <f t="shared" si="6"/>
        <v>162195.48681795536</v>
      </c>
      <c r="J55" s="8">
        <f t="shared" si="6"/>
        <v>173932.08349057435</v>
      </c>
      <c r="K55" s="8">
        <f>SUBTOTAL(109,K49:K54)</f>
        <v>103236.90214885261</v>
      </c>
      <c r="L55" s="8">
        <f>SUBTOTAL(109,L49:L54)</f>
        <v>439364.47245738236</v>
      </c>
    </row>
    <row r="56" spans="1:12" ht="7.5" customHeight="1" x14ac:dyDescent="0.25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ht="15.75" x14ac:dyDescent="0.25">
      <c r="C57" s="22" t="s">
        <v>25</v>
      </c>
      <c r="D57" s="23">
        <f>H55-L55</f>
        <v>1616373.2698877656</v>
      </c>
      <c r="E57" s="13"/>
      <c r="F57" s="13"/>
      <c r="G57" s="13"/>
      <c r="H57" s="22" t="s">
        <v>23</v>
      </c>
      <c r="I57" s="23">
        <f>H55*0.977367434799383</f>
        <v>2009211.1238561524</v>
      </c>
    </row>
    <row r="58" spans="1:12" ht="15.75" x14ac:dyDescent="0.25">
      <c r="E58" s="13"/>
      <c r="H58" s="22" t="s">
        <v>24</v>
      </c>
      <c r="I58" s="23">
        <f>I57*0.21</f>
        <v>421934.33600979199</v>
      </c>
    </row>
    <row r="59" spans="1:12" ht="7.5" customHeight="1" x14ac:dyDescent="0.25">
      <c r="A59" s="14"/>
      <c r="B59" s="15"/>
      <c r="C59" s="17"/>
      <c r="D59" s="17"/>
      <c r="E59" s="17"/>
      <c r="F59" s="17"/>
      <c r="G59" s="17"/>
      <c r="H59" s="17"/>
      <c r="I59" s="17"/>
      <c r="J59" s="16"/>
      <c r="K59" s="16"/>
      <c r="L59" s="16"/>
    </row>
    <row r="60" spans="1:12" ht="7.5" customHeight="1" x14ac:dyDescent="0.25">
      <c r="I60" s="21"/>
    </row>
    <row r="61" spans="1:12" ht="17.25" x14ac:dyDescent="0.3">
      <c r="A61" s="10" t="s">
        <v>16</v>
      </c>
      <c r="B61" s="9" t="s">
        <v>29</v>
      </c>
      <c r="C61" s="9"/>
      <c r="I61" s="21"/>
    </row>
    <row r="62" spans="1:12" ht="6.75" customHeight="1" x14ac:dyDescent="0.25"/>
    <row r="63" spans="1:12" ht="30" x14ac:dyDescent="0.25">
      <c r="A63" s="18" t="s">
        <v>3</v>
      </c>
      <c r="B63" s="19" t="s">
        <v>21</v>
      </c>
      <c r="C63" s="19" t="s">
        <v>10</v>
      </c>
      <c r="D63" s="19" t="s">
        <v>0</v>
      </c>
      <c r="E63" s="19" t="s">
        <v>20</v>
      </c>
      <c r="F63" s="19" t="s">
        <v>2</v>
      </c>
      <c r="G63" s="20" t="s">
        <v>11</v>
      </c>
      <c r="H63" s="20" t="s">
        <v>1</v>
      </c>
      <c r="I63" s="19" t="s">
        <v>12</v>
      </c>
      <c r="J63" s="19" t="s">
        <v>13</v>
      </c>
      <c r="K63" s="19" t="s">
        <v>14</v>
      </c>
      <c r="L63" s="19" t="s">
        <v>15</v>
      </c>
    </row>
    <row r="64" spans="1:12" x14ac:dyDescent="0.25">
      <c r="A64" s="5" t="s">
        <v>7</v>
      </c>
      <c r="B64" s="1">
        <v>23</v>
      </c>
      <c r="C64" s="3">
        <v>431086.93</v>
      </c>
      <c r="D64" s="3">
        <v>0</v>
      </c>
      <c r="E64" s="3">
        <v>0</v>
      </c>
      <c r="F64" s="3">
        <v>8534.2095923353918</v>
      </c>
      <c r="G64" s="3">
        <v>0</v>
      </c>
      <c r="H64" s="3">
        <f>SUM(Tabela24526[[#This Row],[Salário Base Total (R$)]:[1/3 de Férias]])</f>
        <v>439621.13959233538</v>
      </c>
      <c r="I64" s="4">
        <v>21887.26</v>
      </c>
      <c r="J64" s="4">
        <v>91921.8</v>
      </c>
      <c r="K64" s="4">
        <f>47563.3*1.01</f>
        <v>48038.933000000005</v>
      </c>
      <c r="L64" s="4">
        <f>SUM(Tabela24526[[#This Row],[INSS]:[Outros Descontos]])</f>
        <v>161847.99300000002</v>
      </c>
    </row>
    <row r="65" spans="1:12" x14ac:dyDescent="0.25">
      <c r="A65" s="5" t="s">
        <v>4</v>
      </c>
      <c r="B65" s="1">
        <v>39</v>
      </c>
      <c r="C65" s="3">
        <v>129117.05344431731</v>
      </c>
      <c r="D65" s="3">
        <v>185448.18785686977</v>
      </c>
      <c r="E65" s="3">
        <v>6297.2631917337421</v>
      </c>
      <c r="F65" s="3">
        <v>9195.4939150405116</v>
      </c>
      <c r="G65" s="3">
        <v>3483.78</v>
      </c>
      <c r="H65" s="3">
        <f>SUM(Tabela24526[[#This Row],[Salário Base Total (R$)]:[1/3 de Férias]])</f>
        <v>333541.77840796136</v>
      </c>
      <c r="I65" s="3">
        <f>I50/H50*H65</f>
        <v>29843.812322553611</v>
      </c>
      <c r="J65" s="3">
        <f>J50/H50*H65</f>
        <v>45670.277412787262</v>
      </c>
      <c r="K65" s="3">
        <f>K50/H50*H65</f>
        <v>22638.864611417375</v>
      </c>
      <c r="L65" s="4">
        <f>SUM(Tabela24526[[#This Row],[INSS]:[Outros Descontos]])</f>
        <v>98152.954346758255</v>
      </c>
    </row>
    <row r="66" spans="1:12" x14ac:dyDescent="0.25">
      <c r="A66" s="5" t="s">
        <v>5</v>
      </c>
      <c r="B66" s="1">
        <v>438</v>
      </c>
      <c r="C66" s="3">
        <f>C51/B51*B66</f>
        <v>1174629.3188811189</v>
      </c>
      <c r="D66" s="3">
        <v>21044.459291940846</v>
      </c>
      <c r="E66" s="3">
        <v>0</v>
      </c>
      <c r="F66" s="3">
        <v>3261.4215851771223</v>
      </c>
      <c r="G66" s="3">
        <v>47712.66</v>
      </c>
      <c r="H66" s="3">
        <f>SUM(Tabela24526[[#This Row],[Salário Base Total (R$)]:[1/3 de Férias]])</f>
        <v>1246647.8597582367</v>
      </c>
      <c r="I66" s="3">
        <f>I51/H51*H66</f>
        <v>110075.23837513916</v>
      </c>
      <c r="J66" s="3">
        <f>J51/H51*H66</f>
        <v>37196.071492941519</v>
      </c>
      <c r="K66" s="3">
        <f t="shared" ref="K66" si="7">K51/H51*H66</f>
        <v>30135.215959543722</v>
      </c>
      <c r="L66" s="4">
        <f>SUM(Tabela24526[[#This Row],[INSS]:[Outros Descontos]])</f>
        <v>177406.5258276244</v>
      </c>
    </row>
    <row r="67" spans="1:12" x14ac:dyDescent="0.25">
      <c r="A67" s="5" t="s">
        <v>22</v>
      </c>
      <c r="B67" s="1">
        <v>1</v>
      </c>
      <c r="C67" s="3">
        <v>4452.1899999999996</v>
      </c>
      <c r="D67" s="3">
        <v>0</v>
      </c>
      <c r="E67" s="3">
        <v>0</v>
      </c>
      <c r="F67" s="3">
        <v>0</v>
      </c>
      <c r="G67" s="3">
        <v>0</v>
      </c>
      <c r="H67" s="3">
        <v>4452.1899999999996</v>
      </c>
      <c r="I67" s="3">
        <v>0</v>
      </c>
      <c r="J67" s="28">
        <v>21.68</v>
      </c>
      <c r="K67" s="3">
        <v>0</v>
      </c>
      <c r="L67" s="4">
        <v>21.68</v>
      </c>
    </row>
    <row r="68" spans="1:12" x14ac:dyDescent="0.25">
      <c r="A68" s="5" t="s">
        <v>6</v>
      </c>
      <c r="B68" s="1">
        <v>4</v>
      </c>
      <c r="C68" s="3">
        <v>13979.66</v>
      </c>
      <c r="D68" s="3">
        <v>0</v>
      </c>
      <c r="E68" s="3">
        <v>0</v>
      </c>
      <c r="F68" s="3">
        <v>0</v>
      </c>
      <c r="G68" s="3">
        <v>0</v>
      </c>
      <c r="H68" s="3">
        <v>13979.66</v>
      </c>
      <c r="I68" s="3">
        <v>0</v>
      </c>
      <c r="J68" s="3">
        <v>190.32999999999998</v>
      </c>
      <c r="K68" s="3">
        <v>1853.81</v>
      </c>
      <c r="L68" s="4">
        <v>2044.1399999999999</v>
      </c>
    </row>
    <row r="69" spans="1:12" x14ac:dyDescent="0.25">
      <c r="A69" s="5" t="s">
        <v>8</v>
      </c>
      <c r="B69" s="1">
        <v>9</v>
      </c>
      <c r="C69" s="3">
        <v>8607.06</v>
      </c>
      <c r="D69" s="3">
        <v>956.34</v>
      </c>
      <c r="E69" s="3">
        <v>0</v>
      </c>
      <c r="F69" s="3">
        <v>0</v>
      </c>
      <c r="G69" s="3">
        <v>0</v>
      </c>
      <c r="H69" s="3">
        <v>9563.4</v>
      </c>
      <c r="I69" s="3">
        <v>0</v>
      </c>
      <c r="J69" s="3">
        <v>0</v>
      </c>
      <c r="K69" s="3">
        <v>0</v>
      </c>
      <c r="L69" s="4">
        <v>0</v>
      </c>
    </row>
    <row r="70" spans="1:12" ht="15.75" x14ac:dyDescent="0.25">
      <c r="A70" s="6" t="s">
        <v>9</v>
      </c>
      <c r="B70" s="7">
        <f t="shared" ref="B70" si="8">SUBTOTAL(109,B64:B69)</f>
        <v>514</v>
      </c>
      <c r="C70" s="8">
        <f>SUBTOTAL(109,C64:C69)</f>
        <v>1761872.2123254361</v>
      </c>
      <c r="D70" s="8">
        <f t="shared" ref="D70" si="9">SUBTOTAL(109,D64:D69)</f>
        <v>207448.98714881061</v>
      </c>
      <c r="E70" s="8">
        <f t="shared" ref="E70" si="10">SUBTOTAL(109,E64:E69)</f>
        <v>6297.2631917337421</v>
      </c>
      <c r="F70" s="8">
        <f t="shared" ref="F70" si="11">SUBTOTAL(109,F64:F69)</f>
        <v>20991.125092553026</v>
      </c>
      <c r="G70" s="8">
        <f t="shared" ref="G70" si="12">SUBTOTAL(109,G64:G69)</f>
        <v>51196.44</v>
      </c>
      <c r="H70" s="8">
        <f t="shared" ref="H70" si="13">SUBTOTAL(109,H64:H69)</f>
        <v>2047806.0277585331</v>
      </c>
      <c r="I70" s="8">
        <f t="shared" ref="I70" si="14">SUBTOTAL(109,I64:I69)</f>
        <v>161806.31069769277</v>
      </c>
      <c r="J70" s="8">
        <f t="shared" ref="J70" si="15">SUBTOTAL(109,J64:J69)</f>
        <v>175000.15890572878</v>
      </c>
      <c r="K70" s="8">
        <f t="shared" ref="K70" si="16">SUBTOTAL(109,K64:K69)</f>
        <v>102666.8235709611</v>
      </c>
      <c r="L70" s="8">
        <f t="shared" ref="L70" si="17">SUBTOTAL(109,L64:L69)</f>
        <v>439473.29317438271</v>
      </c>
    </row>
    <row r="71" spans="1:12" ht="7.5" customHeight="1" x14ac:dyDescent="0.25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ht="15.75" x14ac:dyDescent="0.25">
      <c r="C72" s="22" t="s">
        <v>25</v>
      </c>
      <c r="D72" s="23">
        <f>H70-L70</f>
        <v>1608332.7345841504</v>
      </c>
      <c r="E72" s="13"/>
      <c r="F72" s="13"/>
      <c r="G72" s="13"/>
      <c r="H72" s="22" t="s">
        <v>23</v>
      </c>
      <c r="I72" s="23">
        <f>H70*0.977367434799383</f>
        <v>2001458.9243170717</v>
      </c>
    </row>
    <row r="73" spans="1:12" ht="15.75" x14ac:dyDescent="0.25">
      <c r="E73" s="13"/>
      <c r="H73" s="22" t="s">
        <v>24</v>
      </c>
      <c r="I73" s="23">
        <f>I72*0.21</f>
        <v>420306.37410658505</v>
      </c>
    </row>
    <row r="74" spans="1:12" ht="7.5" customHeight="1" x14ac:dyDescent="0.25">
      <c r="A74" s="14"/>
      <c r="B74" s="15"/>
      <c r="C74" s="17"/>
      <c r="D74" s="17"/>
      <c r="E74" s="17"/>
      <c r="F74" s="17"/>
      <c r="G74" s="17"/>
      <c r="H74" s="17"/>
      <c r="I74" s="17"/>
      <c r="J74" s="16"/>
      <c r="K74" s="16"/>
      <c r="L74" s="16"/>
    </row>
    <row r="75" spans="1:12" ht="7.5" customHeight="1" x14ac:dyDescent="0.25">
      <c r="I75" s="21"/>
    </row>
    <row r="76" spans="1:12" ht="17.25" x14ac:dyDescent="0.3">
      <c r="A76" s="10" t="s">
        <v>16</v>
      </c>
      <c r="B76" s="9" t="s">
        <v>30</v>
      </c>
      <c r="C76" s="9"/>
      <c r="I76" s="21"/>
    </row>
    <row r="77" spans="1:12" ht="6.75" customHeight="1" x14ac:dyDescent="0.25"/>
    <row r="78" spans="1:12" ht="30" x14ac:dyDescent="0.25">
      <c r="A78" s="18" t="s">
        <v>3</v>
      </c>
      <c r="B78" s="19" t="s">
        <v>21</v>
      </c>
      <c r="C78" s="19" t="s">
        <v>10</v>
      </c>
      <c r="D78" s="19" t="s">
        <v>0</v>
      </c>
      <c r="E78" s="19" t="s">
        <v>20</v>
      </c>
      <c r="F78" s="19" t="s">
        <v>2</v>
      </c>
      <c r="G78" s="20" t="s">
        <v>11</v>
      </c>
      <c r="H78" s="20" t="s">
        <v>1</v>
      </c>
      <c r="I78" s="19" t="s">
        <v>12</v>
      </c>
      <c r="J78" s="19" t="s">
        <v>13</v>
      </c>
      <c r="K78" s="19" t="s">
        <v>14</v>
      </c>
      <c r="L78" s="19" t="s">
        <v>15</v>
      </c>
    </row>
    <row r="79" spans="1:12" x14ac:dyDescent="0.25">
      <c r="A79" s="5" t="s">
        <v>7</v>
      </c>
      <c r="B79" s="1">
        <v>23</v>
      </c>
      <c r="C79" s="3">
        <v>431086.93</v>
      </c>
      <c r="D79" s="3">
        <v>0</v>
      </c>
      <c r="E79" s="3">
        <v>0</v>
      </c>
      <c r="F79" s="3">
        <v>12025.249064737873</v>
      </c>
      <c r="G79" s="3">
        <v>0</v>
      </c>
      <c r="H79" s="3">
        <f>SUM(Tabela245267[[#This Row],[Salário Base Total (R$)]:[1/3 de Férias]])</f>
        <v>443112.17906473787</v>
      </c>
      <c r="I79" s="4">
        <v>21887.26</v>
      </c>
      <c r="J79" s="4">
        <v>91921.8</v>
      </c>
      <c r="K79" s="4">
        <f>47563.3*0.98</f>
        <v>46612.034</v>
      </c>
      <c r="L79" s="4">
        <f>SUM(Tabela245267[[#This Row],[INSS]:[Outros Descontos]])</f>
        <v>160421.09399999998</v>
      </c>
    </row>
    <row r="80" spans="1:12" x14ac:dyDescent="0.25">
      <c r="A80" s="5" t="s">
        <v>4</v>
      </c>
      <c r="B80" s="1">
        <v>39</v>
      </c>
      <c r="C80" s="3">
        <v>130552.25129736005</v>
      </c>
      <c r="D80" s="3">
        <v>192592.84897053242</v>
      </c>
      <c r="E80" s="3">
        <v>7538.270068886457</v>
      </c>
      <c r="F80" s="3">
        <v>10993.044041331857</v>
      </c>
      <c r="G80" s="3">
        <v>3483.78</v>
      </c>
      <c r="H80" s="3">
        <f>SUM(Tabela245267[[#This Row],[Salário Base Total (R$)]:[1/3 de Férias]])</f>
        <v>345160.19437811081</v>
      </c>
      <c r="I80" s="3">
        <f>I65/H65*H80</f>
        <v>30883.375724036701</v>
      </c>
      <c r="J80" s="3">
        <f>J65/H65*H80</f>
        <v>47261.131437091455</v>
      </c>
      <c r="K80" s="3">
        <f>K65/H65*H80</f>
        <v>23427.454716689372</v>
      </c>
      <c r="L80" s="4">
        <f>SUM(Tabela245267[[#This Row],[INSS]:[Outros Descontos]])</f>
        <v>101571.96187781754</v>
      </c>
    </row>
    <row r="81" spans="1:12" x14ac:dyDescent="0.25">
      <c r="A81" s="5" t="s">
        <v>5</v>
      </c>
      <c r="B81" s="1">
        <v>444</v>
      </c>
      <c r="C81" s="3">
        <f>C66/B66*B81</f>
        <v>1190720.1314685314</v>
      </c>
      <c r="D81" s="3">
        <v>21297.113211331889</v>
      </c>
      <c r="E81" s="3">
        <v>0</v>
      </c>
      <c r="F81" s="3">
        <v>3307.9519318040475</v>
      </c>
      <c r="G81" s="3">
        <v>47712.66</v>
      </c>
      <c r="H81" s="3">
        <f>SUM(Tabela245267[[#This Row],[Salário Base Total (R$)]:[1/3 de Férias]])</f>
        <v>1263037.8566116672</v>
      </c>
      <c r="I81" s="3">
        <f>I66/H66*H81</f>
        <v>111522.42556315473</v>
      </c>
      <c r="J81" s="3">
        <f>J66/H66*H81</f>
        <v>37685.097716311058</v>
      </c>
      <c r="K81" s="3">
        <f t="shared" ref="K81" si="18">K66/H66*H81</f>
        <v>30531.411317269005</v>
      </c>
      <c r="L81" s="4">
        <f>SUM(Tabela245267[[#This Row],[INSS]:[Outros Descontos]])</f>
        <v>179738.93459673479</v>
      </c>
    </row>
    <row r="82" spans="1:12" x14ac:dyDescent="0.25">
      <c r="A82" s="5" t="s">
        <v>22</v>
      </c>
      <c r="B82" s="1">
        <v>1</v>
      </c>
      <c r="C82" s="3">
        <v>4452.1899999999996</v>
      </c>
      <c r="D82" s="3">
        <v>0</v>
      </c>
      <c r="E82" s="3">
        <v>0</v>
      </c>
      <c r="F82" s="3">
        <v>0</v>
      </c>
      <c r="G82" s="3">
        <v>0</v>
      </c>
      <c r="H82" s="3">
        <v>4452.1899999999996</v>
      </c>
      <c r="I82" s="3">
        <v>0</v>
      </c>
      <c r="J82" s="28">
        <v>21.68</v>
      </c>
      <c r="K82" s="3">
        <v>0</v>
      </c>
      <c r="L82" s="4">
        <v>21.68</v>
      </c>
    </row>
    <row r="83" spans="1:12" x14ac:dyDescent="0.25">
      <c r="A83" s="5" t="s">
        <v>6</v>
      </c>
      <c r="B83" s="1">
        <v>4</v>
      </c>
      <c r="C83" s="3">
        <v>13979.66</v>
      </c>
      <c r="D83" s="3">
        <v>0</v>
      </c>
      <c r="E83" s="3">
        <v>0</v>
      </c>
      <c r="F83" s="3">
        <v>0</v>
      </c>
      <c r="G83" s="3">
        <v>0</v>
      </c>
      <c r="H83" s="3">
        <v>13979.66</v>
      </c>
      <c r="I83" s="3">
        <v>0</v>
      </c>
      <c r="J83" s="3">
        <v>190.32999999999998</v>
      </c>
      <c r="K83" s="3">
        <v>1853.81</v>
      </c>
      <c r="L83" s="4">
        <v>2044.1399999999999</v>
      </c>
    </row>
    <row r="84" spans="1:12" x14ac:dyDescent="0.25">
      <c r="A84" s="5" t="s">
        <v>8</v>
      </c>
      <c r="B84" s="1">
        <v>9</v>
      </c>
      <c r="C84" s="3">
        <v>8607.06</v>
      </c>
      <c r="D84" s="3">
        <v>956.34</v>
      </c>
      <c r="E84" s="3">
        <v>0</v>
      </c>
      <c r="F84" s="3">
        <v>0</v>
      </c>
      <c r="G84" s="3">
        <v>0</v>
      </c>
      <c r="H84" s="3">
        <v>9563.4</v>
      </c>
      <c r="I84" s="3">
        <v>0</v>
      </c>
      <c r="J84" s="3">
        <v>0</v>
      </c>
      <c r="K84" s="3">
        <v>0</v>
      </c>
      <c r="L84" s="4">
        <v>0</v>
      </c>
    </row>
    <row r="85" spans="1:12" ht="15.75" x14ac:dyDescent="0.25">
      <c r="A85" s="6" t="s">
        <v>9</v>
      </c>
      <c r="B85" s="7">
        <f t="shared" ref="B85" si="19">SUBTOTAL(109,B79:B84)</f>
        <v>520</v>
      </c>
      <c r="C85" s="8">
        <f>SUBTOTAL(109,C79:C84)</f>
        <v>1779398.2227658913</v>
      </c>
      <c r="D85" s="8">
        <f t="shared" ref="D85" si="20">SUBTOTAL(109,D79:D84)</f>
        <v>214846.3021818643</v>
      </c>
      <c r="E85" s="8">
        <f t="shared" ref="E85" si="21">SUBTOTAL(109,E79:E84)</f>
        <v>7538.270068886457</v>
      </c>
      <c r="F85" s="8">
        <f t="shared" ref="F85" si="22">SUBTOTAL(109,F79:F84)</f>
        <v>26326.245037873778</v>
      </c>
      <c r="G85" s="8">
        <f t="shared" ref="G85" si="23">SUBTOTAL(109,G79:G84)</f>
        <v>51196.44</v>
      </c>
      <c r="H85" s="8">
        <f t="shared" ref="H85" si="24">SUBTOTAL(109,H79:H84)</f>
        <v>2079305.4800545156</v>
      </c>
      <c r="I85" s="8">
        <f t="shared" ref="I85" si="25">SUBTOTAL(109,I79:I84)</f>
        <v>164293.06128719143</v>
      </c>
      <c r="J85" s="8">
        <f t="shared" ref="J85" si="26">SUBTOTAL(109,J79:J84)</f>
        <v>177080.0391534025</v>
      </c>
      <c r="K85" s="8">
        <f t="shared" ref="K85" si="27">SUBTOTAL(109,K79:K84)</f>
        <v>102424.71003395837</v>
      </c>
      <c r="L85" s="8">
        <f t="shared" ref="L85" si="28">SUBTOTAL(109,L79:L84)</f>
        <v>443797.81047455227</v>
      </c>
    </row>
    <row r="86" spans="1:12" ht="7.5" customHeight="1" x14ac:dyDescent="0.25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ht="15.75" x14ac:dyDescent="0.25">
      <c r="C87" s="22" t="s">
        <v>25</v>
      </c>
      <c r="D87" s="23">
        <f>H85-L85</f>
        <v>1635507.6695799634</v>
      </c>
      <c r="E87" s="13"/>
      <c r="F87" s="13"/>
      <c r="G87" s="13"/>
      <c r="H87" s="22" t="s">
        <v>23</v>
      </c>
      <c r="I87" s="23">
        <f>H85*0.977367434799383</f>
        <v>2032245.4632051818</v>
      </c>
    </row>
    <row r="88" spans="1:12" ht="15.75" x14ac:dyDescent="0.25">
      <c r="E88" s="13"/>
      <c r="H88" s="22" t="s">
        <v>24</v>
      </c>
      <c r="I88" s="23">
        <f>I87*0.21</f>
        <v>426771.54727308813</v>
      </c>
    </row>
    <row r="89" spans="1:12" ht="7.5" customHeight="1" x14ac:dyDescent="0.25">
      <c r="A89" s="14"/>
      <c r="B89" s="15"/>
      <c r="C89" s="17"/>
      <c r="D89" s="17"/>
      <c r="E89" s="17"/>
      <c r="F89" s="17"/>
      <c r="G89" s="17"/>
      <c r="H89" s="17"/>
      <c r="I89" s="17"/>
      <c r="J89" s="16"/>
      <c r="K89" s="16"/>
      <c r="L89" s="16"/>
    </row>
    <row r="90" spans="1:12" ht="7.5" customHeight="1" x14ac:dyDescent="0.25">
      <c r="I90" s="21"/>
    </row>
    <row r="91" spans="1:12" ht="17.25" x14ac:dyDescent="0.3">
      <c r="A91" s="10" t="s">
        <v>16</v>
      </c>
      <c r="B91" s="9" t="s">
        <v>31</v>
      </c>
      <c r="C91" s="9"/>
      <c r="I91" s="21"/>
    </row>
    <row r="92" spans="1:12" ht="6.75" customHeight="1" x14ac:dyDescent="0.25"/>
    <row r="93" spans="1:12" ht="30" x14ac:dyDescent="0.25">
      <c r="A93" s="18" t="s">
        <v>3</v>
      </c>
      <c r="B93" s="19" t="s">
        <v>21</v>
      </c>
      <c r="C93" s="19" t="s">
        <v>10</v>
      </c>
      <c r="D93" s="19" t="s">
        <v>0</v>
      </c>
      <c r="E93" s="19" t="s">
        <v>20</v>
      </c>
      <c r="F93" s="19" t="s">
        <v>2</v>
      </c>
      <c r="G93" s="20" t="s">
        <v>11</v>
      </c>
      <c r="H93" s="20" t="s">
        <v>1</v>
      </c>
      <c r="I93" s="19" t="s">
        <v>12</v>
      </c>
      <c r="J93" s="19" t="s">
        <v>13</v>
      </c>
      <c r="K93" s="19" t="s">
        <v>14</v>
      </c>
      <c r="L93" s="19" t="s">
        <v>15</v>
      </c>
    </row>
    <row r="94" spans="1:12" x14ac:dyDescent="0.25">
      <c r="A94" s="5" t="s">
        <v>7</v>
      </c>
      <c r="B94" s="1">
        <v>23</v>
      </c>
      <c r="C94" s="3">
        <v>431086.93</v>
      </c>
      <c r="D94" s="3">
        <v>0</v>
      </c>
      <c r="E94" s="3">
        <v>0</v>
      </c>
      <c r="F94" s="3">
        <v>10976.209462895768</v>
      </c>
      <c r="G94" s="3">
        <v>0</v>
      </c>
      <c r="H94" s="3">
        <f>SUM(Tabela245268[[#This Row],[Salário Base Total (R$)]:[1/3 de Férias]])</f>
        <v>442063.13946289575</v>
      </c>
      <c r="I94" s="4">
        <v>21887.26</v>
      </c>
      <c r="J94" s="4">
        <v>91921.8</v>
      </c>
      <c r="K94" s="4">
        <f>47563.3*1.015</f>
        <v>48276.749499999998</v>
      </c>
      <c r="L94" s="4">
        <f>SUM(Tabela245268[[#This Row],[INSS]:[Outros Descontos]])</f>
        <v>162085.8095</v>
      </c>
    </row>
    <row r="95" spans="1:12" x14ac:dyDescent="0.25">
      <c r="A95" s="5" t="s">
        <v>4</v>
      </c>
      <c r="B95" s="1">
        <v>39</v>
      </c>
      <c r="C95" s="3">
        <v>131941.15244546626</v>
      </c>
      <c r="D95" s="3">
        <v>199507.03714504652</v>
      </c>
      <c r="E95" s="3">
        <v>8739.2444661308546</v>
      </c>
      <c r="F95" s="3">
        <v>12732.608679678757</v>
      </c>
      <c r="G95" s="3">
        <v>3483.78</v>
      </c>
      <c r="H95" s="3">
        <f>SUM(Tabela245268[[#This Row],[Salário Base Total (R$)]:[1/3 de Férias]])</f>
        <v>356403.82273632241</v>
      </c>
      <c r="I95" s="3">
        <f>I80/H80*H95</f>
        <v>31889.404822246364</v>
      </c>
      <c r="J95" s="3">
        <f>J80/H80*H95</f>
        <v>48800.667589644232</v>
      </c>
      <c r="K95" s="3">
        <f>K80/H80*H95</f>
        <v>24190.606431468888</v>
      </c>
      <c r="L95" s="4">
        <f>SUM(Tabela245268[[#This Row],[INSS]:[Outros Descontos]])</f>
        <v>104880.67884335948</v>
      </c>
    </row>
    <row r="96" spans="1:12" x14ac:dyDescent="0.25">
      <c r="A96" s="5" t="s">
        <v>5</v>
      </c>
      <c r="B96" s="1">
        <v>450</v>
      </c>
      <c r="C96" s="3">
        <f>C81/B81*B96</f>
        <v>1206810.9440559442</v>
      </c>
      <c r="D96" s="3">
        <v>21541.617004290922</v>
      </c>
      <c r="E96" s="3">
        <v>0</v>
      </c>
      <c r="F96" s="3">
        <v>3352.9812995075117</v>
      </c>
      <c r="G96" s="3">
        <v>47712.66</v>
      </c>
      <c r="H96" s="3">
        <f>SUM(Tabela245268[[#This Row],[Salário Base Total (R$)]:[1/3 de Férias]])</f>
        <v>1279418.2023597425</v>
      </c>
      <c r="I96" s="3">
        <f>I81/H81*H96</f>
        <v>112968.76058773517</v>
      </c>
      <c r="J96" s="3">
        <f>J81/H81*H96</f>
        <v>38173.835980894182</v>
      </c>
      <c r="K96" s="3">
        <f t="shared" ref="K96" si="29">K81/H81*H96</f>
        <v>30927.373378845856</v>
      </c>
      <c r="L96" s="4">
        <f>SUM(Tabela245268[[#This Row],[INSS]:[Outros Descontos]])</f>
        <v>182069.96994747521</v>
      </c>
    </row>
    <row r="97" spans="1:12" x14ac:dyDescent="0.25">
      <c r="A97" s="5" t="s">
        <v>22</v>
      </c>
      <c r="B97" s="1">
        <v>1</v>
      </c>
      <c r="C97" s="3">
        <v>4452.1899999999996</v>
      </c>
      <c r="D97" s="3">
        <v>0</v>
      </c>
      <c r="E97" s="3">
        <v>0</v>
      </c>
      <c r="F97" s="3">
        <v>0</v>
      </c>
      <c r="G97" s="3">
        <v>0</v>
      </c>
      <c r="H97" s="3">
        <v>4452.1899999999996</v>
      </c>
      <c r="I97" s="3">
        <v>0</v>
      </c>
      <c r="J97" s="28">
        <v>21.68</v>
      </c>
      <c r="K97" s="3">
        <v>0</v>
      </c>
      <c r="L97" s="4">
        <v>21.68</v>
      </c>
    </row>
    <row r="98" spans="1:12" x14ac:dyDescent="0.25">
      <c r="A98" s="5" t="s">
        <v>6</v>
      </c>
      <c r="B98" s="1">
        <v>4</v>
      </c>
      <c r="C98" s="3">
        <v>13979.66</v>
      </c>
      <c r="D98" s="3">
        <v>0</v>
      </c>
      <c r="E98" s="3">
        <v>0</v>
      </c>
      <c r="F98" s="3">
        <v>0</v>
      </c>
      <c r="G98" s="3">
        <v>0</v>
      </c>
      <c r="H98" s="3">
        <v>13979.66</v>
      </c>
      <c r="I98" s="3">
        <v>0</v>
      </c>
      <c r="J98" s="3">
        <v>190.32999999999998</v>
      </c>
      <c r="K98" s="3">
        <v>1853.81</v>
      </c>
      <c r="L98" s="4">
        <v>2044.1399999999999</v>
      </c>
    </row>
    <row r="99" spans="1:12" x14ac:dyDescent="0.25">
      <c r="A99" s="5" t="s">
        <v>8</v>
      </c>
      <c r="B99" s="1">
        <v>9</v>
      </c>
      <c r="C99" s="3">
        <v>8607.06</v>
      </c>
      <c r="D99" s="3">
        <v>956.34</v>
      </c>
      <c r="E99" s="3">
        <v>0</v>
      </c>
      <c r="F99" s="3">
        <v>0</v>
      </c>
      <c r="G99" s="3">
        <v>0</v>
      </c>
      <c r="H99" s="3">
        <v>9563.4</v>
      </c>
      <c r="I99" s="3">
        <v>0</v>
      </c>
      <c r="J99" s="3">
        <v>0</v>
      </c>
      <c r="K99" s="3">
        <v>0</v>
      </c>
      <c r="L99" s="4">
        <v>0</v>
      </c>
    </row>
    <row r="100" spans="1:12" ht="15.75" x14ac:dyDescent="0.25">
      <c r="A100" s="6" t="s">
        <v>9</v>
      </c>
      <c r="B100" s="7">
        <f t="shared" ref="B100" si="30">SUBTOTAL(109,B94:B99)</f>
        <v>526</v>
      </c>
      <c r="C100" s="8">
        <f>SUBTOTAL(109,C94:C99)</f>
        <v>1796877.9365014103</v>
      </c>
      <c r="D100" s="8">
        <f t="shared" ref="D100" si="31">SUBTOTAL(109,D94:D99)</f>
        <v>222004.99414933744</v>
      </c>
      <c r="E100" s="8">
        <f t="shared" ref="E100" si="32">SUBTOTAL(109,E94:E99)</f>
        <v>8739.2444661308546</v>
      </c>
      <c r="F100" s="8">
        <f t="shared" ref="F100" si="33">SUBTOTAL(109,F94:F99)</f>
        <v>27061.799442082036</v>
      </c>
      <c r="G100" s="8">
        <f t="shared" ref="G100" si="34">SUBTOTAL(109,G94:G99)</f>
        <v>51196.44</v>
      </c>
      <c r="H100" s="8">
        <f t="shared" ref="H100" si="35">SUBTOTAL(109,H94:H99)</f>
        <v>2105880.4145589606</v>
      </c>
      <c r="I100" s="8">
        <f t="shared" ref="I100" si="36">SUBTOTAL(109,I94:I99)</f>
        <v>166745.42540998154</v>
      </c>
      <c r="J100" s="8">
        <f t="shared" ref="J100" si="37">SUBTOTAL(109,J94:J99)</f>
        <v>179108.31357053842</v>
      </c>
      <c r="K100" s="8">
        <f t="shared" ref="K100" si="38">SUBTOTAL(109,K94:K99)</f>
        <v>105248.53931031475</v>
      </c>
      <c r="L100" s="8">
        <f t="shared" ref="L100" si="39">SUBTOTAL(109,L94:L99)</f>
        <v>451102.27829083469</v>
      </c>
    </row>
    <row r="101" spans="1:12" ht="7.5" customHeight="1" x14ac:dyDescent="0.25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15.75" x14ac:dyDescent="0.25">
      <c r="C102" s="22" t="s">
        <v>25</v>
      </c>
      <c r="D102" s="23">
        <f>H100-L100</f>
        <v>1654778.1362681258</v>
      </c>
      <c r="E102" s="13"/>
      <c r="F102" s="13"/>
      <c r="G102" s="13"/>
      <c r="H102" s="22" t="s">
        <v>23</v>
      </c>
      <c r="I102" s="23">
        <f>H100*0.977367434799383</f>
        <v>2058218.9387717526</v>
      </c>
    </row>
    <row r="103" spans="1:12" ht="15.75" x14ac:dyDescent="0.25">
      <c r="E103" s="13"/>
      <c r="H103" s="22" t="s">
        <v>24</v>
      </c>
      <c r="I103" s="23">
        <f>I102*0.21</f>
        <v>432225.97714206803</v>
      </c>
    </row>
    <row r="104" spans="1:12" ht="7.5" customHeight="1" x14ac:dyDescent="0.25">
      <c r="A104" s="14"/>
      <c r="B104" s="15"/>
      <c r="C104" s="17"/>
      <c r="D104" s="17"/>
      <c r="E104" s="17"/>
      <c r="F104" s="17"/>
      <c r="G104" s="17"/>
      <c r="H104" s="17"/>
      <c r="I104" s="17"/>
      <c r="J104" s="16"/>
      <c r="K104" s="16"/>
      <c r="L104" s="16"/>
    </row>
    <row r="105" spans="1:12" ht="7.5" customHeight="1" x14ac:dyDescent="0.25">
      <c r="I105" s="21"/>
    </row>
    <row r="106" spans="1:12" ht="17.25" x14ac:dyDescent="0.3">
      <c r="A106" s="10" t="s">
        <v>16</v>
      </c>
      <c r="B106" s="9" t="s">
        <v>32</v>
      </c>
      <c r="C106" s="9"/>
      <c r="I106" s="21"/>
    </row>
    <row r="107" spans="1:12" ht="6.75" customHeight="1" x14ac:dyDescent="0.25"/>
    <row r="108" spans="1:12" ht="30" x14ac:dyDescent="0.25">
      <c r="A108" s="18" t="s">
        <v>3</v>
      </c>
      <c r="B108" s="19" t="s">
        <v>21</v>
      </c>
      <c r="C108" s="19" t="s">
        <v>10</v>
      </c>
      <c r="D108" s="19" t="s">
        <v>0</v>
      </c>
      <c r="E108" s="19" t="s">
        <v>20</v>
      </c>
      <c r="F108" s="19" t="s">
        <v>2</v>
      </c>
      <c r="G108" s="20" t="s">
        <v>11</v>
      </c>
      <c r="H108" s="20" t="s">
        <v>1</v>
      </c>
      <c r="I108" s="19" t="s">
        <v>12</v>
      </c>
      <c r="J108" s="19" t="s">
        <v>13</v>
      </c>
      <c r="K108" s="19" t="s">
        <v>14</v>
      </c>
      <c r="L108" s="19" t="s">
        <v>15</v>
      </c>
    </row>
    <row r="109" spans="1:12" x14ac:dyDescent="0.25">
      <c r="A109" s="5" t="s">
        <v>7</v>
      </c>
      <c r="B109" s="1">
        <v>23</v>
      </c>
      <c r="C109" s="3">
        <v>431086.93</v>
      </c>
      <c r="D109" s="3">
        <v>0</v>
      </c>
      <c r="E109" s="3">
        <v>0</v>
      </c>
      <c r="F109" s="3">
        <v>12991.95608152746</v>
      </c>
      <c r="G109" s="3">
        <v>0</v>
      </c>
      <c r="H109" s="3">
        <f>SUM(Tabela245269[[#This Row],[Salário Base Total (R$)]:[1/3 de Férias]])</f>
        <v>444078.88608152745</v>
      </c>
      <c r="I109" s="4">
        <v>21887.26</v>
      </c>
      <c r="J109" s="4">
        <v>91921.8</v>
      </c>
      <c r="K109" s="4">
        <f>47563.3*1.03</f>
        <v>48990.199000000008</v>
      </c>
      <c r="L109" s="4">
        <f>SUM(Tabela245269[[#This Row],[INSS]:[Outros Descontos]])</f>
        <v>162799.25900000002</v>
      </c>
    </row>
    <row r="110" spans="1:12" x14ac:dyDescent="0.25">
      <c r="A110" s="5" t="s">
        <v>4</v>
      </c>
      <c r="B110" s="1">
        <v>39</v>
      </c>
      <c r="C110" s="3">
        <v>133376.35029850854</v>
      </c>
      <c r="D110" s="3">
        <v>206651.6982587073</v>
      </c>
      <c r="E110" s="3">
        <v>9980.2513432835694</v>
      </c>
      <c r="F110" s="3">
        <v>14530.158805970103</v>
      </c>
      <c r="G110" s="3">
        <v>3483.78</v>
      </c>
      <c r="H110" s="3">
        <f>SUM(Tabela245269[[#This Row],[Salário Base Total (R$)]:[1/3 de Férias]])</f>
        <v>368022.23870646954</v>
      </c>
      <c r="I110" s="3">
        <f>I95/H95*H110</f>
        <v>32928.968223729251</v>
      </c>
      <c r="J110" s="3">
        <f>J95/H95*H110</f>
        <v>50391.521613948113</v>
      </c>
      <c r="K110" s="3">
        <f>K95/H95*H110</f>
        <v>24979.196536740728</v>
      </c>
      <c r="L110" s="4">
        <f>SUM(Tabela245269[[#This Row],[INSS]:[Outros Descontos]])</f>
        <v>108299.68637441809</v>
      </c>
    </row>
    <row r="111" spans="1:12" x14ac:dyDescent="0.25">
      <c r="A111" s="5" t="s">
        <v>5</v>
      </c>
      <c r="B111" s="1">
        <v>438</v>
      </c>
      <c r="C111" s="3">
        <f>C96/B96*B111</f>
        <v>1174629.3188811191</v>
      </c>
      <c r="D111" s="3">
        <v>21794.270923681732</v>
      </c>
      <c r="E111" s="3">
        <v>0</v>
      </c>
      <c r="F111" s="3">
        <v>3399.5116461344296</v>
      </c>
      <c r="G111" s="3">
        <v>47712.66</v>
      </c>
      <c r="H111" s="3">
        <f>SUM(Tabela245269[[#This Row],[Salário Base Total (R$)]:[1/3 de Férias]])</f>
        <v>1247535.7614509354</v>
      </c>
      <c r="I111" s="3">
        <f>I96/H96*H111</f>
        <v>110153.63741117205</v>
      </c>
      <c r="J111" s="3">
        <f>J96/H96*H111</f>
        <v>37222.56370129194</v>
      </c>
      <c r="K111" s="3">
        <f t="shared" ref="K111" si="40">K96/H96*H111</f>
        <v>30156.679205199565</v>
      </c>
      <c r="L111" s="4">
        <f>SUM(Tabela245269[[#This Row],[INSS]:[Outros Descontos]])</f>
        <v>177532.88031766354</v>
      </c>
    </row>
    <row r="112" spans="1:12" x14ac:dyDescent="0.25">
      <c r="A112" s="5" t="s">
        <v>22</v>
      </c>
      <c r="B112" s="1">
        <v>1</v>
      </c>
      <c r="C112" s="3">
        <v>4452.1899999999996</v>
      </c>
      <c r="D112" s="3">
        <v>0</v>
      </c>
      <c r="E112" s="3">
        <v>0</v>
      </c>
      <c r="F112" s="3">
        <v>0</v>
      </c>
      <c r="G112" s="3">
        <v>0</v>
      </c>
      <c r="H112" s="3">
        <v>4452.1899999999996</v>
      </c>
      <c r="I112" s="3">
        <v>0</v>
      </c>
      <c r="J112" s="28">
        <v>21.68</v>
      </c>
      <c r="K112" s="3">
        <v>0</v>
      </c>
      <c r="L112" s="4">
        <v>21.68</v>
      </c>
    </row>
    <row r="113" spans="1:12" x14ac:dyDescent="0.25">
      <c r="A113" s="5" t="s">
        <v>6</v>
      </c>
      <c r="B113" s="1">
        <v>4</v>
      </c>
      <c r="C113" s="3">
        <v>13979.66</v>
      </c>
      <c r="D113" s="3">
        <v>0</v>
      </c>
      <c r="E113" s="3">
        <v>0</v>
      </c>
      <c r="F113" s="3">
        <v>0</v>
      </c>
      <c r="G113" s="3">
        <v>0</v>
      </c>
      <c r="H113" s="3">
        <v>13979.66</v>
      </c>
      <c r="I113" s="3">
        <v>0</v>
      </c>
      <c r="J113" s="3">
        <v>190.32999999999998</v>
      </c>
      <c r="K113" s="3">
        <v>1853.81</v>
      </c>
      <c r="L113" s="4">
        <v>2044.1399999999999</v>
      </c>
    </row>
    <row r="114" spans="1:12" x14ac:dyDescent="0.25">
      <c r="A114" s="5" t="s">
        <v>8</v>
      </c>
      <c r="B114" s="1">
        <v>9</v>
      </c>
      <c r="C114" s="3">
        <v>8607.06</v>
      </c>
      <c r="D114" s="3">
        <v>956.34</v>
      </c>
      <c r="E114" s="3">
        <v>0</v>
      </c>
      <c r="F114" s="3">
        <v>0</v>
      </c>
      <c r="G114" s="3">
        <v>0</v>
      </c>
      <c r="H114" s="3">
        <v>9563.4</v>
      </c>
      <c r="I114" s="3">
        <v>0</v>
      </c>
      <c r="J114" s="3">
        <v>0</v>
      </c>
      <c r="K114" s="3">
        <v>0</v>
      </c>
      <c r="L114" s="4">
        <v>0</v>
      </c>
    </row>
    <row r="115" spans="1:12" ht="15.75" x14ac:dyDescent="0.25">
      <c r="A115" s="6" t="s">
        <v>9</v>
      </c>
      <c r="B115" s="7">
        <f t="shared" ref="B115" si="41">SUBTOTAL(109,B109:B114)</f>
        <v>514</v>
      </c>
      <c r="C115" s="8">
        <f>SUBTOTAL(109,C109:C114)</f>
        <v>1766131.5091796275</v>
      </c>
      <c r="D115" s="8">
        <f t="shared" ref="D115" si="42">SUBTOTAL(109,D109:D114)</f>
        <v>229402.30918238903</v>
      </c>
      <c r="E115" s="8">
        <f t="shared" ref="E115" si="43">SUBTOTAL(109,E109:E114)</f>
        <v>9980.2513432835694</v>
      </c>
      <c r="F115" s="8">
        <f t="shared" ref="F115" si="44">SUBTOTAL(109,F109:F114)</f>
        <v>30921.626533631992</v>
      </c>
      <c r="G115" s="8">
        <f t="shared" ref="G115" si="45">SUBTOTAL(109,G109:G114)</f>
        <v>51196.44</v>
      </c>
      <c r="H115" s="8">
        <f t="shared" ref="H115" si="46">SUBTOTAL(109,H109:H114)</f>
        <v>2087632.1362389321</v>
      </c>
      <c r="I115" s="8">
        <f t="shared" ref="I115" si="47">SUBTOTAL(109,I109:I114)</f>
        <v>164969.8656349013</v>
      </c>
      <c r="J115" s="8">
        <f t="shared" ref="J115" si="48">SUBTOTAL(109,J109:J114)</f>
        <v>179747.89531524005</v>
      </c>
      <c r="K115" s="8">
        <f t="shared" ref="K115" si="49">SUBTOTAL(109,K109:K114)</f>
        <v>105979.8847419403</v>
      </c>
      <c r="L115" s="8">
        <f t="shared" ref="L115" si="50">SUBTOTAL(109,L109:L114)</f>
        <v>450697.64569208166</v>
      </c>
    </row>
    <row r="116" spans="1:12" ht="7.5" customHeight="1" x14ac:dyDescent="0.25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ht="15.75" x14ac:dyDescent="0.25">
      <c r="C117" s="22" t="s">
        <v>25</v>
      </c>
      <c r="D117" s="23">
        <f>H115-L115</f>
        <v>1636934.4905468505</v>
      </c>
      <c r="E117" s="13"/>
      <c r="F117" s="13"/>
      <c r="G117" s="13"/>
      <c r="H117" s="22" t="s">
        <v>23</v>
      </c>
      <c r="I117" s="23">
        <f>H115*0.977367434799383</f>
        <v>2040383.6658006012</v>
      </c>
    </row>
    <row r="118" spans="1:12" ht="15.75" x14ac:dyDescent="0.25">
      <c r="E118" s="13"/>
      <c r="H118" s="22" t="s">
        <v>24</v>
      </c>
      <c r="I118" s="23">
        <f>I117*0.21</f>
        <v>428480.56981812627</v>
      </c>
    </row>
    <row r="119" spans="1:12" ht="7.5" customHeight="1" x14ac:dyDescent="0.25">
      <c r="A119" s="14"/>
      <c r="B119" s="15"/>
      <c r="C119" s="17"/>
      <c r="D119" s="17"/>
      <c r="E119" s="17"/>
      <c r="F119" s="17"/>
      <c r="G119" s="17"/>
      <c r="H119" s="17"/>
      <c r="I119" s="17"/>
      <c r="J119" s="16"/>
      <c r="K119" s="16"/>
      <c r="L119" s="16"/>
    </row>
    <row r="120" spans="1:12" ht="7.5" customHeight="1" x14ac:dyDescent="0.25">
      <c r="I120" s="21"/>
    </row>
    <row r="121" spans="1:12" ht="17.25" x14ac:dyDescent="0.3">
      <c r="A121" s="10" t="s">
        <v>16</v>
      </c>
      <c r="B121" s="9" t="s">
        <v>33</v>
      </c>
      <c r="C121" s="9"/>
      <c r="I121" s="21"/>
    </row>
    <row r="122" spans="1:12" ht="6.75" customHeight="1" x14ac:dyDescent="0.25"/>
    <row r="123" spans="1:12" ht="30" x14ac:dyDescent="0.25">
      <c r="A123" s="18" t="s">
        <v>3</v>
      </c>
      <c r="B123" s="19" t="s">
        <v>21</v>
      </c>
      <c r="C123" s="19" t="s">
        <v>10</v>
      </c>
      <c r="D123" s="19" t="s">
        <v>0</v>
      </c>
      <c r="E123" s="19" t="s">
        <v>20</v>
      </c>
      <c r="F123" s="19" t="s">
        <v>2</v>
      </c>
      <c r="G123" s="20" t="s">
        <v>11</v>
      </c>
      <c r="H123" s="20" t="s">
        <v>1</v>
      </c>
      <c r="I123" s="19" t="s">
        <v>12</v>
      </c>
      <c r="J123" s="19" t="s">
        <v>13</v>
      </c>
      <c r="K123" s="19" t="s">
        <v>14</v>
      </c>
      <c r="L123" s="19" t="s">
        <v>15</v>
      </c>
    </row>
    <row r="124" spans="1:12" x14ac:dyDescent="0.25">
      <c r="A124" s="5" t="s">
        <v>7</v>
      </c>
      <c r="B124" s="1">
        <v>23</v>
      </c>
      <c r="C124" s="3">
        <v>431086.93</v>
      </c>
      <c r="D124" s="3">
        <v>0</v>
      </c>
      <c r="E124" s="3">
        <v>0</v>
      </c>
      <c r="F124" s="3">
        <v>12991.918434279069</v>
      </c>
      <c r="G124" s="3">
        <v>0</v>
      </c>
      <c r="H124" s="3">
        <f>SUM(Tabela2452610[[#This Row],[Salário Base Total (R$)]:[1/3 de Férias]])</f>
        <v>444078.84843427909</v>
      </c>
      <c r="I124" s="4">
        <v>21887.26</v>
      </c>
      <c r="J124" s="4">
        <v>91921.8</v>
      </c>
      <c r="K124" s="4">
        <f>47563.3*0.94</f>
        <v>44709.502</v>
      </c>
      <c r="L124" s="4">
        <f>SUM(Tabela2452610[[#This Row],[INSS]:[Outros Descontos]])</f>
        <v>158518.56200000001</v>
      </c>
    </row>
    <row r="125" spans="1:12" x14ac:dyDescent="0.25">
      <c r="A125" s="5" t="s">
        <v>4</v>
      </c>
      <c r="B125" s="1">
        <v>39</v>
      </c>
      <c r="C125" s="3">
        <v>134811.54815155128</v>
      </c>
      <c r="D125" s="3">
        <v>213796.35937237181</v>
      </c>
      <c r="E125" s="3">
        <v>11221.258220436517</v>
      </c>
      <c r="F125" s="3">
        <v>16327.70893226238</v>
      </c>
      <c r="G125" s="3">
        <v>3483.78</v>
      </c>
      <c r="H125" s="3">
        <f>SUM(Tabela2452610[[#This Row],[Salário Base Total (R$)]:[1/3 de Férias]])</f>
        <v>379640.65467662201</v>
      </c>
      <c r="I125" s="3">
        <f>I110/H110*H125</f>
        <v>33968.531625212614</v>
      </c>
      <c r="J125" s="3">
        <f>J110/H110*H125</f>
        <v>51982.375638252721</v>
      </c>
      <c r="K125" s="3">
        <f>K110/H110*H125</f>
        <v>25767.786642012928</v>
      </c>
      <c r="L125" s="4">
        <f>SUM(Tabela2452610[[#This Row],[INSS]:[Outros Descontos]])</f>
        <v>111718.69390547827</v>
      </c>
    </row>
    <row r="126" spans="1:12" x14ac:dyDescent="0.25">
      <c r="A126" s="5" t="s">
        <v>5</v>
      </c>
      <c r="B126" s="1">
        <v>440</v>
      </c>
      <c r="C126" s="3">
        <f>C111/B111*B126</f>
        <v>1179992.9230769232</v>
      </c>
      <c r="D126" s="3">
        <v>22046.924843072775</v>
      </c>
      <c r="E126" s="3">
        <v>0</v>
      </c>
      <c r="F126" s="3">
        <v>3446.0419927613475</v>
      </c>
      <c r="G126" s="3">
        <v>47712.66</v>
      </c>
      <c r="H126" s="3">
        <f>SUM(Tabela2452610[[#This Row],[Salário Base Total (R$)]:[1/3 de Férias]])</f>
        <v>1253198.5499127572</v>
      </c>
      <c r="I126" s="3">
        <f>I111/H111*H126</f>
        <v>110653.6445181701</v>
      </c>
      <c r="J126" s="3">
        <f>J111/H111*H126</f>
        <v>37391.523590667741</v>
      </c>
      <c r="K126" s="3">
        <f t="shared" ref="K126" si="51">K111/H111*H126</f>
        <v>30293.565778175598</v>
      </c>
      <c r="L126" s="4">
        <f>SUM(Tabela2452610[[#This Row],[INSS]:[Outros Descontos]])</f>
        <v>178338.73388701346</v>
      </c>
    </row>
    <row r="127" spans="1:12" x14ac:dyDescent="0.25">
      <c r="A127" s="5" t="s">
        <v>22</v>
      </c>
      <c r="B127" s="1">
        <v>1</v>
      </c>
      <c r="C127" s="3">
        <v>4452.1899999999996</v>
      </c>
      <c r="D127" s="3">
        <v>0</v>
      </c>
      <c r="E127" s="3">
        <v>0</v>
      </c>
      <c r="F127" s="3">
        <v>0</v>
      </c>
      <c r="G127" s="3">
        <v>0</v>
      </c>
      <c r="H127" s="3">
        <v>4452.1899999999996</v>
      </c>
      <c r="I127" s="3">
        <v>0</v>
      </c>
      <c r="J127" s="28">
        <v>21.68</v>
      </c>
      <c r="K127" s="3">
        <v>0</v>
      </c>
      <c r="L127" s="4">
        <v>21.68</v>
      </c>
    </row>
    <row r="128" spans="1:12" x14ac:dyDescent="0.25">
      <c r="A128" s="5" t="s">
        <v>6</v>
      </c>
      <c r="B128" s="1">
        <v>4</v>
      </c>
      <c r="C128" s="3">
        <v>13979.66</v>
      </c>
      <c r="D128" s="3">
        <v>0</v>
      </c>
      <c r="E128" s="3">
        <v>0</v>
      </c>
      <c r="F128" s="3">
        <v>0</v>
      </c>
      <c r="G128" s="3">
        <v>0</v>
      </c>
      <c r="H128" s="3">
        <v>13979.66</v>
      </c>
      <c r="I128" s="3">
        <v>0</v>
      </c>
      <c r="J128" s="3">
        <v>190.32999999999998</v>
      </c>
      <c r="K128" s="3">
        <v>1853.81</v>
      </c>
      <c r="L128" s="4">
        <v>2044.1399999999999</v>
      </c>
    </row>
    <row r="129" spans="1:12" x14ac:dyDescent="0.25">
      <c r="A129" s="5" t="s">
        <v>8</v>
      </c>
      <c r="B129" s="1">
        <v>9</v>
      </c>
      <c r="C129" s="3">
        <v>8607.06</v>
      </c>
      <c r="D129" s="3">
        <v>956.34</v>
      </c>
      <c r="E129" s="3">
        <v>0</v>
      </c>
      <c r="F129" s="3">
        <v>0</v>
      </c>
      <c r="G129" s="3">
        <v>0</v>
      </c>
      <c r="H129" s="3">
        <v>9563.4</v>
      </c>
      <c r="I129" s="3">
        <v>0</v>
      </c>
      <c r="J129" s="3">
        <v>0</v>
      </c>
      <c r="K129" s="3">
        <v>0</v>
      </c>
      <c r="L129" s="4">
        <v>0</v>
      </c>
    </row>
    <row r="130" spans="1:12" ht="15.75" x14ac:dyDescent="0.25">
      <c r="A130" s="6" t="s">
        <v>9</v>
      </c>
      <c r="B130" s="7">
        <f t="shared" ref="B130" si="52">SUBTOTAL(109,B124:B129)</f>
        <v>516</v>
      </c>
      <c r="C130" s="8">
        <f>SUBTOTAL(109,C124:C129)</f>
        <v>1772930.3112284744</v>
      </c>
      <c r="D130" s="8">
        <f t="shared" ref="D130" si="53">SUBTOTAL(109,D124:D129)</f>
        <v>236799.62421544458</v>
      </c>
      <c r="E130" s="8">
        <f t="shared" ref="E130" si="54">SUBTOTAL(109,E124:E129)</f>
        <v>11221.258220436517</v>
      </c>
      <c r="F130" s="8">
        <f t="shared" ref="F130" si="55">SUBTOTAL(109,F124:F129)</f>
        <v>32765.669359302796</v>
      </c>
      <c r="G130" s="8">
        <f t="shared" ref="G130" si="56">SUBTOTAL(109,G124:G129)</f>
        <v>51196.44</v>
      </c>
      <c r="H130" s="8">
        <f t="shared" ref="H130" si="57">SUBTOTAL(109,H124:H129)</f>
        <v>2104913.3030236582</v>
      </c>
      <c r="I130" s="8">
        <f t="shared" ref="I130" si="58">SUBTOTAL(109,I124:I129)</f>
        <v>166509.43614338271</v>
      </c>
      <c r="J130" s="8">
        <f t="shared" ref="J130" si="59">SUBTOTAL(109,J124:J129)</f>
        <v>181507.70922892043</v>
      </c>
      <c r="K130" s="8">
        <f t="shared" ref="K130" si="60">SUBTOTAL(109,K124:K129)</f>
        <v>102624.66442018852</v>
      </c>
      <c r="L130" s="8">
        <f t="shared" ref="L130" si="61">SUBTOTAL(109,L124:L129)</f>
        <v>450641.80979249172</v>
      </c>
    </row>
    <row r="131" spans="1:12" ht="7.5" customHeight="1" x14ac:dyDescent="0.2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ht="15.75" x14ac:dyDescent="0.25">
      <c r="C132" s="22" t="s">
        <v>25</v>
      </c>
      <c r="D132" s="23">
        <f>H130-L130</f>
        <v>1654271.4932311666</v>
      </c>
      <c r="E132" s="13"/>
      <c r="F132" s="13"/>
      <c r="G132" s="13"/>
      <c r="H132" s="22" t="s">
        <v>23</v>
      </c>
      <c r="I132" s="23">
        <f>H130*0.977367434799383</f>
        <v>2057273.7154513292</v>
      </c>
    </row>
    <row r="133" spans="1:12" ht="15.75" x14ac:dyDescent="0.25">
      <c r="E133" s="13"/>
      <c r="H133" s="22" t="s">
        <v>24</v>
      </c>
      <c r="I133" s="23">
        <f>I132*0.21</f>
        <v>432027.48024477914</v>
      </c>
    </row>
    <row r="134" spans="1:12" ht="7.5" customHeight="1" x14ac:dyDescent="0.25">
      <c r="A134" s="14"/>
      <c r="B134" s="15"/>
      <c r="C134" s="17"/>
      <c r="D134" s="17"/>
      <c r="E134" s="17"/>
      <c r="F134" s="17"/>
      <c r="G134" s="17"/>
      <c r="H134" s="17"/>
      <c r="I134" s="17"/>
      <c r="J134" s="16"/>
      <c r="K134" s="16"/>
      <c r="L134" s="16"/>
    </row>
    <row r="135" spans="1:12" ht="7.5" customHeight="1" x14ac:dyDescent="0.25">
      <c r="I135" s="21"/>
    </row>
    <row r="136" spans="1:12" ht="17.25" x14ac:dyDescent="0.3">
      <c r="A136" s="10" t="s">
        <v>16</v>
      </c>
      <c r="B136" s="9" t="s">
        <v>34</v>
      </c>
      <c r="C136" s="9"/>
      <c r="I136" s="21"/>
    </row>
    <row r="137" spans="1:12" ht="6.75" customHeight="1" x14ac:dyDescent="0.25"/>
    <row r="138" spans="1:12" ht="30" x14ac:dyDescent="0.25">
      <c r="A138" s="18" t="s">
        <v>3</v>
      </c>
      <c r="B138" s="19" t="s">
        <v>21</v>
      </c>
      <c r="C138" s="19" t="s">
        <v>10</v>
      </c>
      <c r="D138" s="19" t="s">
        <v>0</v>
      </c>
      <c r="E138" s="19" t="s">
        <v>20</v>
      </c>
      <c r="F138" s="19" t="s">
        <v>2</v>
      </c>
      <c r="G138" s="20" t="s">
        <v>11</v>
      </c>
      <c r="H138" s="20" t="s">
        <v>1</v>
      </c>
      <c r="I138" s="19" t="s">
        <v>12</v>
      </c>
      <c r="J138" s="19" t="s">
        <v>13</v>
      </c>
      <c r="K138" s="19" t="s">
        <v>14</v>
      </c>
      <c r="L138" s="19" t="s">
        <v>15</v>
      </c>
    </row>
    <row r="139" spans="1:12" x14ac:dyDescent="0.25">
      <c r="A139" s="5" t="s">
        <v>7</v>
      </c>
      <c r="B139" s="1">
        <v>23</v>
      </c>
      <c r="C139" s="3">
        <v>431086.93</v>
      </c>
      <c r="D139" s="3">
        <v>0</v>
      </c>
      <c r="E139" s="3">
        <v>0</v>
      </c>
      <c r="F139" s="3">
        <v>14303.225529261981</v>
      </c>
      <c r="G139" s="3">
        <v>0</v>
      </c>
      <c r="H139" s="3">
        <f>SUM(Tabela2452611[[#This Row],[Salário Base Total (R$)]:[1/3 de Férias]])</f>
        <v>445390.15552926197</v>
      </c>
      <c r="I139" s="4">
        <v>21887.26</v>
      </c>
      <c r="J139" s="4">
        <v>91921.8</v>
      </c>
      <c r="K139" s="4">
        <f>47563.3*1.035</f>
        <v>49228.015500000001</v>
      </c>
      <c r="L139" s="4">
        <f>SUM(Tabela2452611[[#This Row],[INSS]:[Outros Descontos]])</f>
        <v>163037.07550000001</v>
      </c>
    </row>
    <row r="140" spans="1:12" x14ac:dyDescent="0.25">
      <c r="A140" s="5" t="s">
        <v>4</v>
      </c>
      <c r="B140" s="1">
        <v>39</v>
      </c>
      <c r="C140" s="3">
        <v>136200.44929965702</v>
      </c>
      <c r="D140" s="3">
        <v>220710.54754688218</v>
      </c>
      <c r="E140" s="3">
        <v>12422.232617680915</v>
      </c>
      <c r="F140" s="3">
        <v>18067.273570608813</v>
      </c>
      <c r="G140" s="3">
        <v>3483.78</v>
      </c>
      <c r="H140" s="3">
        <f>SUM(Tabela2452611[[#This Row],[Salário Base Total (R$)]:[1/3 de Férias]])</f>
        <v>390884.28303482896</v>
      </c>
      <c r="I140" s="3">
        <f>I125/H125*H140</f>
        <v>34974.560723421862</v>
      </c>
      <c r="J140" s="3">
        <f>J125/H125*H140</f>
        <v>53521.911790804865</v>
      </c>
      <c r="K140" s="3">
        <f>K125/H125*H140</f>
        <v>26530.938356792129</v>
      </c>
      <c r="L140" s="4">
        <f>SUM(Tabela2452611[[#This Row],[INSS]:[Outros Descontos]])</f>
        <v>115027.41087101886</v>
      </c>
    </row>
    <row r="141" spans="1:12" x14ac:dyDescent="0.25">
      <c r="A141" s="5" t="s">
        <v>5</v>
      </c>
      <c r="B141" s="1">
        <v>439</v>
      </c>
      <c r="C141" s="3">
        <f>C126/B126*B141</f>
        <v>1177311.1209790213</v>
      </c>
      <c r="D141" s="3">
        <v>22291.428636031807</v>
      </c>
      <c r="E141" s="3">
        <v>0</v>
      </c>
      <c r="F141" s="3">
        <v>3491.071360464819</v>
      </c>
      <c r="G141" s="3">
        <v>47712.66</v>
      </c>
      <c r="H141" s="3">
        <f>SUM(Tabela2452611[[#This Row],[Salário Base Total (R$)]:[1/3 de Férias]])</f>
        <v>1250806.2809755178</v>
      </c>
      <c r="I141" s="3">
        <f>I126/H126*H141</f>
        <v>110442.41440096994</v>
      </c>
      <c r="J141" s="3">
        <f>J126/H126*H141</f>
        <v>37320.145770761839</v>
      </c>
      <c r="K141" s="3">
        <f t="shared" ref="K141" si="62">K126/H126*H141</f>
        <v>30235.737466441282</v>
      </c>
      <c r="L141" s="4">
        <f>SUM(Tabela2452611[[#This Row],[INSS]:[Outros Descontos]])</f>
        <v>177998.29763817307</v>
      </c>
    </row>
    <row r="142" spans="1:12" x14ac:dyDescent="0.25">
      <c r="A142" s="5" t="s">
        <v>22</v>
      </c>
      <c r="B142" s="1">
        <v>1</v>
      </c>
      <c r="C142" s="3">
        <v>4452.1899999999996</v>
      </c>
      <c r="D142" s="3">
        <v>0</v>
      </c>
      <c r="E142" s="3">
        <v>0</v>
      </c>
      <c r="F142" s="3">
        <v>0</v>
      </c>
      <c r="G142" s="3">
        <v>0</v>
      </c>
      <c r="H142" s="3">
        <v>4452.1899999999996</v>
      </c>
      <c r="I142" s="3">
        <v>0</v>
      </c>
      <c r="J142" s="28">
        <v>21.68</v>
      </c>
      <c r="K142" s="3">
        <v>0</v>
      </c>
      <c r="L142" s="4">
        <v>21.68</v>
      </c>
    </row>
    <row r="143" spans="1:12" x14ac:dyDescent="0.25">
      <c r="A143" s="5" t="s">
        <v>6</v>
      </c>
      <c r="B143" s="1">
        <v>4</v>
      </c>
      <c r="C143" s="3">
        <v>13979.66</v>
      </c>
      <c r="D143" s="3">
        <v>0</v>
      </c>
      <c r="E143" s="3">
        <v>0</v>
      </c>
      <c r="F143" s="3">
        <v>0</v>
      </c>
      <c r="G143" s="3">
        <v>0</v>
      </c>
      <c r="H143" s="3">
        <v>13979.66</v>
      </c>
      <c r="I143" s="3">
        <v>0</v>
      </c>
      <c r="J143" s="3">
        <v>190.32999999999998</v>
      </c>
      <c r="K143" s="3">
        <v>1853.81</v>
      </c>
      <c r="L143" s="4">
        <v>2044.1399999999999</v>
      </c>
    </row>
    <row r="144" spans="1:12" x14ac:dyDescent="0.25">
      <c r="A144" s="5" t="s">
        <v>8</v>
      </c>
      <c r="B144" s="1">
        <v>9</v>
      </c>
      <c r="C144" s="3">
        <v>8607.06</v>
      </c>
      <c r="D144" s="3">
        <v>956.34</v>
      </c>
      <c r="E144" s="3">
        <v>0</v>
      </c>
      <c r="F144" s="3">
        <v>0</v>
      </c>
      <c r="G144" s="3">
        <v>0</v>
      </c>
      <c r="H144" s="3">
        <v>9563.4</v>
      </c>
      <c r="I144" s="3">
        <v>0</v>
      </c>
      <c r="J144" s="3">
        <v>0</v>
      </c>
      <c r="K144" s="3">
        <v>0</v>
      </c>
      <c r="L144" s="4">
        <v>0</v>
      </c>
    </row>
    <row r="145" spans="1:12" ht="15.75" x14ac:dyDescent="0.25">
      <c r="A145" s="6" t="s">
        <v>9</v>
      </c>
      <c r="B145" s="7">
        <f t="shared" ref="B145" si="63">SUBTOTAL(109,B139:B144)</f>
        <v>515</v>
      </c>
      <c r="C145" s="8">
        <f>SUBTOTAL(109,C139:C144)</f>
        <v>1771637.4102786782</v>
      </c>
      <c r="D145" s="8">
        <f t="shared" ref="D145" si="64">SUBTOTAL(109,D139:D144)</f>
        <v>243958.31618291399</v>
      </c>
      <c r="E145" s="8">
        <f t="shared" ref="E145" si="65">SUBTOTAL(109,E139:E144)</f>
        <v>12422.232617680915</v>
      </c>
      <c r="F145" s="8">
        <f t="shared" ref="F145" si="66">SUBTOTAL(109,F139:F144)</f>
        <v>35861.570460335613</v>
      </c>
      <c r="G145" s="8">
        <f t="shared" ref="G145" si="67">SUBTOTAL(109,G139:G144)</f>
        <v>51196.44</v>
      </c>
      <c r="H145" s="8">
        <f t="shared" ref="H145" si="68">SUBTOTAL(109,H139:H144)</f>
        <v>2115075.9695396088</v>
      </c>
      <c r="I145" s="8">
        <f t="shared" ref="I145" si="69">SUBTOTAL(109,I139:I144)</f>
        <v>167304.23512439179</v>
      </c>
      <c r="J145" s="8">
        <f t="shared" ref="J145" si="70">SUBTOTAL(109,J139:J144)</f>
        <v>182975.86756156667</v>
      </c>
      <c r="K145" s="8">
        <f t="shared" ref="K145" si="71">SUBTOTAL(109,K139:K144)</f>
        <v>107848.5013232334</v>
      </c>
      <c r="L145" s="8">
        <f t="shared" ref="L145" si="72">SUBTOTAL(109,L139:L144)</f>
        <v>458128.60400919191</v>
      </c>
    </row>
    <row r="146" spans="1:12" ht="7.5" customHeight="1" x14ac:dyDescent="0.25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 ht="15.75" x14ac:dyDescent="0.25">
      <c r="C147" s="22" t="s">
        <v>25</v>
      </c>
      <c r="D147" s="23">
        <f>H145-L145</f>
        <v>1656947.3655304168</v>
      </c>
      <c r="E147" s="13"/>
      <c r="F147" s="13"/>
      <c r="G147" s="13"/>
      <c r="H147" s="22" t="s">
        <v>23</v>
      </c>
      <c r="I147" s="23">
        <f>H145*0.977367434799383</f>
        <v>2067206.3747547455</v>
      </c>
    </row>
    <row r="148" spans="1:12" ht="15.75" x14ac:dyDescent="0.25">
      <c r="E148" s="13"/>
      <c r="H148" s="22" t="s">
        <v>24</v>
      </c>
      <c r="I148" s="23">
        <f>I147*0.21</f>
        <v>434113.33869849652</v>
      </c>
    </row>
    <row r="149" spans="1:12" ht="7.5" customHeight="1" x14ac:dyDescent="0.25">
      <c r="A149" s="14"/>
      <c r="B149" s="15"/>
      <c r="C149" s="17"/>
      <c r="D149" s="17"/>
      <c r="E149" s="17"/>
      <c r="F149" s="17"/>
      <c r="G149" s="17"/>
      <c r="H149" s="17"/>
      <c r="I149" s="17"/>
      <c r="J149" s="16"/>
      <c r="K149" s="16"/>
      <c r="L149" s="16"/>
    </row>
    <row r="150" spans="1:12" ht="7.5" customHeight="1" x14ac:dyDescent="0.25">
      <c r="I150" s="21"/>
    </row>
    <row r="151" spans="1:12" ht="17.25" x14ac:dyDescent="0.3">
      <c r="A151" s="10" t="s">
        <v>16</v>
      </c>
      <c r="B151" s="9" t="s">
        <v>35</v>
      </c>
      <c r="C151" s="9"/>
      <c r="I151" s="21"/>
    </row>
    <row r="152" spans="1:12" ht="6.75" customHeight="1" x14ac:dyDescent="0.25"/>
    <row r="153" spans="1:12" ht="30" x14ac:dyDescent="0.25">
      <c r="A153" s="18" t="s">
        <v>3</v>
      </c>
      <c r="B153" s="19" t="s">
        <v>21</v>
      </c>
      <c r="C153" s="19" t="s">
        <v>10</v>
      </c>
      <c r="D153" s="19" t="s">
        <v>0</v>
      </c>
      <c r="E153" s="19" t="s">
        <v>20</v>
      </c>
      <c r="F153" s="19" t="s">
        <v>2</v>
      </c>
      <c r="G153" s="20" t="s">
        <v>11</v>
      </c>
      <c r="H153" s="20" t="s">
        <v>1</v>
      </c>
      <c r="I153" s="19" t="s">
        <v>12</v>
      </c>
      <c r="J153" s="19" t="s">
        <v>13</v>
      </c>
      <c r="K153" s="19" t="s">
        <v>14</v>
      </c>
      <c r="L153" s="19" t="s">
        <v>15</v>
      </c>
    </row>
    <row r="154" spans="1:12" x14ac:dyDescent="0.25">
      <c r="A154" s="5" t="s">
        <v>7</v>
      </c>
      <c r="B154" s="1">
        <v>23</v>
      </c>
      <c r="C154" s="3">
        <v>431086.93</v>
      </c>
      <c r="D154" s="3">
        <v>0</v>
      </c>
      <c r="E154" s="3">
        <v>0</v>
      </c>
      <c r="F154" s="3">
        <v>14740.145775549172</v>
      </c>
      <c r="G154" s="3">
        <v>0</v>
      </c>
      <c r="H154" s="3">
        <f>SUM(Tabela2452612[[#This Row],[Salário Base Total (R$)]:[1/3 de Férias]])</f>
        <v>445827.07577554916</v>
      </c>
      <c r="I154" s="4">
        <v>21887.26</v>
      </c>
      <c r="J154" s="4">
        <v>91921.8</v>
      </c>
      <c r="K154" s="4">
        <f>47563.3*0.992</f>
        <v>47182.793600000005</v>
      </c>
      <c r="L154" s="4">
        <f>SUM(Tabela2452612[[#This Row],[INSS]:[Outros Descontos]])</f>
        <v>160991.8536</v>
      </c>
    </row>
    <row r="155" spans="1:12" x14ac:dyDescent="0.25">
      <c r="A155" s="5" t="s">
        <v>4</v>
      </c>
      <c r="B155" s="1">
        <v>39</v>
      </c>
      <c r="C155" s="3">
        <v>137635.6471527</v>
      </c>
      <c r="D155" s="3">
        <v>227855.20866054483</v>
      </c>
      <c r="E155" s="3">
        <v>13663.23949483363</v>
      </c>
      <c r="F155" s="3">
        <v>19864.823696900159</v>
      </c>
      <c r="G155" s="3">
        <v>3483.78</v>
      </c>
      <c r="H155" s="3">
        <f>SUM(Tabela2452612[[#This Row],[Salário Base Total (R$)]:[1/3 de Férias]])</f>
        <v>402502.69900497864</v>
      </c>
      <c r="I155" s="3">
        <f>I140/H140*H155</f>
        <v>36014.124124904978</v>
      </c>
      <c r="J155" s="3">
        <f>J140/H140*H155</f>
        <v>55112.765815109087</v>
      </c>
      <c r="K155" s="3">
        <f>K140/H140*H155</f>
        <v>27319.52846206414</v>
      </c>
      <c r="L155" s="4">
        <f>SUM(Tabela2452612[[#This Row],[INSS]:[Outros Descontos]])</f>
        <v>118446.41840207821</v>
      </c>
    </row>
    <row r="156" spans="1:12" x14ac:dyDescent="0.25">
      <c r="A156" s="5" t="s">
        <v>5</v>
      </c>
      <c r="B156" s="1">
        <v>440</v>
      </c>
      <c r="C156" s="3">
        <f>C141/B141*B156</f>
        <v>1179992.9230769232</v>
      </c>
      <c r="D156" s="3">
        <v>22544.082555422734</v>
      </c>
      <c r="E156" s="3">
        <v>0</v>
      </c>
      <c r="F156" s="3">
        <v>3537.6017070917369</v>
      </c>
      <c r="G156" s="3">
        <v>47712.66</v>
      </c>
      <c r="H156" s="3">
        <f>SUM(Tabela2452612[[#This Row],[Salário Base Total (R$)]:[1/3 de Férias]])</f>
        <v>1253787.2673394377</v>
      </c>
      <c r="I156" s="3">
        <f>I141/H141*H156</f>
        <v>110705.62648771363</v>
      </c>
      <c r="J156" s="3">
        <f>J141/H141*H156</f>
        <v>37409.089076639211</v>
      </c>
      <c r="K156" s="3">
        <f t="shared" ref="K156" si="73">K141/H141*H156</f>
        <v>30307.796843230011</v>
      </c>
      <c r="L156" s="4">
        <f>SUM(Tabela2452612[[#This Row],[INSS]:[Outros Descontos]])</f>
        <v>178422.51240758284</v>
      </c>
    </row>
    <row r="157" spans="1:12" x14ac:dyDescent="0.25">
      <c r="A157" s="5" t="s">
        <v>22</v>
      </c>
      <c r="B157" s="1">
        <v>1</v>
      </c>
      <c r="C157" s="3">
        <v>4452.1899999999996</v>
      </c>
      <c r="D157" s="3">
        <v>0</v>
      </c>
      <c r="E157" s="3">
        <v>0</v>
      </c>
      <c r="F157" s="3">
        <v>0</v>
      </c>
      <c r="G157" s="3">
        <v>0</v>
      </c>
      <c r="H157" s="3">
        <f>SUM(Tabela2452612[[#This Row],[Salário Base Total (R$)]:[1/3 de Férias]])</f>
        <v>4452.1899999999996</v>
      </c>
      <c r="I157" s="3">
        <v>0</v>
      </c>
      <c r="J157" s="28">
        <v>21.68</v>
      </c>
      <c r="K157" s="3">
        <v>0</v>
      </c>
      <c r="L157" s="4">
        <f>SUM(Tabela2452612[[#This Row],[INSS]:[Outros Descontos]])</f>
        <v>21.68</v>
      </c>
    </row>
    <row r="158" spans="1:12" x14ac:dyDescent="0.25">
      <c r="A158" s="5" t="s">
        <v>6</v>
      </c>
      <c r="B158" s="1">
        <v>4</v>
      </c>
      <c r="C158" s="3">
        <v>13979.66</v>
      </c>
      <c r="D158" s="3">
        <v>0</v>
      </c>
      <c r="E158" s="3">
        <v>0</v>
      </c>
      <c r="F158" s="3">
        <v>0</v>
      </c>
      <c r="G158" s="3">
        <v>0</v>
      </c>
      <c r="H158" s="3">
        <f>SUM(Tabela2452612[[#This Row],[Salário Base Total (R$)]:[1/3 de Férias]])</f>
        <v>13979.66</v>
      </c>
      <c r="I158" s="3">
        <v>0</v>
      </c>
      <c r="J158" s="3">
        <v>190.32999999999998</v>
      </c>
      <c r="K158" s="3">
        <v>1853.81</v>
      </c>
      <c r="L158" s="4">
        <f>SUM(Tabela2452612[[#This Row],[INSS]:[Outros Descontos]])</f>
        <v>2044.1399999999999</v>
      </c>
    </row>
    <row r="159" spans="1:12" x14ac:dyDescent="0.25">
      <c r="A159" s="5" t="s">
        <v>8</v>
      </c>
      <c r="B159" s="1">
        <v>9</v>
      </c>
      <c r="C159" s="3">
        <v>8607.06</v>
      </c>
      <c r="D159" s="3">
        <v>956.34</v>
      </c>
      <c r="E159" s="3">
        <v>0</v>
      </c>
      <c r="F159" s="3">
        <v>0</v>
      </c>
      <c r="G159" s="3">
        <v>0</v>
      </c>
      <c r="H159" s="3">
        <f>SUM(Tabela2452612[[#This Row],[Salário Base Total (R$)]:[1/3 de Férias]])</f>
        <v>9563.4</v>
      </c>
      <c r="I159" s="3">
        <v>0</v>
      </c>
      <c r="J159" s="3">
        <v>0</v>
      </c>
      <c r="K159" s="3">
        <v>0</v>
      </c>
      <c r="L159" s="4">
        <f>SUM(Tabela2452612[[#This Row],[INSS]:[Outros Descontos]])</f>
        <v>0</v>
      </c>
    </row>
    <row r="160" spans="1:12" ht="15.75" x14ac:dyDescent="0.25">
      <c r="A160" s="6" t="s">
        <v>9</v>
      </c>
      <c r="B160" s="7">
        <f t="shared" ref="B160" si="74">SUBTOTAL(109,B154:B159)</f>
        <v>516</v>
      </c>
      <c r="C160" s="8">
        <f>SUBTOTAL(109,C154:C159)</f>
        <v>1775754.4102296231</v>
      </c>
      <c r="D160" s="8">
        <f t="shared" ref="D160" si="75">SUBTOTAL(109,D154:D159)</f>
        <v>251355.63121596756</v>
      </c>
      <c r="E160" s="8">
        <f t="shared" ref="E160" si="76">SUBTOTAL(109,E154:E159)</f>
        <v>13663.23949483363</v>
      </c>
      <c r="F160" s="8">
        <f t="shared" ref="F160" si="77">SUBTOTAL(109,F154:F159)</f>
        <v>38142.571179541068</v>
      </c>
      <c r="G160" s="8">
        <f t="shared" ref="G160" si="78">SUBTOTAL(109,G154:G159)</f>
        <v>51196.44</v>
      </c>
      <c r="H160" s="8">
        <f t="shared" ref="H160" si="79">SUBTOTAL(109,H154:H159)</f>
        <v>2130112.2921199654</v>
      </c>
      <c r="I160" s="8">
        <f t="shared" ref="I160" si="80">SUBTOTAL(109,I154:I159)</f>
        <v>168607.01061261859</v>
      </c>
      <c r="J160" s="8">
        <f t="shared" ref="J160" si="81">SUBTOTAL(109,J154:J159)</f>
        <v>184655.66489174828</v>
      </c>
      <c r="K160" s="8">
        <f t="shared" ref="K160" si="82">SUBTOTAL(109,K154:K159)</f>
        <v>106663.92890529415</v>
      </c>
      <c r="L160" s="8">
        <f t="shared" ref="L160" si="83">SUBTOTAL(109,L154:L159)</f>
        <v>459926.60440966109</v>
      </c>
    </row>
    <row r="161" spans="1:12" ht="7.5" customHeight="1" x14ac:dyDescent="0.25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spans="1:12" ht="15.75" x14ac:dyDescent="0.25">
      <c r="C162" s="22" t="s">
        <v>25</v>
      </c>
      <c r="D162" s="23">
        <f>H160-L160</f>
        <v>1670185.6877103043</v>
      </c>
      <c r="E162" s="13"/>
      <c r="F162" s="13"/>
      <c r="G162" s="13"/>
      <c r="H162" s="22" t="s">
        <v>23</v>
      </c>
      <c r="I162" s="23">
        <f>H160*0.977367434799383</f>
        <v>2081902.3867839247</v>
      </c>
    </row>
    <row r="163" spans="1:12" ht="15.75" x14ac:dyDescent="0.25">
      <c r="E163" s="13"/>
      <c r="H163" s="22" t="s">
        <v>24</v>
      </c>
      <c r="I163" s="23">
        <f>I162*0.21</f>
        <v>437199.50122462417</v>
      </c>
    </row>
    <row r="164" spans="1:12" ht="7.5" customHeight="1" x14ac:dyDescent="0.25">
      <c r="A164" s="14"/>
      <c r="B164" s="15"/>
      <c r="C164" s="17"/>
      <c r="D164" s="17"/>
      <c r="E164" s="17"/>
      <c r="F164" s="17"/>
      <c r="G164" s="17"/>
      <c r="H164" s="17"/>
      <c r="I164" s="17"/>
      <c r="J164" s="16"/>
      <c r="K164" s="16"/>
      <c r="L164" s="16"/>
    </row>
    <row r="165" spans="1:12" ht="7.5" customHeight="1" x14ac:dyDescent="0.25">
      <c r="I165" s="21"/>
    </row>
    <row r="166" spans="1:12" ht="17.25" x14ac:dyDescent="0.3">
      <c r="A166" s="10" t="s">
        <v>16</v>
      </c>
      <c r="B166" s="9" t="s">
        <v>36</v>
      </c>
      <c r="C166" s="9"/>
      <c r="I166" s="21"/>
    </row>
    <row r="167" spans="1:12" ht="6.75" customHeight="1" x14ac:dyDescent="0.25"/>
    <row r="168" spans="1:12" ht="30" x14ac:dyDescent="0.25">
      <c r="A168" s="18" t="s">
        <v>3</v>
      </c>
      <c r="B168" s="19" t="s">
        <v>21</v>
      </c>
      <c r="C168" s="19" t="s">
        <v>10</v>
      </c>
      <c r="D168" s="19" t="s">
        <v>0</v>
      </c>
      <c r="E168" s="19" t="s">
        <v>20</v>
      </c>
      <c r="F168" s="19" t="s">
        <v>2</v>
      </c>
      <c r="G168" s="20" t="s">
        <v>11</v>
      </c>
      <c r="H168" s="20" t="s">
        <v>1</v>
      </c>
      <c r="I168" s="19" t="s">
        <v>12</v>
      </c>
      <c r="J168" s="19" t="s">
        <v>13</v>
      </c>
      <c r="K168" s="19" t="s">
        <v>14</v>
      </c>
      <c r="L168" s="19" t="s">
        <v>15</v>
      </c>
    </row>
    <row r="169" spans="1:12" x14ac:dyDescent="0.25">
      <c r="A169" s="5" t="s">
        <v>7</v>
      </c>
      <c r="B169" s="1">
        <v>23</v>
      </c>
      <c r="C169" s="3">
        <v>431086.93</v>
      </c>
      <c r="D169" s="3">
        <v>0</v>
      </c>
      <c r="E169" s="3">
        <v>0</v>
      </c>
      <c r="F169" s="3">
        <v>15745.530158517795</v>
      </c>
      <c r="G169" s="3">
        <v>0</v>
      </c>
      <c r="H169" s="3">
        <f>SUM(Tabela2452613[[#This Row],[Salário Base Total (R$)]:[1/3 de Férias]])</f>
        <v>446832.46015851782</v>
      </c>
      <c r="I169" s="4">
        <v>21887.26</v>
      </c>
      <c r="J169" s="4">
        <v>91921.8</v>
      </c>
      <c r="K169" s="4">
        <f>47563.3*1.022</f>
        <v>48609.692600000002</v>
      </c>
      <c r="L169" s="4">
        <f>SUM(Tabela2452613[[#This Row],[INSS]:[Outros Descontos]])</f>
        <v>162418.75260000001</v>
      </c>
    </row>
    <row r="170" spans="1:12" x14ac:dyDescent="0.25">
      <c r="A170" s="5" t="s">
        <v>4</v>
      </c>
      <c r="B170" s="1">
        <v>39</v>
      </c>
      <c r="C170" s="3">
        <v>139024.54830080573</v>
      </c>
      <c r="D170" s="3">
        <v>234769.39683505893</v>
      </c>
      <c r="E170" s="3">
        <v>14864.213892078027</v>
      </c>
      <c r="F170" s="3">
        <v>21604.388335247524</v>
      </c>
      <c r="G170" s="3">
        <v>3483.78</v>
      </c>
      <c r="H170" s="3">
        <f>SUM(Tabela2452613[[#This Row],[Salário Base Total (R$)]:[1/3 de Férias]])</f>
        <v>413746.32736319024</v>
      </c>
      <c r="I170" s="3">
        <f>I155/H155*H170</f>
        <v>37020.153223114641</v>
      </c>
      <c r="J170" s="3">
        <f>J155/H155*H170</f>
        <v>56652.301967661871</v>
      </c>
      <c r="K170" s="3">
        <f>K155/H155*H170</f>
        <v>28082.680176843656</v>
      </c>
      <c r="L170" s="4">
        <f>SUM(Tabela2452613[[#This Row],[INSS]:[Outros Descontos]])</f>
        <v>121755.13536762017</v>
      </c>
    </row>
    <row r="171" spans="1:12" x14ac:dyDescent="0.25">
      <c r="A171" s="5" t="s">
        <v>5</v>
      </c>
      <c r="B171" s="1">
        <v>435</v>
      </c>
      <c r="C171" s="3">
        <f>C156/B156*B171</f>
        <v>1166583.9125874129</v>
      </c>
      <c r="D171" s="3">
        <v>22788.586348381767</v>
      </c>
      <c r="E171" s="3">
        <v>0</v>
      </c>
      <c r="F171" s="3">
        <v>3582.6310747952011</v>
      </c>
      <c r="G171" s="3">
        <v>47712.66</v>
      </c>
      <c r="H171" s="3">
        <f>SUM(Tabela2452613[[#This Row],[Salário Base Total (R$)]:[1/3 de Férias]])</f>
        <v>1240667.7900105899</v>
      </c>
      <c r="I171" s="3">
        <f>I156/H156*H171</f>
        <v>109547.21628949596</v>
      </c>
      <c r="J171" s="3">
        <f>J156/H156*H171</f>
        <v>37017.644922739579</v>
      </c>
      <c r="K171" s="3">
        <f>K156/H156*H171</f>
        <v>29990.659746746456</v>
      </c>
      <c r="L171" s="4">
        <f>SUM(Tabela2452613[[#This Row],[INSS]:[Outros Descontos]])</f>
        <v>176555.52095898197</v>
      </c>
    </row>
    <row r="172" spans="1:12" x14ac:dyDescent="0.25">
      <c r="A172" s="5" t="s">
        <v>22</v>
      </c>
      <c r="B172" s="1">
        <v>1</v>
      </c>
      <c r="C172" s="3">
        <v>4452.1899999999996</v>
      </c>
      <c r="D172" s="3">
        <v>0</v>
      </c>
      <c r="E172" s="3">
        <v>0</v>
      </c>
      <c r="F172" s="3">
        <v>0</v>
      </c>
      <c r="G172" s="3">
        <v>0</v>
      </c>
      <c r="H172" s="3">
        <f>SUM(Tabela2452613[[#This Row],[Salário Base Total (R$)]:[1/3 de Férias]])</f>
        <v>4452.1899999999996</v>
      </c>
      <c r="I172" s="3">
        <v>0</v>
      </c>
      <c r="J172" s="28">
        <v>21.68</v>
      </c>
      <c r="K172" s="3">
        <v>0</v>
      </c>
      <c r="L172" s="4">
        <f>SUM(Tabela2452613[[#This Row],[INSS]:[Outros Descontos]])</f>
        <v>21.68</v>
      </c>
    </row>
    <row r="173" spans="1:12" x14ac:dyDescent="0.25">
      <c r="A173" s="5" t="s">
        <v>6</v>
      </c>
      <c r="B173" s="1">
        <v>4</v>
      </c>
      <c r="C173" s="3">
        <v>13979.66</v>
      </c>
      <c r="D173" s="3">
        <v>0</v>
      </c>
      <c r="E173" s="3">
        <v>0</v>
      </c>
      <c r="F173" s="3">
        <v>0</v>
      </c>
      <c r="G173" s="3">
        <v>0</v>
      </c>
      <c r="H173" s="3">
        <f>SUM(Tabela2452613[[#This Row],[Salário Base Total (R$)]:[1/3 de Férias]])</f>
        <v>13979.66</v>
      </c>
      <c r="I173" s="3">
        <v>0</v>
      </c>
      <c r="J173" s="3">
        <v>190.32999999999998</v>
      </c>
      <c r="K173" s="3">
        <v>1853.81</v>
      </c>
      <c r="L173" s="4">
        <f>SUM(Tabela2452613[[#This Row],[INSS]:[Outros Descontos]])</f>
        <v>2044.1399999999999</v>
      </c>
    </row>
    <row r="174" spans="1:12" x14ac:dyDescent="0.25">
      <c r="A174" s="5" t="s">
        <v>8</v>
      </c>
      <c r="B174" s="1">
        <v>9</v>
      </c>
      <c r="C174" s="3">
        <v>8607.06</v>
      </c>
      <c r="D174" s="3">
        <v>956.34</v>
      </c>
      <c r="E174" s="3">
        <v>0</v>
      </c>
      <c r="F174" s="3">
        <v>0</v>
      </c>
      <c r="G174" s="3">
        <v>0</v>
      </c>
      <c r="H174" s="3">
        <f>SUM(Tabela2452613[[#This Row],[Salário Base Total (R$)]:[1/3 de Férias]])</f>
        <v>9563.4</v>
      </c>
      <c r="I174" s="3">
        <v>0</v>
      </c>
      <c r="J174" s="3">
        <v>0</v>
      </c>
      <c r="K174" s="3">
        <v>0</v>
      </c>
      <c r="L174" s="4">
        <f>SUM(Tabela2452613[[#This Row],[INSS]:[Outros Descontos]])</f>
        <v>0</v>
      </c>
    </row>
    <row r="175" spans="1:12" ht="15.75" x14ac:dyDescent="0.25">
      <c r="A175" s="6" t="s">
        <v>9</v>
      </c>
      <c r="B175" s="7">
        <f t="shared" ref="B175" si="84">SUBTOTAL(109,B169:B174)</f>
        <v>511</v>
      </c>
      <c r="C175" s="8">
        <f>SUBTOTAL(109,C169:C174)</f>
        <v>1763734.3008882185</v>
      </c>
      <c r="D175" s="8">
        <f t="shared" ref="D175" si="85">SUBTOTAL(109,D169:D174)</f>
        <v>258514.32318344069</v>
      </c>
      <c r="E175" s="8">
        <f t="shared" ref="E175" si="86">SUBTOTAL(109,E169:E174)</f>
        <v>14864.213892078027</v>
      </c>
      <c r="F175" s="8">
        <f t="shared" ref="F175" si="87">SUBTOTAL(109,F169:F174)</f>
        <v>40932.54956856052</v>
      </c>
      <c r="G175" s="8">
        <f t="shared" ref="G175" si="88">SUBTOTAL(109,G169:G174)</f>
        <v>51196.44</v>
      </c>
      <c r="H175" s="8">
        <f t="shared" ref="H175" si="89">SUBTOTAL(109,H169:H174)</f>
        <v>2129241.8275322979</v>
      </c>
      <c r="I175" s="8">
        <f t="shared" ref="I175" si="90">SUBTOTAL(109,I169:I174)</f>
        <v>168454.62951261061</v>
      </c>
      <c r="J175" s="8">
        <f t="shared" ref="J175" si="91">SUBTOTAL(109,J169:J174)</f>
        <v>185803.75689040145</v>
      </c>
      <c r="K175" s="8">
        <f t="shared" ref="K175" si="92">SUBTOTAL(109,K169:K174)</f>
        <v>108536.84252359012</v>
      </c>
      <c r="L175" s="8">
        <f t="shared" ref="L175" si="93">SUBTOTAL(109,L169:L174)</f>
        <v>462795.22892660211</v>
      </c>
    </row>
    <row r="176" spans="1:12" ht="7.5" customHeight="1" x14ac:dyDescent="0.25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 ht="15.75" x14ac:dyDescent="0.25">
      <c r="C177" s="22" t="s">
        <v>25</v>
      </c>
      <c r="D177" s="23">
        <f>H175-L175</f>
        <v>1666446.5986056959</v>
      </c>
      <c r="E177" s="13"/>
      <c r="F177" s="13"/>
      <c r="G177" s="13"/>
      <c r="H177" s="22" t="s">
        <v>23</v>
      </c>
      <c r="I177" s="23">
        <f>H175*0.977367434799383</f>
        <v>2081051.6230427923</v>
      </c>
    </row>
    <row r="178" spans="1:12" ht="15.75" x14ac:dyDescent="0.25">
      <c r="E178" s="13"/>
      <c r="H178" s="22" t="s">
        <v>24</v>
      </c>
      <c r="I178" s="23">
        <f>I177*0.21</f>
        <v>437020.84083898639</v>
      </c>
    </row>
    <row r="179" spans="1:12" ht="7.5" customHeight="1" x14ac:dyDescent="0.25">
      <c r="A179" s="14"/>
      <c r="B179" s="15"/>
      <c r="C179" s="17"/>
      <c r="D179" s="17"/>
      <c r="E179" s="17"/>
      <c r="F179" s="17"/>
      <c r="G179" s="17"/>
      <c r="H179" s="17"/>
      <c r="I179" s="17"/>
      <c r="J179" s="16"/>
      <c r="K179" s="16"/>
      <c r="L179" s="16"/>
    </row>
    <row r="180" spans="1:12" ht="7.5" customHeight="1" x14ac:dyDescent="0.25">
      <c r="I180" s="21"/>
    </row>
    <row r="181" spans="1:12" ht="17.25" x14ac:dyDescent="0.3">
      <c r="A181" s="10" t="s">
        <v>16</v>
      </c>
      <c r="B181" s="9" t="s">
        <v>49</v>
      </c>
      <c r="C181" s="9"/>
      <c r="I181" s="21"/>
    </row>
    <row r="182" spans="1:12" ht="6.75" customHeight="1" x14ac:dyDescent="0.25"/>
    <row r="183" spans="1:12" ht="30" x14ac:dyDescent="0.25">
      <c r="A183" s="18" t="s">
        <v>3</v>
      </c>
      <c r="B183" s="19" t="s">
        <v>21</v>
      </c>
      <c r="C183" s="19" t="s">
        <v>10</v>
      </c>
      <c r="D183" s="19" t="s">
        <v>0</v>
      </c>
      <c r="E183" s="19" t="s">
        <v>20</v>
      </c>
      <c r="F183" s="19" t="s">
        <v>2</v>
      </c>
      <c r="G183" s="20" t="s">
        <v>11</v>
      </c>
      <c r="H183" s="20" t="s">
        <v>1</v>
      </c>
      <c r="I183" s="19" t="s">
        <v>12</v>
      </c>
      <c r="J183" s="19" t="s">
        <v>13</v>
      </c>
      <c r="K183" s="19" t="s">
        <v>14</v>
      </c>
      <c r="L183" s="19" t="s">
        <v>15</v>
      </c>
    </row>
    <row r="184" spans="1:12" x14ac:dyDescent="0.25">
      <c r="A184" s="5" t="s">
        <v>7</v>
      </c>
      <c r="B184" s="1">
        <v>23</v>
      </c>
      <c r="C184" s="3">
        <v>431086.93</v>
      </c>
      <c r="D184" s="3">
        <v>0</v>
      </c>
      <c r="E184" s="3">
        <v>0</v>
      </c>
      <c r="F184" s="3">
        <v>0</v>
      </c>
      <c r="G184" s="3">
        <v>0</v>
      </c>
      <c r="H184" s="3">
        <f>SUM(Tabela245261314[[#This Row],[Salário Base Total (R$)]:[1/3 de Férias]])</f>
        <v>431086.93</v>
      </c>
      <c r="I184" s="4">
        <v>21887.26</v>
      </c>
      <c r="J184" s="4">
        <v>91921.8</v>
      </c>
      <c r="K184" s="4">
        <f>47563.3*1.022</f>
        <v>48609.692600000002</v>
      </c>
      <c r="L184" s="4">
        <f>SUM(Tabela245261314[[#This Row],[INSS]:[Outros Descontos]])</f>
        <v>162418.75260000001</v>
      </c>
    </row>
    <row r="185" spans="1:12" x14ac:dyDescent="0.25">
      <c r="A185" s="5" t="s">
        <v>4</v>
      </c>
      <c r="B185" s="1">
        <v>39</v>
      </c>
      <c r="C185" s="3">
        <v>139024.54830080573</v>
      </c>
      <c r="D185" s="3">
        <v>234769.39683505893</v>
      </c>
      <c r="E185" s="3">
        <v>0</v>
      </c>
      <c r="F185" s="3">
        <v>0</v>
      </c>
      <c r="G185" s="3">
        <v>0</v>
      </c>
      <c r="H185" s="3">
        <f>SUM(Tabela245261314[[#This Row],[Salário Base Total (R$)]:[1/3 de Férias]])</f>
        <v>373793.94513586466</v>
      </c>
      <c r="I185" s="3">
        <f>I170/H170*H185</f>
        <v>33445.394454595786</v>
      </c>
      <c r="J185" s="3">
        <f>J170/H170*H185</f>
        <v>51181.813717785357</v>
      </c>
      <c r="K185" s="3">
        <f>K170/H170*H185</f>
        <v>25370.946203171134</v>
      </c>
      <c r="L185" s="4">
        <f>SUM(Tabela245261314[[#This Row],[INSS]:[Outros Descontos]])</f>
        <v>109998.15437555227</v>
      </c>
    </row>
    <row r="186" spans="1:12" x14ac:dyDescent="0.25">
      <c r="A186" s="5" t="s">
        <v>5</v>
      </c>
      <c r="B186" s="1">
        <v>435</v>
      </c>
      <c r="C186" s="3">
        <f>C171/B171*B186</f>
        <v>1166583.9125874129</v>
      </c>
      <c r="D186" s="3">
        <v>22788.586348381767</v>
      </c>
      <c r="E186" s="3">
        <v>0</v>
      </c>
      <c r="F186" s="3">
        <v>0</v>
      </c>
      <c r="G186" s="3">
        <v>0</v>
      </c>
      <c r="H186" s="3">
        <f>SUM(Tabela245261314[[#This Row],[Salário Base Total (R$)]:[1/3 de Férias]])</f>
        <v>1189372.4989357947</v>
      </c>
      <c r="I186" s="3">
        <f>I171/H171*H186</f>
        <v>105017.99711313992</v>
      </c>
      <c r="J186" s="3">
        <f>J171/H171*H186</f>
        <v>35487.15393514077</v>
      </c>
      <c r="K186" s="3">
        <f>K171/H171*H186</f>
        <v>28750.698788929236</v>
      </c>
      <c r="L186" s="4">
        <f>SUM(Tabela245261314[[#This Row],[INSS]:[Outros Descontos]])</f>
        <v>169255.84983720994</v>
      </c>
    </row>
    <row r="187" spans="1:12" x14ac:dyDescent="0.25">
      <c r="A187" s="5" t="s">
        <v>22</v>
      </c>
      <c r="B187" s="1">
        <v>1</v>
      </c>
      <c r="C187" s="3">
        <v>4452.1899999999996</v>
      </c>
      <c r="D187" s="3">
        <v>0</v>
      </c>
      <c r="E187" s="3">
        <v>0</v>
      </c>
      <c r="F187" s="3">
        <v>0</v>
      </c>
      <c r="G187" s="3">
        <v>0</v>
      </c>
      <c r="H187" s="3">
        <f>SUM(Tabela245261314[[#This Row],[Salário Base Total (R$)]:[1/3 de Férias]])</f>
        <v>4452.1899999999996</v>
      </c>
      <c r="I187" s="3">
        <v>0</v>
      </c>
      <c r="J187" s="28">
        <v>21.68</v>
      </c>
      <c r="K187" s="3">
        <v>0</v>
      </c>
      <c r="L187" s="4">
        <f>SUM(Tabela245261314[[#This Row],[INSS]:[Outros Descontos]])</f>
        <v>21.68</v>
      </c>
    </row>
    <row r="188" spans="1:12" x14ac:dyDescent="0.25">
      <c r="A188" s="5" t="s">
        <v>6</v>
      </c>
      <c r="B188" s="1">
        <v>4</v>
      </c>
      <c r="C188" s="3">
        <v>13979.66</v>
      </c>
      <c r="D188" s="3">
        <v>0</v>
      </c>
      <c r="E188" s="3">
        <v>0</v>
      </c>
      <c r="F188" s="3">
        <v>0</v>
      </c>
      <c r="G188" s="3">
        <v>0</v>
      </c>
      <c r="H188" s="3">
        <f>SUM(Tabela245261314[[#This Row],[Salário Base Total (R$)]:[1/3 de Férias]])</f>
        <v>13979.66</v>
      </c>
      <c r="I188" s="3">
        <v>0</v>
      </c>
      <c r="J188" s="3">
        <v>190.32999999999998</v>
      </c>
      <c r="K188" s="3">
        <v>1853.81</v>
      </c>
      <c r="L188" s="4">
        <f>SUM(Tabela245261314[[#This Row],[INSS]:[Outros Descontos]])</f>
        <v>2044.1399999999999</v>
      </c>
    </row>
    <row r="189" spans="1:12" x14ac:dyDescent="0.25">
      <c r="A189" s="5" t="s">
        <v>8</v>
      </c>
      <c r="B189" s="1">
        <v>9</v>
      </c>
      <c r="C189" s="3">
        <v>8607.06</v>
      </c>
      <c r="D189" s="3">
        <v>956.34</v>
      </c>
      <c r="E189" s="3">
        <v>0</v>
      </c>
      <c r="F189" s="3">
        <v>0</v>
      </c>
      <c r="G189" s="3">
        <v>0</v>
      </c>
      <c r="H189" s="3">
        <f>SUM(Tabela245261314[[#This Row],[Salário Base Total (R$)]:[1/3 de Férias]])</f>
        <v>9563.4</v>
      </c>
      <c r="I189" s="3">
        <v>0</v>
      </c>
      <c r="J189" s="3">
        <v>0</v>
      </c>
      <c r="K189" s="3">
        <v>0</v>
      </c>
      <c r="L189" s="4">
        <f>SUM(Tabela245261314[[#This Row],[INSS]:[Outros Descontos]])</f>
        <v>0</v>
      </c>
    </row>
    <row r="190" spans="1:12" ht="15.75" x14ac:dyDescent="0.25">
      <c r="A190" s="6" t="s">
        <v>9</v>
      </c>
      <c r="B190" s="7">
        <f t="shared" ref="B190" si="94">SUBTOTAL(109,B184:B189)</f>
        <v>511</v>
      </c>
      <c r="C190" s="8">
        <f>SUBTOTAL(109,C184:C189)</f>
        <v>1763734.3008882185</v>
      </c>
      <c r="D190" s="8">
        <f t="shared" ref="D190:L190" si="95">SUBTOTAL(109,D184:D189)</f>
        <v>258514.32318344069</v>
      </c>
      <c r="E190" s="8">
        <f t="shared" si="95"/>
        <v>0</v>
      </c>
      <c r="F190" s="8">
        <f t="shared" si="95"/>
        <v>0</v>
      </c>
      <c r="G190" s="8">
        <f t="shared" si="95"/>
        <v>0</v>
      </c>
      <c r="H190" s="8">
        <f t="shared" si="95"/>
        <v>2022248.6240716591</v>
      </c>
      <c r="I190" s="8">
        <f t="shared" si="95"/>
        <v>160350.65156773571</v>
      </c>
      <c r="J190" s="8">
        <f t="shared" si="95"/>
        <v>178802.77765292613</v>
      </c>
      <c r="K190" s="8">
        <f t="shared" si="95"/>
        <v>104585.14759210037</v>
      </c>
      <c r="L190" s="8">
        <f t="shared" si="95"/>
        <v>443738.57681276224</v>
      </c>
    </row>
    <row r="191" spans="1:12" ht="7.5" customHeight="1" x14ac:dyDescent="0.25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 ht="15.75" x14ac:dyDescent="0.25">
      <c r="C192" s="22" t="s">
        <v>25</v>
      </c>
      <c r="D192" s="23">
        <f>H190-L190</f>
        <v>1578510.0472588968</v>
      </c>
      <c r="E192" s="13"/>
      <c r="F192" s="13"/>
      <c r="G192" s="13"/>
      <c r="H192" s="22" t="s">
        <v>23</v>
      </c>
      <c r="I192" s="23">
        <f>H190*0.977367434799383</f>
        <v>1976479.9502354993</v>
      </c>
    </row>
    <row r="193" spans="1:12" ht="15.75" x14ac:dyDescent="0.25">
      <c r="E193" s="13"/>
      <c r="H193" s="22" t="s">
        <v>24</v>
      </c>
      <c r="I193" s="23">
        <f>I192*0.21</f>
        <v>415060.78954945481</v>
      </c>
    </row>
    <row r="196" spans="1:12" ht="17.25" x14ac:dyDescent="0.3">
      <c r="A196" s="49" t="s">
        <v>45</v>
      </c>
      <c r="B196" s="50"/>
      <c r="C196" s="50"/>
      <c r="D196" s="50"/>
      <c r="E196" s="50"/>
      <c r="F196" s="51"/>
      <c r="G196" s="49" t="s">
        <v>46</v>
      </c>
      <c r="H196" s="50"/>
      <c r="I196" s="51"/>
      <c r="J196" s="49" t="s">
        <v>51</v>
      </c>
      <c r="K196" s="49"/>
    </row>
    <row r="197" spans="1:12" x14ac:dyDescent="0.25">
      <c r="A197" s="36" t="s">
        <v>42</v>
      </c>
      <c r="B197" s="37" t="s">
        <v>43</v>
      </c>
      <c r="C197" s="37"/>
      <c r="D197" s="38" t="s">
        <v>44</v>
      </c>
      <c r="E197" s="39"/>
      <c r="G197" s="41" t="s">
        <v>42</v>
      </c>
      <c r="H197" s="41" t="s">
        <v>47</v>
      </c>
      <c r="J197" s="43" t="s">
        <v>42</v>
      </c>
      <c r="K197" s="43" t="s">
        <v>48</v>
      </c>
    </row>
    <row r="198" spans="1:12" x14ac:dyDescent="0.25">
      <c r="A198" s="53">
        <v>45658</v>
      </c>
      <c r="B198" s="35">
        <f t="shared" ref="B198:B200" si="96">$C$169*0.21</f>
        <v>90528.25529999999</v>
      </c>
      <c r="C198" s="54"/>
      <c r="D198" s="56">
        <f>I13-B198</f>
        <v>275452.56270000001</v>
      </c>
      <c r="E198" s="32"/>
      <c r="G198" s="53">
        <v>45658</v>
      </c>
      <c r="H198" s="55">
        <f>G10</f>
        <v>51196.44</v>
      </c>
      <c r="J198" s="33">
        <v>45658</v>
      </c>
      <c r="K198" s="42">
        <f>H10</f>
        <v>1771187.65</v>
      </c>
    </row>
    <row r="199" spans="1:12" x14ac:dyDescent="0.25">
      <c r="A199" s="53">
        <v>45689</v>
      </c>
      <c r="B199" s="35">
        <f t="shared" si="96"/>
        <v>90528.25529999999</v>
      </c>
      <c r="C199" s="54"/>
      <c r="D199" s="34">
        <f>I28-B198</f>
        <v>306760.1544</v>
      </c>
      <c r="E199" s="32"/>
      <c r="G199" s="53">
        <v>45689</v>
      </c>
      <c r="H199" s="55">
        <f>G25</f>
        <v>27883.14</v>
      </c>
      <c r="J199" s="33">
        <v>45689</v>
      </c>
      <c r="K199" s="42">
        <f>H25</f>
        <v>1952385.0199999998</v>
      </c>
    </row>
    <row r="200" spans="1:12" x14ac:dyDescent="0.25">
      <c r="A200" s="53">
        <v>45717</v>
      </c>
      <c r="B200" s="35">
        <f t="shared" si="96"/>
        <v>90528.25529999999</v>
      </c>
      <c r="C200" s="54"/>
      <c r="D200" s="34">
        <f>I43-B198</f>
        <v>313196.10210000002</v>
      </c>
      <c r="E200" s="32"/>
      <c r="G200" s="53">
        <v>45717</v>
      </c>
      <c r="H200" s="55">
        <f>G40</f>
        <v>16959.32</v>
      </c>
      <c r="J200" s="33">
        <v>45717</v>
      </c>
      <c r="K200" s="42">
        <f>H40</f>
        <v>1963424.57</v>
      </c>
      <c r="L200" s="58"/>
    </row>
    <row r="201" spans="1:12" x14ac:dyDescent="0.25">
      <c r="A201" s="33">
        <v>45748</v>
      </c>
      <c r="B201" s="35">
        <f>$C$169*0.21</f>
        <v>90528.25529999999</v>
      </c>
      <c r="C201" s="32"/>
      <c r="D201" s="34">
        <f>I58-B201</f>
        <v>331406.08070979198</v>
      </c>
      <c r="E201" s="32"/>
      <c r="G201" s="33">
        <v>45748</v>
      </c>
      <c r="H201" s="42">
        <f>G55</f>
        <v>51196.44</v>
      </c>
      <c r="J201" s="33">
        <v>45748</v>
      </c>
      <c r="K201" s="42">
        <f>H55</f>
        <v>2055737.742345148</v>
      </c>
    </row>
    <row r="202" spans="1:12" x14ac:dyDescent="0.25">
      <c r="A202" s="33">
        <v>45778</v>
      </c>
      <c r="B202" s="35">
        <f t="shared" ref="B202:B209" si="97">$C$169*0.21</f>
        <v>90528.25529999999</v>
      </c>
      <c r="C202" s="32"/>
      <c r="D202" s="34">
        <f>I73-B202</f>
        <v>329778.11880658509</v>
      </c>
      <c r="E202" s="32"/>
      <c r="G202" s="33">
        <v>45778</v>
      </c>
      <c r="H202" s="42">
        <f>G70</f>
        <v>51196.44</v>
      </c>
      <c r="J202" s="33">
        <v>45778</v>
      </c>
      <c r="K202" s="42">
        <f>H70</f>
        <v>2047806.0277585331</v>
      </c>
    </row>
    <row r="203" spans="1:12" x14ac:dyDescent="0.25">
      <c r="A203" s="33">
        <v>45809</v>
      </c>
      <c r="B203" s="35">
        <f t="shared" si="97"/>
        <v>90528.25529999999</v>
      </c>
      <c r="C203" s="32"/>
      <c r="D203" s="34">
        <f>I88-B203</f>
        <v>336243.29197308817</v>
      </c>
      <c r="E203" s="32"/>
      <c r="G203" s="33">
        <v>45809</v>
      </c>
      <c r="H203" s="42">
        <f>G85</f>
        <v>51196.44</v>
      </c>
      <c r="J203" s="33">
        <v>45809</v>
      </c>
      <c r="K203" s="42">
        <f>H85</f>
        <v>2079305.4800545156</v>
      </c>
    </row>
    <row r="204" spans="1:12" x14ac:dyDescent="0.25">
      <c r="A204" s="33">
        <v>45839</v>
      </c>
      <c r="B204" s="35">
        <f t="shared" si="97"/>
        <v>90528.25529999999</v>
      </c>
      <c r="C204" s="32"/>
      <c r="D204" s="34">
        <f>I103-B204</f>
        <v>341697.72184206801</v>
      </c>
      <c r="E204" s="32"/>
      <c r="G204" s="33">
        <v>45839</v>
      </c>
      <c r="H204" s="42">
        <f>G100</f>
        <v>51196.44</v>
      </c>
      <c r="J204" s="33">
        <v>45839</v>
      </c>
      <c r="K204" s="42">
        <f>H100</f>
        <v>2105880.4145589606</v>
      </c>
    </row>
    <row r="205" spans="1:12" x14ac:dyDescent="0.25">
      <c r="A205" s="33">
        <v>45870</v>
      </c>
      <c r="B205" s="35">
        <f t="shared" si="97"/>
        <v>90528.25529999999</v>
      </c>
      <c r="C205" s="32"/>
      <c r="D205" s="34">
        <f>I118-B204</f>
        <v>337952.31451812631</v>
      </c>
      <c r="E205" s="32"/>
      <c r="G205" s="33">
        <v>45870</v>
      </c>
      <c r="H205" s="42">
        <f>G115</f>
        <v>51196.44</v>
      </c>
      <c r="J205" s="33">
        <v>45870</v>
      </c>
      <c r="K205" s="42">
        <f>H115</f>
        <v>2087632.1362389321</v>
      </c>
    </row>
    <row r="206" spans="1:12" x14ac:dyDescent="0.25">
      <c r="A206" s="33">
        <v>45901</v>
      </c>
      <c r="B206" s="35">
        <f t="shared" si="97"/>
        <v>90528.25529999999</v>
      </c>
      <c r="C206" s="32"/>
      <c r="D206" s="34">
        <f>I133-B204</f>
        <v>341499.22494477918</v>
      </c>
      <c r="E206" s="32"/>
      <c r="G206" s="33">
        <v>45901</v>
      </c>
      <c r="H206" s="42">
        <f>G130</f>
        <v>51196.44</v>
      </c>
      <c r="J206" s="33">
        <v>45901</v>
      </c>
      <c r="K206" s="42">
        <f>H130</f>
        <v>2104913.3030236582</v>
      </c>
    </row>
    <row r="207" spans="1:12" x14ac:dyDescent="0.25">
      <c r="A207" s="33">
        <v>45931</v>
      </c>
      <c r="B207" s="35">
        <f t="shared" si="97"/>
        <v>90528.25529999999</v>
      </c>
      <c r="C207" s="32"/>
      <c r="D207" s="34">
        <f>I148-B204</f>
        <v>343585.0833984965</v>
      </c>
      <c r="E207" s="32"/>
      <c r="G207" s="33">
        <v>45931</v>
      </c>
      <c r="H207" s="42">
        <f>G145</f>
        <v>51196.44</v>
      </c>
      <c r="J207" s="33">
        <v>45931</v>
      </c>
      <c r="K207" s="42">
        <f>H145</f>
        <v>2115075.9695396088</v>
      </c>
    </row>
    <row r="208" spans="1:12" x14ac:dyDescent="0.25">
      <c r="A208" s="33">
        <v>45962</v>
      </c>
      <c r="B208" s="35">
        <f t="shared" si="97"/>
        <v>90528.25529999999</v>
      </c>
      <c r="C208" s="32"/>
      <c r="D208" s="34">
        <f>I163-B204</f>
        <v>346671.24592462415</v>
      </c>
      <c r="E208" s="32"/>
      <c r="G208" s="33">
        <v>45962</v>
      </c>
      <c r="H208" s="42">
        <f>G160</f>
        <v>51196.44</v>
      </c>
      <c r="J208" s="33">
        <v>45962</v>
      </c>
      <c r="K208" s="42">
        <f>H160</f>
        <v>2130112.2921199654</v>
      </c>
    </row>
    <row r="209" spans="1:11" x14ac:dyDescent="0.25">
      <c r="A209" s="33">
        <v>45992</v>
      </c>
      <c r="B209" s="35">
        <f t="shared" si="97"/>
        <v>90528.25529999999</v>
      </c>
      <c r="C209" s="32"/>
      <c r="D209" s="34">
        <f>I178-B204</f>
        <v>346492.58553898637</v>
      </c>
      <c r="E209" s="32"/>
      <c r="G209" s="33">
        <v>45992</v>
      </c>
      <c r="H209" s="42">
        <f>G175</f>
        <v>51196.44</v>
      </c>
      <c r="J209" s="33">
        <v>45992</v>
      </c>
      <c r="K209" s="42">
        <f>H175</f>
        <v>2129241.8275322979</v>
      </c>
    </row>
    <row r="210" spans="1:11" x14ac:dyDescent="0.25">
      <c r="A210" s="57" t="s">
        <v>50</v>
      </c>
      <c r="B210" s="35">
        <f>C184*0.21</f>
        <v>90528.25529999999</v>
      </c>
      <c r="C210" s="32"/>
      <c r="D210" s="34">
        <f>I193-B210</f>
        <v>324532.53424945485</v>
      </c>
      <c r="E210" s="32"/>
      <c r="G210" s="57" t="s">
        <v>50</v>
      </c>
      <c r="H210" s="42"/>
      <c r="J210" s="57" t="s">
        <v>50</v>
      </c>
      <c r="K210" s="42">
        <f>H190</f>
        <v>2022248.6240716591</v>
      </c>
    </row>
    <row r="211" spans="1:11" ht="15.75" x14ac:dyDescent="0.25">
      <c r="A211" s="44" t="s">
        <v>9</v>
      </c>
      <c r="B211" s="45">
        <f>SUM(B198:B210)</f>
        <v>1176867.3188999998</v>
      </c>
      <c r="C211" s="46"/>
      <c r="D211" s="47">
        <f>SUM(D198:D209)</f>
        <v>3950734.4868565463</v>
      </c>
      <c r="E211" s="46"/>
      <c r="F211" s="40"/>
      <c r="G211" s="44" t="s">
        <v>9</v>
      </c>
      <c r="H211" s="48">
        <f>SUM(H198:H209)</f>
        <v>556806.8600000001</v>
      </c>
      <c r="J211" s="44" t="s">
        <v>9</v>
      </c>
      <c r="K211" s="52">
        <f>SUM(K198:K209)</f>
        <v>24542702.433171619</v>
      </c>
    </row>
  </sheetData>
  <printOptions horizontalCentered="1" verticalCentered="1"/>
  <pageMargins left="0.19685039370078741" right="0.47244094488188981" top="1.1811023622047245" bottom="0.78740157480314965" header="0.19685039370078741" footer="0.31496062992125984"/>
  <pageSetup paperSize="9" scale="72" orientation="landscape" r:id="rId1"/>
  <headerFooter>
    <oddHeader xml:space="preserve">&amp;L&amp;G&amp;C&amp;"Arial Rounded MT Bold,Normal"&amp;24
Projeção Folha de Pagamento
&amp;20
Apuração das folhas de 2025&amp;R&amp;G
</oddHeader>
  </headerFooter>
  <legacyDrawingHF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D5A5-8680-4569-8AAE-74C2E06E49AF}">
  <dimension ref="A1:L220"/>
  <sheetViews>
    <sheetView showGridLines="0" tabSelected="1" zoomScale="85" zoomScaleNormal="85" zoomScalePageLayoutView="80" workbookViewId="0">
      <selection activeCell="D5" sqref="D5"/>
    </sheetView>
  </sheetViews>
  <sheetFormatPr defaultRowHeight="15" x14ac:dyDescent="0.25"/>
  <cols>
    <col min="1" max="1" width="16.28515625" customWidth="1"/>
    <col min="2" max="2" width="7" customWidth="1"/>
    <col min="3" max="4" width="19.42578125" customWidth="1"/>
    <col min="5" max="5" width="14" customWidth="1"/>
    <col min="6" max="6" width="14.42578125" customWidth="1"/>
    <col min="7" max="7" width="14.7109375" bestFit="1" customWidth="1"/>
    <col min="8" max="8" width="21.5703125" customWidth="1"/>
    <col min="9" max="9" width="17.28515625" customWidth="1"/>
    <col min="10" max="10" width="15.42578125" customWidth="1"/>
    <col min="11" max="11" width="18.140625" customWidth="1"/>
    <col min="12" max="12" width="16.28515625" customWidth="1"/>
    <col min="14" max="14" width="12.5703125" bestFit="1" customWidth="1"/>
  </cols>
  <sheetData>
    <row r="1" spans="1:12" ht="17.25" x14ac:dyDescent="0.3">
      <c r="A1" s="10" t="s">
        <v>16</v>
      </c>
      <c r="B1" s="9" t="s">
        <v>19</v>
      </c>
      <c r="C1" s="9"/>
      <c r="D1" s="61" t="s">
        <v>56</v>
      </c>
    </row>
    <row r="2" spans="1:12" ht="6.75" customHeight="1" x14ac:dyDescent="0.25"/>
    <row r="3" spans="1:12" ht="30" x14ac:dyDescent="0.25">
      <c r="A3" s="18" t="s">
        <v>3</v>
      </c>
      <c r="B3" s="19" t="s">
        <v>21</v>
      </c>
      <c r="C3" s="19" t="s">
        <v>10</v>
      </c>
      <c r="D3" s="19" t="s">
        <v>0</v>
      </c>
      <c r="E3" s="19" t="s">
        <v>20</v>
      </c>
      <c r="F3" s="19" t="s">
        <v>2</v>
      </c>
      <c r="G3" s="20" t="s">
        <v>11</v>
      </c>
      <c r="H3" s="20" t="s">
        <v>1</v>
      </c>
      <c r="I3" s="19" t="s">
        <v>12</v>
      </c>
      <c r="J3" s="19" t="s">
        <v>13</v>
      </c>
      <c r="K3" s="19" t="s">
        <v>14</v>
      </c>
      <c r="L3" s="19" t="s">
        <v>15</v>
      </c>
    </row>
    <row r="4" spans="1:12" x14ac:dyDescent="0.25">
      <c r="A4" s="5" t="s">
        <v>7</v>
      </c>
      <c r="B4" s="1">
        <v>23</v>
      </c>
      <c r="C4" s="63">
        <v>431086.93</v>
      </c>
      <c r="D4" s="63">
        <v>0</v>
      </c>
      <c r="E4" s="63">
        <v>0</v>
      </c>
      <c r="F4" s="63">
        <v>0</v>
      </c>
      <c r="G4" s="63">
        <v>0</v>
      </c>
      <c r="H4" s="63">
        <f>SUM(Tabela2416[[#This Row],[Salário Base Total (R$)]:[1/3 de Férias]])</f>
        <v>431086.93</v>
      </c>
      <c r="I4" s="64">
        <v>21887.26</v>
      </c>
      <c r="J4" s="64">
        <v>91921.8</v>
      </c>
      <c r="K4" s="64">
        <f>401.1+186.39+4923.45+151.8+8344.64+230+1526.73+46.28</f>
        <v>15810.39</v>
      </c>
      <c r="L4" s="64">
        <f>SUM(Tabela2416[[#This Row],[INSS]:[Outros Descontos]])</f>
        <v>129619.45</v>
      </c>
    </row>
    <row r="5" spans="1:12" x14ac:dyDescent="0.25">
      <c r="A5" s="5" t="s">
        <v>4</v>
      </c>
      <c r="B5" s="1">
        <v>39</v>
      </c>
      <c r="C5" s="63">
        <v>123209.24999999997</v>
      </c>
      <c r="D5" s="72">
        <v>160117.54999999999</v>
      </c>
      <c r="E5" s="63">
        <v>962.24</v>
      </c>
      <c r="F5" s="63">
        <v>0</v>
      </c>
      <c r="G5" s="63">
        <v>3483.78</v>
      </c>
      <c r="H5" s="63">
        <f>SUM(Tabela2416[[#This Row],[Salário Base Total (R$)]:[1/3 de Férias]])</f>
        <v>287772.81999999995</v>
      </c>
      <c r="I5" s="63">
        <v>26124.589999999993</v>
      </c>
      <c r="J5" s="63">
        <v>38026</v>
      </c>
      <c r="K5" s="63">
        <v>18382.960000000003</v>
      </c>
      <c r="L5" s="64">
        <f>SUM(Tabela2416[[#This Row],[INSS]:[Outros Descontos]])</f>
        <v>82533.55</v>
      </c>
    </row>
    <row r="6" spans="1:12" x14ac:dyDescent="0.25">
      <c r="A6" s="5" t="s">
        <v>5</v>
      </c>
      <c r="B6" s="1">
        <v>378</v>
      </c>
      <c r="C6" s="63">
        <v>964787.36</v>
      </c>
      <c r="D6" s="63">
        <v>14396.030000000006</v>
      </c>
      <c r="E6" s="63">
        <v>0</v>
      </c>
      <c r="F6" s="63">
        <v>0</v>
      </c>
      <c r="G6" s="63">
        <v>47712.66</v>
      </c>
      <c r="H6" s="63">
        <f>SUM(Tabela2416[[#This Row],[Salário Base Total (R$)]:[1/3 de Férias]])</f>
        <v>1026896.05</v>
      </c>
      <c r="I6" s="63">
        <v>90587.97</v>
      </c>
      <c r="J6" s="63">
        <v>28489.51</v>
      </c>
      <c r="K6" s="63">
        <v>6143.9500000000007</v>
      </c>
      <c r="L6" s="64">
        <f>SUM(Tabela2416[[#This Row],[INSS]:[Outros Descontos]])</f>
        <v>125221.43</v>
      </c>
    </row>
    <row r="7" spans="1:12" x14ac:dyDescent="0.25">
      <c r="A7" s="5" t="s">
        <v>22</v>
      </c>
      <c r="B7" s="1">
        <v>1</v>
      </c>
      <c r="C7" s="63">
        <v>4452.1899999999996</v>
      </c>
      <c r="D7" s="63">
        <v>0</v>
      </c>
      <c r="E7" s="63">
        <v>0</v>
      </c>
      <c r="F7" s="63">
        <v>0</v>
      </c>
      <c r="G7" s="63">
        <v>0</v>
      </c>
      <c r="H7" s="63">
        <f>SUM(Tabela2416[[#This Row],[Salário Base Total (R$)]:[1/3 de Férias]])</f>
        <v>4452.1899999999996</v>
      </c>
      <c r="I7" s="63">
        <v>0</v>
      </c>
      <c r="J7" s="63">
        <v>21.68</v>
      </c>
      <c r="K7" s="63">
        <v>0</v>
      </c>
      <c r="L7" s="64">
        <f>SUM(Tabela2416[[#This Row],[INSS]:[Outros Descontos]])</f>
        <v>21.68</v>
      </c>
    </row>
    <row r="8" spans="1:12" x14ac:dyDescent="0.25">
      <c r="A8" s="5" t="s">
        <v>6</v>
      </c>
      <c r="B8" s="1">
        <v>4</v>
      </c>
      <c r="C8" s="63">
        <v>13979.66</v>
      </c>
      <c r="D8" s="63">
        <v>0</v>
      </c>
      <c r="E8" s="63">
        <v>0</v>
      </c>
      <c r="F8" s="63">
        <v>0</v>
      </c>
      <c r="G8" s="63">
        <v>0</v>
      </c>
      <c r="H8" s="63">
        <f>SUM(Tabela2416[[#This Row],[Salário Base Total (R$)]:[1/3 de Férias]])</f>
        <v>13979.66</v>
      </c>
      <c r="I8" s="63">
        <v>0</v>
      </c>
      <c r="J8" s="63">
        <f>212.01-J7</f>
        <v>190.32999999999998</v>
      </c>
      <c r="K8" s="63">
        <f>508.91+563.78</f>
        <v>1072.69</v>
      </c>
      <c r="L8" s="64">
        <f>SUM(Tabela2416[[#This Row],[INSS]:[Outros Descontos]])</f>
        <v>1263.02</v>
      </c>
    </row>
    <row r="9" spans="1:12" x14ac:dyDescent="0.25">
      <c r="A9" s="5" t="s">
        <v>8</v>
      </c>
      <c r="B9" s="1">
        <v>10</v>
      </c>
      <c r="C9" s="63">
        <v>5000</v>
      </c>
      <c r="D9" s="63">
        <v>2000</v>
      </c>
      <c r="E9" s="63">
        <v>0</v>
      </c>
      <c r="F9" s="63">
        <v>0</v>
      </c>
      <c r="G9" s="63">
        <v>0</v>
      </c>
      <c r="H9" s="63">
        <f>SUM(Tabela2416[[#This Row],[Salário Base Total (R$)]:[1/3 de Férias]])</f>
        <v>7000</v>
      </c>
      <c r="I9" s="63">
        <v>0</v>
      </c>
      <c r="J9" s="63">
        <v>0</v>
      </c>
      <c r="K9" s="63">
        <v>0</v>
      </c>
      <c r="L9" s="64">
        <f>SUM(Tabela2416[[#This Row],[INSS]:[Outros Descontos]])</f>
        <v>0</v>
      </c>
    </row>
    <row r="10" spans="1:12" ht="15.75" x14ac:dyDescent="0.25">
      <c r="A10" s="6" t="s">
        <v>9</v>
      </c>
      <c r="B10" s="7">
        <f t="shared" ref="B10:L10" si="0">SUBTOTAL(109,B4:B9)</f>
        <v>455</v>
      </c>
      <c r="C10" s="66">
        <f t="shared" si="0"/>
        <v>1542515.39</v>
      </c>
      <c r="D10" s="66">
        <f t="shared" si="0"/>
        <v>176513.58</v>
      </c>
      <c r="E10" s="66">
        <f t="shared" si="0"/>
        <v>962.24</v>
      </c>
      <c r="F10" s="66">
        <f t="shared" si="0"/>
        <v>0</v>
      </c>
      <c r="G10" s="66">
        <f t="shared" si="0"/>
        <v>51196.44</v>
      </c>
      <c r="H10" s="66">
        <f t="shared" si="0"/>
        <v>1771187.65</v>
      </c>
      <c r="I10" s="66">
        <f t="shared" si="0"/>
        <v>138599.82</v>
      </c>
      <c r="J10" s="66">
        <f t="shared" si="0"/>
        <v>158649.31999999998</v>
      </c>
      <c r="K10" s="66">
        <f t="shared" si="0"/>
        <v>41409.990000000005</v>
      </c>
      <c r="L10" s="66">
        <f t="shared" si="0"/>
        <v>338659.13</v>
      </c>
    </row>
    <row r="11" spans="1:12" ht="7.5" customHeight="1" x14ac:dyDescent="0.25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5.75" x14ac:dyDescent="0.25">
      <c r="A12" s="11"/>
      <c r="B12" s="12"/>
      <c r="C12" s="22" t="s">
        <v>25</v>
      </c>
      <c r="D12" s="23">
        <f>H10-L10</f>
        <v>1432528.52</v>
      </c>
      <c r="E12" s="13"/>
      <c r="F12" s="13"/>
      <c r="G12" s="13"/>
      <c r="H12" s="22" t="s">
        <v>23</v>
      </c>
      <c r="I12" s="23">
        <v>1742765.8</v>
      </c>
      <c r="J12" s="30"/>
      <c r="K12" s="13"/>
      <c r="L12" s="13"/>
    </row>
    <row r="13" spans="1:12" ht="15.75" x14ac:dyDescent="0.25">
      <c r="E13" s="13"/>
      <c r="H13" s="22" t="s">
        <v>24</v>
      </c>
      <c r="I13" s="23">
        <f>I12*0.21</f>
        <v>365980.81799999997</v>
      </c>
      <c r="K13" s="13"/>
      <c r="L13" s="13"/>
    </row>
    <row r="14" spans="1:12" ht="7.5" customHeight="1" x14ac:dyDescent="0.25">
      <c r="A14" s="17"/>
      <c r="B14" s="17"/>
      <c r="C14" s="17"/>
      <c r="D14" s="16"/>
      <c r="E14" s="16"/>
      <c r="F14" s="17"/>
      <c r="G14" s="17"/>
      <c r="H14" s="17"/>
      <c r="I14" s="17"/>
      <c r="J14" s="17"/>
      <c r="K14" s="16"/>
      <c r="L14" s="16"/>
    </row>
    <row r="15" spans="1:12" ht="7.5" customHeight="1" x14ac:dyDescent="0.25"/>
    <row r="16" spans="1:12" ht="17.25" x14ac:dyDescent="0.3">
      <c r="A16" s="10" t="s">
        <v>16</v>
      </c>
      <c r="B16" s="9" t="s">
        <v>17</v>
      </c>
      <c r="C16" s="9"/>
      <c r="D16" s="61" t="s">
        <v>56</v>
      </c>
    </row>
    <row r="17" spans="1:12" ht="6.75" customHeight="1" x14ac:dyDescent="0.25"/>
    <row r="18" spans="1:12" ht="27" customHeight="1" x14ac:dyDescent="0.25">
      <c r="A18" s="18" t="s">
        <v>3</v>
      </c>
      <c r="B18" s="19" t="s">
        <v>21</v>
      </c>
      <c r="C18" s="19" t="s">
        <v>10</v>
      </c>
      <c r="D18" s="19" t="s">
        <v>0</v>
      </c>
      <c r="E18" s="19" t="s">
        <v>20</v>
      </c>
      <c r="F18" s="19" t="s">
        <v>2</v>
      </c>
      <c r="G18" s="20" t="s">
        <v>11</v>
      </c>
      <c r="H18" s="20" t="s">
        <v>1</v>
      </c>
      <c r="I18" s="19" t="s">
        <v>12</v>
      </c>
      <c r="J18" s="19" t="s">
        <v>13</v>
      </c>
      <c r="K18" s="19" t="s">
        <v>14</v>
      </c>
      <c r="L18" s="19" t="s">
        <v>15</v>
      </c>
    </row>
    <row r="19" spans="1:12" x14ac:dyDescent="0.25">
      <c r="A19" s="5" t="s">
        <v>7</v>
      </c>
      <c r="B19" s="1">
        <v>23</v>
      </c>
      <c r="C19" s="63">
        <v>431086.93</v>
      </c>
      <c r="D19" s="63">
        <v>0</v>
      </c>
      <c r="E19" s="63">
        <v>0</v>
      </c>
      <c r="F19" s="63">
        <v>11135.04</v>
      </c>
      <c r="G19" s="63">
        <v>0</v>
      </c>
      <c r="H19" s="63">
        <f>SUM(Tabela215[[#This Row],[Salário Base Total (R$)]:[1/3 de Férias]])</f>
        <v>442221.97</v>
      </c>
      <c r="I19" s="64">
        <v>21887.26</v>
      </c>
      <c r="J19" s="64">
        <v>91921.8</v>
      </c>
      <c r="K19" s="64">
        <f>382+186.39+4923.45+87.97+151.8+21969.42+400+1526.73+44.64+11135.04</f>
        <v>40807.440000000002</v>
      </c>
      <c r="L19" s="64">
        <f>SUM(Tabela215[[#This Row],[INSS]:[Outros Descontos]])</f>
        <v>154616.5</v>
      </c>
    </row>
    <row r="20" spans="1:12" x14ac:dyDescent="0.25">
      <c r="A20" s="5" t="s">
        <v>4</v>
      </c>
      <c r="B20" s="1">
        <v>39</v>
      </c>
      <c r="C20" s="63">
        <v>125738.77999999997</v>
      </c>
      <c r="D20" s="63">
        <v>160034.63999999998</v>
      </c>
      <c r="E20" s="63">
        <v>3853.5299999999997</v>
      </c>
      <c r="F20" s="63">
        <v>8748.9599999999991</v>
      </c>
      <c r="G20" s="63">
        <v>0</v>
      </c>
      <c r="H20" s="63">
        <f>SUM(Tabela215[[#This Row],[Salário Base Total (R$)]:[1/3 de Férias]])</f>
        <v>298375.90999999997</v>
      </c>
      <c r="I20" s="63">
        <v>26924.98</v>
      </c>
      <c r="J20" s="63">
        <v>38011.589999999997</v>
      </c>
      <c r="K20" s="63">
        <v>27529.35</v>
      </c>
      <c r="L20" s="64">
        <f>SUM(Tabela215[[#This Row],[INSS]:[Outros Descontos]])</f>
        <v>92465.919999999984</v>
      </c>
    </row>
    <row r="21" spans="1:12" x14ac:dyDescent="0.25">
      <c r="A21" s="5" t="s">
        <v>5</v>
      </c>
      <c r="B21" s="1">
        <v>420</v>
      </c>
      <c r="C21" s="63">
        <v>1123311.95</v>
      </c>
      <c r="D21" s="63">
        <v>23580.6</v>
      </c>
      <c r="E21" s="63">
        <v>0</v>
      </c>
      <c r="F21" s="63">
        <v>7953.6</v>
      </c>
      <c r="G21" s="63">
        <v>27883.14</v>
      </c>
      <c r="H21" s="63">
        <f>SUM(Tabela215[[#This Row],[Salário Base Total (R$)]:[1/3 de Férias]])</f>
        <v>1182729.29</v>
      </c>
      <c r="I21" s="63">
        <v>104047.51000000001</v>
      </c>
      <c r="J21" s="63">
        <v>35197.290000000008</v>
      </c>
      <c r="K21" s="63">
        <v>19768.780000000002</v>
      </c>
      <c r="L21" s="64">
        <f>SUM(Tabela215[[#This Row],[INSS]:[Outros Descontos]])</f>
        <v>159013.58000000002</v>
      </c>
    </row>
    <row r="22" spans="1:12" x14ac:dyDescent="0.25">
      <c r="A22" s="5" t="s">
        <v>22</v>
      </c>
      <c r="B22" s="1">
        <v>1</v>
      </c>
      <c r="C22" s="63">
        <v>4452.1899999999996</v>
      </c>
      <c r="D22" s="63">
        <v>0</v>
      </c>
      <c r="E22" s="63">
        <v>0</v>
      </c>
      <c r="F22" s="63">
        <v>0</v>
      </c>
      <c r="G22" s="63">
        <v>0</v>
      </c>
      <c r="H22" s="63">
        <f>SUM(Tabela215[[#This Row],[Salário Base Total (R$)]:[1/3 de Férias]])</f>
        <v>4452.1899999999996</v>
      </c>
      <c r="I22" s="63">
        <v>0</v>
      </c>
      <c r="J22" s="63">
        <v>21.68</v>
      </c>
      <c r="K22" s="63">
        <v>0</v>
      </c>
      <c r="L22" s="64">
        <f>SUM(Tabela215[[#This Row],[INSS]:[Outros Descontos]])</f>
        <v>21.68</v>
      </c>
    </row>
    <row r="23" spans="1:12" x14ac:dyDescent="0.25">
      <c r="A23" s="5" t="s">
        <v>6</v>
      </c>
      <c r="B23" s="1">
        <v>4</v>
      </c>
      <c r="C23" s="63">
        <v>13979.66</v>
      </c>
      <c r="D23" s="63">
        <v>0</v>
      </c>
      <c r="E23" s="63">
        <v>0</v>
      </c>
      <c r="F23" s="63">
        <v>0</v>
      </c>
      <c r="G23" s="63">
        <v>0</v>
      </c>
      <c r="H23" s="63">
        <f>SUM(Tabela215[[#This Row],[Salário Base Total (R$)]:[1/3 de Férias]])</f>
        <v>13979.66</v>
      </c>
      <c r="I23" s="63">
        <v>0</v>
      </c>
      <c r="J23" s="63">
        <f>212.01-J22</f>
        <v>190.32999999999998</v>
      </c>
      <c r="K23" s="63">
        <f>508.91+15.72+563.78</f>
        <v>1088.4099999999999</v>
      </c>
      <c r="L23" s="64">
        <f>SUM(Tabela215[[#This Row],[INSS]:[Outros Descontos]])</f>
        <v>1278.7399999999998</v>
      </c>
    </row>
    <row r="24" spans="1:12" x14ac:dyDescent="0.25">
      <c r="A24" s="5" t="s">
        <v>8</v>
      </c>
      <c r="B24" s="1">
        <v>10</v>
      </c>
      <c r="C24" s="63">
        <v>9563.4</v>
      </c>
      <c r="D24" s="63">
        <v>1062.6000000000001</v>
      </c>
      <c r="E24" s="63">
        <v>0</v>
      </c>
      <c r="F24" s="63">
        <v>0</v>
      </c>
      <c r="G24" s="63">
        <v>0</v>
      </c>
      <c r="H24" s="63">
        <f>SUM(Tabela215[[#This Row],[Salário Base Total (R$)]:[1/3 de Férias]])</f>
        <v>10626</v>
      </c>
      <c r="I24" s="63">
        <v>0</v>
      </c>
      <c r="J24" s="63">
        <v>0</v>
      </c>
      <c r="K24" s="63">
        <v>0</v>
      </c>
      <c r="L24" s="64">
        <f>SUM(Tabela215[[#This Row],[INSS]:[Outros Descontos]])</f>
        <v>0</v>
      </c>
    </row>
    <row r="25" spans="1:12" ht="15.75" x14ac:dyDescent="0.25">
      <c r="A25" s="6" t="s">
        <v>9</v>
      </c>
      <c r="B25" s="7">
        <f t="shared" ref="B25:H25" si="1">SUBTOTAL(109,B19:B24)</f>
        <v>497</v>
      </c>
      <c r="C25" s="66">
        <f t="shared" si="1"/>
        <v>1708132.9099999997</v>
      </c>
      <c r="D25" s="66">
        <f t="shared" si="1"/>
        <v>184677.84</v>
      </c>
      <c r="E25" s="66">
        <f t="shared" si="1"/>
        <v>3853.5299999999997</v>
      </c>
      <c r="F25" s="66">
        <f t="shared" si="1"/>
        <v>27837.599999999999</v>
      </c>
      <c r="G25" s="66">
        <f t="shared" si="1"/>
        <v>27883.14</v>
      </c>
      <c r="H25" s="66">
        <f t="shared" si="1"/>
        <v>1952385.0199999998</v>
      </c>
      <c r="I25" s="66">
        <f>SUBTOTAL(109,I19:I24)</f>
        <v>152859.75</v>
      </c>
      <c r="J25" s="66">
        <f>SUBTOTAL(109,J19:J24)</f>
        <v>165342.68999999997</v>
      </c>
      <c r="K25" s="66">
        <f>SUBTOTAL(109,K19:K24)</f>
        <v>89193.98000000001</v>
      </c>
      <c r="L25" s="66">
        <f>SUBTOTAL(109,L19:L24)</f>
        <v>407396.42</v>
      </c>
    </row>
    <row r="26" spans="1:12" ht="7.5" customHeight="1" x14ac:dyDescent="0.25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15.75" x14ac:dyDescent="0.25">
      <c r="A27" s="11"/>
      <c r="B27" s="12"/>
      <c r="C27" s="22" t="s">
        <v>25</v>
      </c>
      <c r="D27" s="23">
        <f>H25-L25</f>
        <v>1544988.5999999999</v>
      </c>
      <c r="E27" s="13"/>
      <c r="F27" s="13"/>
      <c r="G27" s="13"/>
      <c r="H27" s="22" t="s">
        <v>23</v>
      </c>
      <c r="I27" s="23">
        <v>1891849.57</v>
      </c>
      <c r="J27" s="30"/>
      <c r="K27" s="13"/>
      <c r="L27" s="13"/>
    </row>
    <row r="28" spans="1:12" ht="15.75" x14ac:dyDescent="0.25">
      <c r="A28" s="11"/>
      <c r="B28" s="12"/>
      <c r="E28" s="13"/>
      <c r="H28" s="22" t="s">
        <v>24</v>
      </c>
      <c r="I28" s="23">
        <f>I27*0.21</f>
        <v>397288.40970000002</v>
      </c>
      <c r="J28" s="13"/>
      <c r="K28" s="13"/>
      <c r="L28" s="13"/>
    </row>
    <row r="29" spans="1:12" ht="7.5" customHeight="1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6"/>
      <c r="K29" s="16"/>
      <c r="L29" s="16"/>
    </row>
    <row r="30" spans="1:12" ht="7.5" customHeight="1" x14ac:dyDescent="0.25">
      <c r="I30" s="21"/>
    </row>
    <row r="31" spans="1:12" ht="17.25" x14ac:dyDescent="0.3">
      <c r="A31" s="10" t="s">
        <v>16</v>
      </c>
      <c r="B31" s="9" t="s">
        <v>18</v>
      </c>
      <c r="C31" s="9"/>
      <c r="D31" s="61" t="s">
        <v>56</v>
      </c>
      <c r="I31" s="21"/>
    </row>
    <row r="32" spans="1:12" ht="6.75" customHeight="1" x14ac:dyDescent="0.25"/>
    <row r="33" spans="1:12" ht="30" x14ac:dyDescent="0.25">
      <c r="A33" s="18" t="s">
        <v>3</v>
      </c>
      <c r="B33" s="19" t="s">
        <v>21</v>
      </c>
      <c r="C33" s="19" t="s">
        <v>10</v>
      </c>
      <c r="D33" s="19" t="s">
        <v>0</v>
      </c>
      <c r="E33" s="19" t="s">
        <v>20</v>
      </c>
      <c r="F33" s="19" t="s">
        <v>2</v>
      </c>
      <c r="G33" s="20" t="s">
        <v>11</v>
      </c>
      <c r="H33" s="20" t="s">
        <v>1</v>
      </c>
      <c r="I33" s="19" t="s">
        <v>12</v>
      </c>
      <c r="J33" s="19" t="s">
        <v>13</v>
      </c>
      <c r="K33" s="19" t="s">
        <v>14</v>
      </c>
      <c r="L33" s="19" t="s">
        <v>15</v>
      </c>
    </row>
    <row r="34" spans="1:12" x14ac:dyDescent="0.25">
      <c r="A34" s="5" t="s">
        <v>7</v>
      </c>
      <c r="B34" s="1">
        <v>23</v>
      </c>
      <c r="C34" s="63">
        <v>431086.93</v>
      </c>
      <c r="D34" s="63">
        <v>0</v>
      </c>
      <c r="E34" s="63">
        <v>0</v>
      </c>
      <c r="F34" s="63">
        <v>4077.07</v>
      </c>
      <c r="G34" s="63">
        <v>0</v>
      </c>
      <c r="H34" s="63">
        <f>SUM(Tabela24517[[#This Row],[Salário Base Total (R$)]:[1/3 de Férias]])</f>
        <v>435164</v>
      </c>
      <c r="I34" s="64">
        <v>21887.26</v>
      </c>
      <c r="J34" s="64">
        <v>91921.8</v>
      </c>
      <c r="K34" s="64">
        <f>382+4923.45+229.5+151.8+35785.75+400+1526.73+87+4077.07</f>
        <v>47563.3</v>
      </c>
      <c r="L34" s="64">
        <f>SUM(Tabela24517[[#This Row],[INSS]:[Outros Descontos]])</f>
        <v>161372.35999999999</v>
      </c>
    </row>
    <row r="35" spans="1:12" x14ac:dyDescent="0.25">
      <c r="A35" s="5" t="s">
        <v>4</v>
      </c>
      <c r="B35" s="1">
        <v>39</v>
      </c>
      <c r="C35" s="63">
        <v>125903.01999999999</v>
      </c>
      <c r="D35" s="63">
        <v>173964.68000000002</v>
      </c>
      <c r="E35" s="63">
        <v>3267.25</v>
      </c>
      <c r="F35" s="63">
        <v>3181.44</v>
      </c>
      <c r="G35" s="63">
        <v>4225.99</v>
      </c>
      <c r="H35" s="63">
        <f>SUM(Tabela24517[[#This Row],[Salário Base Total (R$)]:[1/3 de Férias]])</f>
        <v>310542.38</v>
      </c>
      <c r="I35" s="63">
        <v>27785.93</v>
      </c>
      <c r="J35" s="63">
        <v>42521.08</v>
      </c>
      <c r="K35" s="63">
        <v>21077.8</v>
      </c>
      <c r="L35" s="64">
        <f>SUM(Tabela24517[[#This Row],[INSS]:[Outros Descontos]])</f>
        <v>91384.810000000012</v>
      </c>
    </row>
    <row r="36" spans="1:12" x14ac:dyDescent="0.25">
      <c r="A36" s="5" t="s">
        <v>5</v>
      </c>
      <c r="B36" s="1">
        <v>429</v>
      </c>
      <c r="C36" s="63">
        <v>1150493.1000000001</v>
      </c>
      <c r="D36" s="63">
        <v>24705.249999999956</v>
      </c>
      <c r="E36" s="63">
        <v>0</v>
      </c>
      <c r="F36" s="63">
        <v>1791.26</v>
      </c>
      <c r="G36" s="63">
        <v>12733.33</v>
      </c>
      <c r="H36" s="63">
        <f>SUM(Tabela24517[[#This Row],[Salário Base Total (R$)]:[1/3 de Férias]])</f>
        <v>1189722.9400000002</v>
      </c>
      <c r="I36" s="63">
        <v>105048.94</v>
      </c>
      <c r="J36" s="63">
        <v>35497.61</v>
      </c>
      <c r="K36" s="63">
        <v>28759.17</v>
      </c>
      <c r="L36" s="64">
        <f>SUM(Tabela24517[[#This Row],[INSS]:[Outros Descontos]])</f>
        <v>169305.71999999997</v>
      </c>
    </row>
    <row r="37" spans="1:12" x14ac:dyDescent="0.25">
      <c r="A37" s="5" t="s">
        <v>22</v>
      </c>
      <c r="B37" s="1">
        <v>1</v>
      </c>
      <c r="C37" s="63">
        <v>4452.1899999999996</v>
      </c>
      <c r="D37" s="63">
        <v>0</v>
      </c>
      <c r="E37" s="63">
        <v>0</v>
      </c>
      <c r="F37" s="63">
        <v>0</v>
      </c>
      <c r="G37" s="63">
        <v>0</v>
      </c>
      <c r="H37" s="63">
        <f>SUM(Tabela24517[[#This Row],[Salário Base Total (R$)]:[1/3 de Férias]])</f>
        <v>4452.1899999999996</v>
      </c>
      <c r="I37" s="63">
        <v>0</v>
      </c>
      <c r="J37" s="65">
        <v>21.68</v>
      </c>
      <c r="K37" s="63">
        <v>0</v>
      </c>
      <c r="L37" s="64">
        <f>SUM(Tabela24517[[#This Row],[INSS]:[Outros Descontos]])</f>
        <v>21.68</v>
      </c>
    </row>
    <row r="38" spans="1:12" x14ac:dyDescent="0.25">
      <c r="A38" s="5" t="s">
        <v>6</v>
      </c>
      <c r="B38" s="1">
        <v>4</v>
      </c>
      <c r="C38" s="63">
        <v>13979.66</v>
      </c>
      <c r="D38" s="63">
        <v>0</v>
      </c>
      <c r="E38" s="63">
        <v>0</v>
      </c>
      <c r="F38" s="63">
        <v>0</v>
      </c>
      <c r="G38" s="63">
        <v>0</v>
      </c>
      <c r="H38" s="63">
        <f>SUM(Tabela24517[[#This Row],[Salário Base Total (R$)]:[1/3 de Férias]])</f>
        <v>13979.66</v>
      </c>
      <c r="I38" s="63">
        <v>0</v>
      </c>
      <c r="J38" s="63">
        <f>212.01-J37</f>
        <v>190.32999999999998</v>
      </c>
      <c r="K38" s="63">
        <f>781.12+508.91+563.78</f>
        <v>1853.81</v>
      </c>
      <c r="L38" s="64">
        <f>SUM(Tabela24517[[#This Row],[INSS]:[Outros Descontos]])</f>
        <v>2044.1399999999999</v>
      </c>
    </row>
    <row r="39" spans="1:12" x14ac:dyDescent="0.25">
      <c r="A39" s="5" t="s">
        <v>8</v>
      </c>
      <c r="B39" s="1">
        <v>9</v>
      </c>
      <c r="C39" s="63">
        <v>8607.06</v>
      </c>
      <c r="D39" s="63">
        <v>956.34</v>
      </c>
      <c r="E39" s="63">
        <v>0</v>
      </c>
      <c r="F39" s="63">
        <v>0</v>
      </c>
      <c r="G39" s="63">
        <v>0</v>
      </c>
      <c r="H39" s="63">
        <f>SUM(Tabela24517[[#This Row],[Salário Base Total (R$)]:[1/3 de Férias]])</f>
        <v>9563.4</v>
      </c>
      <c r="I39" s="63">
        <v>0</v>
      </c>
      <c r="J39" s="63">
        <v>0</v>
      </c>
      <c r="K39" s="63">
        <v>0</v>
      </c>
      <c r="L39" s="64">
        <f>SUM(Tabela24517[[#This Row],[INSS]:[Outros Descontos]])</f>
        <v>0</v>
      </c>
    </row>
    <row r="40" spans="1:12" ht="15.75" x14ac:dyDescent="0.25">
      <c r="A40" s="6" t="s">
        <v>9</v>
      </c>
      <c r="B40" s="7">
        <f t="shared" ref="B40:L40" si="2">SUBTOTAL(109,B34:B39)</f>
        <v>505</v>
      </c>
      <c r="C40" s="66">
        <f t="shared" si="2"/>
        <v>1734521.96</v>
      </c>
      <c r="D40" s="66">
        <f t="shared" si="2"/>
        <v>199626.27</v>
      </c>
      <c r="E40" s="66">
        <f t="shared" si="2"/>
        <v>3267.25</v>
      </c>
      <c r="F40" s="66">
        <f t="shared" si="2"/>
        <v>9049.77</v>
      </c>
      <c r="G40" s="66">
        <f t="shared" si="2"/>
        <v>16959.32</v>
      </c>
      <c r="H40" s="66">
        <f t="shared" si="2"/>
        <v>1963424.57</v>
      </c>
      <c r="I40" s="66">
        <f t="shared" si="2"/>
        <v>154722.13</v>
      </c>
      <c r="J40" s="66">
        <f t="shared" si="2"/>
        <v>170152.49999999997</v>
      </c>
      <c r="K40" s="66">
        <f t="shared" si="2"/>
        <v>99254.080000000002</v>
      </c>
      <c r="L40" s="66">
        <f t="shared" si="2"/>
        <v>424128.70999999996</v>
      </c>
    </row>
    <row r="41" spans="1:12" ht="7.5" customHeight="1" x14ac:dyDescent="0.25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15.75" x14ac:dyDescent="0.25">
      <c r="C42" s="22" t="s">
        <v>25</v>
      </c>
      <c r="D42" s="23">
        <f>H40-L40</f>
        <v>1539295.86</v>
      </c>
      <c r="E42" s="13"/>
      <c r="F42" s="13"/>
      <c r="G42" s="13"/>
      <c r="H42" s="22" t="s">
        <v>23</v>
      </c>
      <c r="I42" s="23">
        <v>1922496.94</v>
      </c>
      <c r="K42" s="31"/>
    </row>
    <row r="43" spans="1:12" ht="15.75" x14ac:dyDescent="0.25">
      <c r="E43" s="13"/>
      <c r="H43" s="22" t="s">
        <v>24</v>
      </c>
      <c r="I43" s="23">
        <f>I42*0.21</f>
        <v>403724.35739999998</v>
      </c>
    </row>
    <row r="44" spans="1:12" ht="7.5" customHeight="1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6"/>
      <c r="K44" s="16"/>
      <c r="L44" s="16"/>
    </row>
    <row r="45" spans="1:12" ht="7.5" customHeight="1" x14ac:dyDescent="0.25">
      <c r="I45" s="21"/>
    </row>
    <row r="46" spans="1:12" ht="17.25" x14ac:dyDescent="0.3">
      <c r="A46" s="10" t="s">
        <v>16</v>
      </c>
      <c r="B46" s="9" t="s">
        <v>28</v>
      </c>
      <c r="C46" s="9"/>
      <c r="D46" s="62" t="s">
        <v>57</v>
      </c>
    </row>
    <row r="47" spans="1:12" ht="6.75" customHeight="1" x14ac:dyDescent="0.25"/>
    <row r="48" spans="1:12" ht="30" x14ac:dyDescent="0.25">
      <c r="A48" s="18" t="s">
        <v>3</v>
      </c>
      <c r="B48" s="19" t="s">
        <v>21</v>
      </c>
      <c r="C48" s="19" t="s">
        <v>10</v>
      </c>
      <c r="D48" s="19" t="s">
        <v>0</v>
      </c>
      <c r="E48" s="19" t="s">
        <v>20</v>
      </c>
      <c r="F48" s="19" t="s">
        <v>2</v>
      </c>
      <c r="G48" s="20" t="s">
        <v>11</v>
      </c>
      <c r="H48" s="20" t="s">
        <v>1</v>
      </c>
      <c r="I48" s="19" t="s">
        <v>12</v>
      </c>
      <c r="J48" s="19" t="s">
        <v>13</v>
      </c>
      <c r="K48" s="19" t="s">
        <v>14</v>
      </c>
      <c r="L48" s="19" t="s">
        <v>15</v>
      </c>
    </row>
    <row r="49" spans="1:12" x14ac:dyDescent="0.25">
      <c r="A49" s="5" t="s">
        <v>7</v>
      </c>
      <c r="B49" s="1">
        <v>23</v>
      </c>
      <c r="C49" s="63">
        <v>431086.93</v>
      </c>
      <c r="D49" s="63">
        <v>0</v>
      </c>
      <c r="E49" s="63">
        <v>0</v>
      </c>
      <c r="F49" s="63">
        <v>4077.07</v>
      </c>
      <c r="G49" s="63">
        <v>0</v>
      </c>
      <c r="H49" s="63">
        <f>SUM(Tabela2451729[[#This Row],[Salário Base Total (R$)]:[1/3 de Férias]])</f>
        <v>435164</v>
      </c>
      <c r="I49" s="64">
        <v>21887.26</v>
      </c>
      <c r="J49" s="64">
        <v>91921.8</v>
      </c>
      <c r="K49" s="64">
        <f>382+4923.45+229.5+151.8+35785.75+400+1526.73+87+4077.07</f>
        <v>47563.3</v>
      </c>
      <c r="L49" s="64">
        <f>SUM(Tabela2451729[[#This Row],[INSS]:[Outros Descontos]])</f>
        <v>161372.35999999999</v>
      </c>
    </row>
    <row r="50" spans="1:12" x14ac:dyDescent="0.25">
      <c r="A50" s="5" t="s">
        <v>4</v>
      </c>
      <c r="B50" s="1">
        <v>39</v>
      </c>
      <c r="C50" s="63">
        <v>125903.01999999999</v>
      </c>
      <c r="D50" s="63">
        <v>173964.68000000002</v>
      </c>
      <c r="E50" s="63">
        <v>3267.25</v>
      </c>
      <c r="F50" s="63">
        <v>3181.44</v>
      </c>
      <c r="G50" s="63">
        <v>3483.78</v>
      </c>
      <c r="H50" s="63">
        <f>SUM(Tabela2451729[[#This Row],[Salário Base Total (R$)]:[1/3 de Férias]])</f>
        <v>309800.17000000004</v>
      </c>
      <c r="I50" s="63">
        <v>27785.93</v>
      </c>
      <c r="J50" s="63">
        <v>42521.08</v>
      </c>
      <c r="K50" s="63">
        <v>21077.8</v>
      </c>
      <c r="L50" s="64">
        <f>SUM(Tabela2451729[[#This Row],[INSS]:[Outros Descontos]])</f>
        <v>91384.810000000012</v>
      </c>
    </row>
    <row r="51" spans="1:12" x14ac:dyDescent="0.25">
      <c r="A51" s="5" t="s">
        <v>5</v>
      </c>
      <c r="B51" s="1">
        <v>429</v>
      </c>
      <c r="C51" s="63">
        <v>1150493.1000000001</v>
      </c>
      <c r="D51" s="63">
        <v>24705.249999999956</v>
      </c>
      <c r="E51" s="63">
        <v>0</v>
      </c>
      <c r="F51" s="63">
        <v>1791.26</v>
      </c>
      <c r="G51" s="63">
        <v>47712.66</v>
      </c>
      <c r="H51" s="63">
        <f>SUM(Tabela2451729[[#This Row],[Salário Base Total (R$)]:[1/3 de Férias]])</f>
        <v>1224702.27</v>
      </c>
      <c r="I51" s="63">
        <v>105048.94</v>
      </c>
      <c r="J51" s="63">
        <v>35497.61</v>
      </c>
      <c r="K51" s="63">
        <v>28759.17</v>
      </c>
      <c r="L51" s="64">
        <f>SUM(Tabela2451729[[#This Row],[INSS]:[Outros Descontos]])</f>
        <v>169305.71999999997</v>
      </c>
    </row>
    <row r="52" spans="1:12" x14ac:dyDescent="0.25">
      <c r="A52" s="5" t="s">
        <v>22</v>
      </c>
      <c r="B52" s="1">
        <v>1</v>
      </c>
      <c r="C52" s="63">
        <v>4452.1899999999996</v>
      </c>
      <c r="D52" s="63">
        <v>0</v>
      </c>
      <c r="E52" s="63">
        <v>0</v>
      </c>
      <c r="F52" s="63">
        <v>0</v>
      </c>
      <c r="G52" s="63">
        <v>0</v>
      </c>
      <c r="H52" s="63">
        <f>SUM(Tabela2451729[[#This Row],[Salário Base Total (R$)]:[1/3 de Férias]])</f>
        <v>4452.1899999999996</v>
      </c>
      <c r="I52" s="63">
        <v>0</v>
      </c>
      <c r="J52" s="65">
        <v>21.68</v>
      </c>
      <c r="K52" s="63">
        <v>0</v>
      </c>
      <c r="L52" s="64">
        <f>SUM(Tabela2451729[[#This Row],[INSS]:[Outros Descontos]])</f>
        <v>21.68</v>
      </c>
    </row>
    <row r="53" spans="1:12" x14ac:dyDescent="0.25">
      <c r="A53" s="5" t="s">
        <v>6</v>
      </c>
      <c r="B53" s="1">
        <v>4</v>
      </c>
      <c r="C53" s="63">
        <v>13979.66</v>
      </c>
      <c r="D53" s="63">
        <v>0</v>
      </c>
      <c r="E53" s="63">
        <v>0</v>
      </c>
      <c r="F53" s="63">
        <v>0</v>
      </c>
      <c r="G53" s="63">
        <v>0</v>
      </c>
      <c r="H53" s="63">
        <f>SUM(Tabela2451729[[#This Row],[Salário Base Total (R$)]:[1/3 de Férias]])</f>
        <v>13979.66</v>
      </c>
      <c r="I53" s="63">
        <v>0</v>
      </c>
      <c r="J53" s="63">
        <f>212.01-J52</f>
        <v>190.32999999999998</v>
      </c>
      <c r="K53" s="63">
        <f>781.12+508.91+563.78</f>
        <v>1853.81</v>
      </c>
      <c r="L53" s="64">
        <f>SUM(Tabela2451729[[#This Row],[INSS]:[Outros Descontos]])</f>
        <v>2044.1399999999999</v>
      </c>
    </row>
    <row r="54" spans="1:12" x14ac:dyDescent="0.25">
      <c r="A54" s="5" t="s">
        <v>8</v>
      </c>
      <c r="B54" s="1">
        <v>9</v>
      </c>
      <c r="C54" s="63">
        <v>8607.06</v>
      </c>
      <c r="D54" s="63">
        <v>956.34</v>
      </c>
      <c r="E54" s="63">
        <v>0</v>
      </c>
      <c r="F54" s="63">
        <v>0</v>
      </c>
      <c r="G54" s="63">
        <v>0</v>
      </c>
      <c r="H54" s="63">
        <f>SUM(Tabela2451729[[#This Row],[Salário Base Total (R$)]:[1/3 de Férias]])</f>
        <v>9563.4</v>
      </c>
      <c r="I54" s="63">
        <v>0</v>
      </c>
      <c r="J54" s="63">
        <v>0</v>
      </c>
      <c r="K54" s="63">
        <v>0</v>
      </c>
      <c r="L54" s="64">
        <f>SUM(Tabela2451729[[#This Row],[INSS]:[Outros Descontos]])</f>
        <v>0</v>
      </c>
    </row>
    <row r="55" spans="1:12" ht="15.75" x14ac:dyDescent="0.25">
      <c r="A55" s="6" t="s">
        <v>9</v>
      </c>
      <c r="B55" s="7">
        <f t="shared" ref="B55:L55" si="3">SUBTOTAL(109,B49:B54)</f>
        <v>505</v>
      </c>
      <c r="C55" s="66">
        <f t="shared" si="3"/>
        <v>1734521.96</v>
      </c>
      <c r="D55" s="66">
        <f t="shared" si="3"/>
        <v>199626.27</v>
      </c>
      <c r="E55" s="66">
        <f t="shared" si="3"/>
        <v>3267.25</v>
      </c>
      <c r="F55" s="66">
        <f t="shared" si="3"/>
        <v>9049.77</v>
      </c>
      <c r="G55" s="66">
        <f t="shared" si="3"/>
        <v>51196.44</v>
      </c>
      <c r="H55" s="66">
        <f t="shared" si="3"/>
        <v>1997661.6899999997</v>
      </c>
      <c r="I55" s="66">
        <f t="shared" si="3"/>
        <v>154722.13</v>
      </c>
      <c r="J55" s="66">
        <f t="shared" si="3"/>
        <v>170152.49999999997</v>
      </c>
      <c r="K55" s="66">
        <f t="shared" si="3"/>
        <v>99254.080000000002</v>
      </c>
      <c r="L55" s="66">
        <f t="shared" si="3"/>
        <v>424128.70999999996</v>
      </c>
    </row>
    <row r="56" spans="1:12" ht="7.5" customHeight="1" x14ac:dyDescent="0.25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ht="15.75" x14ac:dyDescent="0.25">
      <c r="C57" s="22" t="s">
        <v>25</v>
      </c>
      <c r="D57" s="23">
        <f>H55-L55</f>
        <v>1573532.9799999997</v>
      </c>
      <c r="E57" s="13"/>
      <c r="F57" s="13"/>
      <c r="G57" s="13"/>
      <c r="H57" s="22" t="s">
        <v>23</v>
      </c>
      <c r="I57" s="23">
        <v>1922496.94</v>
      </c>
      <c r="K57" s="31"/>
    </row>
    <row r="58" spans="1:12" ht="15.75" x14ac:dyDescent="0.25">
      <c r="E58" s="13"/>
      <c r="H58" s="22" t="s">
        <v>24</v>
      </c>
      <c r="I58" s="23">
        <f>I57*0.21</f>
        <v>403724.35739999998</v>
      </c>
    </row>
    <row r="59" spans="1:12" ht="7.5" customHeight="1" x14ac:dyDescent="0.25">
      <c r="A59" s="14"/>
      <c r="B59" s="15"/>
      <c r="C59" s="17"/>
      <c r="D59" s="17"/>
      <c r="E59" s="17"/>
      <c r="F59" s="17"/>
      <c r="G59" s="17"/>
      <c r="H59" s="17"/>
      <c r="I59" s="17"/>
      <c r="J59" s="16"/>
      <c r="K59" s="16"/>
      <c r="L59" s="16"/>
    </row>
    <row r="60" spans="1:12" ht="7.5" customHeight="1" x14ac:dyDescent="0.25">
      <c r="I60" s="21"/>
    </row>
    <row r="61" spans="1:12" ht="17.25" x14ac:dyDescent="0.3">
      <c r="A61" s="10" t="s">
        <v>16</v>
      </c>
      <c r="B61" s="9" t="s">
        <v>29</v>
      </c>
      <c r="C61" s="9"/>
      <c r="D61" s="62" t="s">
        <v>57</v>
      </c>
      <c r="I61" s="21"/>
    </row>
    <row r="62" spans="1:12" ht="6.75" customHeight="1" x14ac:dyDescent="0.25"/>
    <row r="63" spans="1:12" ht="30" x14ac:dyDescent="0.25">
      <c r="A63" s="18" t="s">
        <v>3</v>
      </c>
      <c r="B63" s="19" t="s">
        <v>21</v>
      </c>
      <c r="C63" s="19" t="s">
        <v>10</v>
      </c>
      <c r="D63" s="19" t="s">
        <v>0</v>
      </c>
      <c r="E63" s="19" t="s">
        <v>20</v>
      </c>
      <c r="F63" s="19" t="s">
        <v>2</v>
      </c>
      <c r="G63" s="20" t="s">
        <v>11</v>
      </c>
      <c r="H63" s="20" t="s">
        <v>1</v>
      </c>
      <c r="I63" s="19" t="s">
        <v>12</v>
      </c>
      <c r="J63" s="19" t="s">
        <v>13</v>
      </c>
      <c r="K63" s="19" t="s">
        <v>14</v>
      </c>
      <c r="L63" s="19" t="s">
        <v>15</v>
      </c>
    </row>
    <row r="64" spans="1:12" x14ac:dyDescent="0.25">
      <c r="A64" s="5" t="s">
        <v>7</v>
      </c>
      <c r="B64" s="1">
        <v>23</v>
      </c>
      <c r="C64" s="63">
        <v>431086.93</v>
      </c>
      <c r="D64" s="63">
        <v>0</v>
      </c>
      <c r="E64" s="63">
        <v>0</v>
      </c>
      <c r="F64" s="63">
        <v>4077.07</v>
      </c>
      <c r="G64" s="63">
        <v>0</v>
      </c>
      <c r="H64" s="63">
        <f>SUM(Tabela2451731[[#This Row],[Salário Base Total (R$)]:[1/3 de Férias]])</f>
        <v>435164</v>
      </c>
      <c r="I64" s="64">
        <v>21887.26</v>
      </c>
      <c r="J64" s="64">
        <v>91921.8</v>
      </c>
      <c r="K64" s="64">
        <f>382+4923.45+229.5+151.8+35785.75+400+1526.73+87+4077.07</f>
        <v>47563.3</v>
      </c>
      <c r="L64" s="64">
        <f>SUM(Tabela2451731[[#This Row],[INSS]:[Outros Descontos]])</f>
        <v>161372.35999999999</v>
      </c>
    </row>
    <row r="65" spans="1:12" x14ac:dyDescent="0.25">
      <c r="A65" s="5" t="s">
        <v>4</v>
      </c>
      <c r="B65" s="1">
        <v>39</v>
      </c>
      <c r="C65" s="63">
        <v>125903.01999999999</v>
      </c>
      <c r="D65" s="63">
        <v>173964.68000000002</v>
      </c>
      <c r="E65" s="63">
        <v>3267.25</v>
      </c>
      <c r="F65" s="63">
        <v>3181.44</v>
      </c>
      <c r="G65" s="63">
        <v>3483.78</v>
      </c>
      <c r="H65" s="63">
        <f>SUM(Tabela2451731[[#This Row],[Salário Base Total (R$)]:[1/3 de Férias]])</f>
        <v>309800.17000000004</v>
      </c>
      <c r="I65" s="63">
        <v>27785.93</v>
      </c>
      <c r="J65" s="63">
        <v>42521.08</v>
      </c>
      <c r="K65" s="63">
        <v>21077.8</v>
      </c>
      <c r="L65" s="64">
        <f>SUM(Tabela2451731[[#This Row],[INSS]:[Outros Descontos]])</f>
        <v>91384.810000000012</v>
      </c>
    </row>
    <row r="66" spans="1:12" x14ac:dyDescent="0.25">
      <c r="A66" s="5" t="s">
        <v>5</v>
      </c>
      <c r="B66" s="1">
        <v>429</v>
      </c>
      <c r="C66" s="63">
        <v>1150493.1000000001</v>
      </c>
      <c r="D66" s="63">
        <v>24705.249999999956</v>
      </c>
      <c r="E66" s="63">
        <v>0</v>
      </c>
      <c r="F66" s="63">
        <v>1791.26</v>
      </c>
      <c r="G66" s="63">
        <v>47712.66</v>
      </c>
      <c r="H66" s="63">
        <f>SUM(Tabela2451731[[#This Row],[Salário Base Total (R$)]:[1/3 de Férias]])</f>
        <v>1224702.27</v>
      </c>
      <c r="I66" s="63">
        <v>105048.94</v>
      </c>
      <c r="J66" s="63">
        <v>35497.61</v>
      </c>
      <c r="K66" s="63">
        <v>28759.17</v>
      </c>
      <c r="L66" s="64">
        <f>SUM(Tabela2451731[[#This Row],[INSS]:[Outros Descontos]])</f>
        <v>169305.71999999997</v>
      </c>
    </row>
    <row r="67" spans="1:12" x14ac:dyDescent="0.25">
      <c r="A67" s="5" t="s">
        <v>22</v>
      </c>
      <c r="B67" s="1">
        <v>1</v>
      </c>
      <c r="C67" s="63">
        <v>4452.1899999999996</v>
      </c>
      <c r="D67" s="63">
        <v>0</v>
      </c>
      <c r="E67" s="63">
        <v>0</v>
      </c>
      <c r="F67" s="63">
        <v>0</v>
      </c>
      <c r="G67" s="63">
        <v>0</v>
      </c>
      <c r="H67" s="63">
        <f>SUM(Tabela2451731[[#This Row],[Salário Base Total (R$)]:[1/3 de Férias]])</f>
        <v>4452.1899999999996</v>
      </c>
      <c r="I67" s="63">
        <v>0</v>
      </c>
      <c r="J67" s="65">
        <v>21.68</v>
      </c>
      <c r="K67" s="63">
        <v>0</v>
      </c>
      <c r="L67" s="64">
        <f>SUM(Tabela2451731[[#This Row],[INSS]:[Outros Descontos]])</f>
        <v>21.68</v>
      </c>
    </row>
    <row r="68" spans="1:12" x14ac:dyDescent="0.25">
      <c r="A68" s="5" t="s">
        <v>6</v>
      </c>
      <c r="B68" s="1">
        <v>4</v>
      </c>
      <c r="C68" s="63">
        <v>13979.66</v>
      </c>
      <c r="D68" s="63">
        <v>0</v>
      </c>
      <c r="E68" s="63">
        <v>0</v>
      </c>
      <c r="F68" s="63">
        <v>0</v>
      </c>
      <c r="G68" s="63">
        <v>0</v>
      </c>
      <c r="H68" s="63">
        <f>SUM(Tabela2451731[[#This Row],[Salário Base Total (R$)]:[1/3 de Férias]])</f>
        <v>13979.66</v>
      </c>
      <c r="I68" s="63">
        <v>0</v>
      </c>
      <c r="J68" s="63">
        <f>212.01-J67</f>
        <v>190.32999999999998</v>
      </c>
      <c r="K68" s="63">
        <f>781.12+508.91+563.78</f>
        <v>1853.81</v>
      </c>
      <c r="L68" s="64">
        <f>SUM(Tabela2451731[[#This Row],[INSS]:[Outros Descontos]])</f>
        <v>2044.1399999999999</v>
      </c>
    </row>
    <row r="69" spans="1:12" x14ac:dyDescent="0.25">
      <c r="A69" s="5" t="s">
        <v>8</v>
      </c>
      <c r="B69" s="1">
        <v>9</v>
      </c>
      <c r="C69" s="63">
        <v>8607.06</v>
      </c>
      <c r="D69" s="63">
        <v>956.34</v>
      </c>
      <c r="E69" s="63">
        <v>0</v>
      </c>
      <c r="F69" s="63">
        <v>0</v>
      </c>
      <c r="G69" s="63">
        <v>0</v>
      </c>
      <c r="H69" s="63">
        <f>SUM(Tabela2451731[[#This Row],[Salário Base Total (R$)]:[1/3 de Férias]])</f>
        <v>9563.4</v>
      </c>
      <c r="I69" s="63">
        <v>0</v>
      </c>
      <c r="J69" s="63">
        <v>0</v>
      </c>
      <c r="K69" s="63">
        <v>0</v>
      </c>
      <c r="L69" s="64">
        <f>SUM(Tabela2451731[[#This Row],[INSS]:[Outros Descontos]])</f>
        <v>0</v>
      </c>
    </row>
    <row r="70" spans="1:12" ht="15.75" x14ac:dyDescent="0.25">
      <c r="A70" s="6" t="s">
        <v>9</v>
      </c>
      <c r="B70" s="7">
        <f t="shared" ref="B70:L70" si="4">SUBTOTAL(109,B64:B69)</f>
        <v>505</v>
      </c>
      <c r="C70" s="66">
        <f t="shared" si="4"/>
        <v>1734521.96</v>
      </c>
      <c r="D70" s="66">
        <f t="shared" si="4"/>
        <v>199626.27</v>
      </c>
      <c r="E70" s="66">
        <f t="shared" si="4"/>
        <v>3267.25</v>
      </c>
      <c r="F70" s="66">
        <f t="shared" si="4"/>
        <v>9049.77</v>
      </c>
      <c r="G70" s="66">
        <f t="shared" si="4"/>
        <v>51196.44</v>
      </c>
      <c r="H70" s="66">
        <f t="shared" si="4"/>
        <v>1997661.6899999997</v>
      </c>
      <c r="I70" s="66">
        <f t="shared" si="4"/>
        <v>154722.13</v>
      </c>
      <c r="J70" s="66">
        <f t="shared" si="4"/>
        <v>170152.49999999997</v>
      </c>
      <c r="K70" s="66">
        <f t="shared" si="4"/>
        <v>99254.080000000002</v>
      </c>
      <c r="L70" s="66">
        <f t="shared" si="4"/>
        <v>424128.70999999996</v>
      </c>
    </row>
    <row r="71" spans="1:12" ht="7.5" customHeight="1" x14ac:dyDescent="0.25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ht="15.75" x14ac:dyDescent="0.25">
      <c r="C72" s="22" t="s">
        <v>25</v>
      </c>
      <c r="D72" s="23">
        <f>H70-L70</f>
        <v>1573532.9799999997</v>
      </c>
      <c r="E72" s="13"/>
      <c r="F72" s="13"/>
      <c r="G72" s="13"/>
      <c r="H72" s="22" t="s">
        <v>23</v>
      </c>
      <c r="I72" s="23">
        <v>1922496.94</v>
      </c>
      <c r="K72" s="31"/>
    </row>
    <row r="73" spans="1:12" ht="15.75" x14ac:dyDescent="0.25">
      <c r="E73" s="13"/>
      <c r="H73" s="22" t="s">
        <v>24</v>
      </c>
      <c r="I73" s="23">
        <f>I72*0.21</f>
        <v>403724.35739999998</v>
      </c>
    </row>
    <row r="74" spans="1:12" ht="7.5" customHeight="1" x14ac:dyDescent="0.25">
      <c r="A74" s="14"/>
      <c r="B74" s="15"/>
      <c r="C74" s="17"/>
      <c r="D74" s="17"/>
      <c r="E74" s="17"/>
      <c r="F74" s="17"/>
      <c r="G74" s="17"/>
      <c r="H74" s="17"/>
      <c r="I74" s="17"/>
      <c r="J74" s="16"/>
      <c r="K74" s="16"/>
      <c r="L74" s="16"/>
    </row>
    <row r="75" spans="1:12" ht="7.5" customHeight="1" x14ac:dyDescent="0.25">
      <c r="I75" s="21"/>
    </row>
    <row r="76" spans="1:12" ht="17.25" x14ac:dyDescent="0.3">
      <c r="A76" s="10" t="s">
        <v>16</v>
      </c>
      <c r="B76" s="9" t="s">
        <v>30</v>
      </c>
      <c r="C76" s="9"/>
      <c r="D76" s="62" t="s">
        <v>57</v>
      </c>
      <c r="I76" s="21"/>
    </row>
    <row r="77" spans="1:12" ht="6.75" customHeight="1" x14ac:dyDescent="0.25"/>
    <row r="78" spans="1:12" ht="30" x14ac:dyDescent="0.25">
      <c r="A78" s="18" t="s">
        <v>3</v>
      </c>
      <c r="B78" s="19" t="s">
        <v>21</v>
      </c>
      <c r="C78" s="19" t="s">
        <v>10</v>
      </c>
      <c r="D78" s="19" t="s">
        <v>0</v>
      </c>
      <c r="E78" s="19" t="s">
        <v>20</v>
      </c>
      <c r="F78" s="19" t="s">
        <v>2</v>
      </c>
      <c r="G78" s="20" t="s">
        <v>11</v>
      </c>
      <c r="H78" s="20" t="s">
        <v>1</v>
      </c>
      <c r="I78" s="19" t="s">
        <v>12</v>
      </c>
      <c r="J78" s="19" t="s">
        <v>13</v>
      </c>
      <c r="K78" s="19" t="s">
        <v>14</v>
      </c>
      <c r="L78" s="19" t="s">
        <v>15</v>
      </c>
    </row>
    <row r="79" spans="1:12" x14ac:dyDescent="0.25">
      <c r="A79" s="5" t="s">
        <v>7</v>
      </c>
      <c r="B79" s="1">
        <v>23</v>
      </c>
      <c r="C79" s="63">
        <v>431086.93</v>
      </c>
      <c r="D79" s="63">
        <v>0</v>
      </c>
      <c r="E79" s="63">
        <v>0</v>
      </c>
      <c r="F79" s="63">
        <v>4077.07</v>
      </c>
      <c r="G79" s="63">
        <v>0</v>
      </c>
      <c r="H79" s="63">
        <f>SUM(Tabela2451733[[#This Row],[Salário Base Total (R$)]:[1/3 de Férias]])</f>
        <v>435164</v>
      </c>
      <c r="I79" s="64">
        <v>21887.26</v>
      </c>
      <c r="J79" s="64">
        <v>91921.8</v>
      </c>
      <c r="K79" s="64">
        <f>382+4923.45+229.5+151.8+35785.75+400+1526.73+87+4077.07</f>
        <v>47563.3</v>
      </c>
      <c r="L79" s="64">
        <f>SUM(Tabela2451733[[#This Row],[INSS]:[Outros Descontos]])</f>
        <v>161372.35999999999</v>
      </c>
    </row>
    <row r="80" spans="1:12" x14ac:dyDescent="0.25">
      <c r="A80" s="5" t="s">
        <v>4</v>
      </c>
      <c r="B80" s="1">
        <v>39</v>
      </c>
      <c r="C80" s="63">
        <v>125903.01999999999</v>
      </c>
      <c r="D80" s="63">
        <v>173964.68000000002</v>
      </c>
      <c r="E80" s="63">
        <v>3267.25</v>
      </c>
      <c r="F80" s="63">
        <v>3181.44</v>
      </c>
      <c r="G80" s="63">
        <v>3483.78</v>
      </c>
      <c r="H80" s="63">
        <f>SUM(Tabela2451733[[#This Row],[Salário Base Total (R$)]:[1/3 de Férias]])</f>
        <v>309800.17000000004</v>
      </c>
      <c r="I80" s="63">
        <v>27785.93</v>
      </c>
      <c r="J80" s="63">
        <v>42521.08</v>
      </c>
      <c r="K80" s="63">
        <v>21077.8</v>
      </c>
      <c r="L80" s="64">
        <f>SUM(Tabela2451733[[#This Row],[INSS]:[Outros Descontos]])</f>
        <v>91384.810000000012</v>
      </c>
    </row>
    <row r="81" spans="1:12" x14ac:dyDescent="0.25">
      <c r="A81" s="5" t="s">
        <v>5</v>
      </c>
      <c r="B81" s="1">
        <v>429</v>
      </c>
      <c r="C81" s="63">
        <v>1150493.1000000001</v>
      </c>
      <c r="D81" s="63">
        <v>24705.249999999956</v>
      </c>
      <c r="E81" s="63">
        <v>0</v>
      </c>
      <c r="F81" s="63">
        <v>1791.26</v>
      </c>
      <c r="G81" s="63">
        <v>47712.66</v>
      </c>
      <c r="H81" s="63">
        <f>SUM(Tabela2451733[[#This Row],[Salário Base Total (R$)]:[1/3 de Férias]])</f>
        <v>1224702.27</v>
      </c>
      <c r="I81" s="63">
        <v>105048.94</v>
      </c>
      <c r="J81" s="63">
        <v>35497.61</v>
      </c>
      <c r="K81" s="63">
        <v>28759.17</v>
      </c>
      <c r="L81" s="64">
        <f>SUM(Tabela2451733[[#This Row],[INSS]:[Outros Descontos]])</f>
        <v>169305.71999999997</v>
      </c>
    </row>
    <row r="82" spans="1:12" x14ac:dyDescent="0.25">
      <c r="A82" s="5" t="s">
        <v>22</v>
      </c>
      <c r="B82" s="1">
        <v>1</v>
      </c>
      <c r="C82" s="63">
        <v>4452.1899999999996</v>
      </c>
      <c r="D82" s="63">
        <v>0</v>
      </c>
      <c r="E82" s="63">
        <v>0</v>
      </c>
      <c r="F82" s="63">
        <v>0</v>
      </c>
      <c r="G82" s="63">
        <v>0</v>
      </c>
      <c r="H82" s="63">
        <f>SUM(Tabela2451733[[#This Row],[Salário Base Total (R$)]:[1/3 de Férias]])</f>
        <v>4452.1899999999996</v>
      </c>
      <c r="I82" s="63">
        <v>0</v>
      </c>
      <c r="J82" s="65">
        <v>21.68</v>
      </c>
      <c r="K82" s="63">
        <v>0</v>
      </c>
      <c r="L82" s="64">
        <f>SUM(Tabela2451733[[#This Row],[INSS]:[Outros Descontos]])</f>
        <v>21.68</v>
      </c>
    </row>
    <row r="83" spans="1:12" x14ac:dyDescent="0.25">
      <c r="A83" s="5" t="s">
        <v>6</v>
      </c>
      <c r="B83" s="1">
        <v>4</v>
      </c>
      <c r="C83" s="63">
        <v>13979.66</v>
      </c>
      <c r="D83" s="63">
        <v>0</v>
      </c>
      <c r="E83" s="63">
        <v>0</v>
      </c>
      <c r="F83" s="63">
        <v>0</v>
      </c>
      <c r="G83" s="63">
        <v>0</v>
      </c>
      <c r="H83" s="63">
        <f>SUM(Tabela2451733[[#This Row],[Salário Base Total (R$)]:[1/3 de Férias]])</f>
        <v>13979.66</v>
      </c>
      <c r="I83" s="63">
        <v>0</v>
      </c>
      <c r="J83" s="63">
        <f>212.01-J82</f>
        <v>190.32999999999998</v>
      </c>
      <c r="K83" s="63">
        <f>781.12+508.91+563.78</f>
        <v>1853.81</v>
      </c>
      <c r="L83" s="64">
        <f>SUM(Tabela2451733[[#This Row],[INSS]:[Outros Descontos]])</f>
        <v>2044.1399999999999</v>
      </c>
    </row>
    <row r="84" spans="1:12" x14ac:dyDescent="0.25">
      <c r="A84" s="5" t="s">
        <v>8</v>
      </c>
      <c r="B84" s="1">
        <v>9</v>
      </c>
      <c r="C84" s="63">
        <v>8607.06</v>
      </c>
      <c r="D84" s="63">
        <v>956.34</v>
      </c>
      <c r="E84" s="63">
        <v>0</v>
      </c>
      <c r="F84" s="63">
        <v>0</v>
      </c>
      <c r="G84" s="63">
        <v>0</v>
      </c>
      <c r="H84" s="63">
        <f>SUM(Tabela2451733[[#This Row],[Salário Base Total (R$)]:[1/3 de Férias]])</f>
        <v>9563.4</v>
      </c>
      <c r="I84" s="63">
        <v>0</v>
      </c>
      <c r="J84" s="63">
        <v>0</v>
      </c>
      <c r="K84" s="63">
        <v>0</v>
      </c>
      <c r="L84" s="64">
        <f>SUM(Tabela2451733[[#This Row],[INSS]:[Outros Descontos]])</f>
        <v>0</v>
      </c>
    </row>
    <row r="85" spans="1:12" ht="15.75" x14ac:dyDescent="0.25">
      <c r="A85" s="6" t="s">
        <v>9</v>
      </c>
      <c r="B85" s="7">
        <f t="shared" ref="B85:L85" si="5">SUBTOTAL(109,B79:B84)</f>
        <v>505</v>
      </c>
      <c r="C85" s="66">
        <f t="shared" si="5"/>
        <v>1734521.96</v>
      </c>
      <c r="D85" s="66">
        <f t="shared" si="5"/>
        <v>199626.27</v>
      </c>
      <c r="E85" s="66">
        <f t="shared" si="5"/>
        <v>3267.25</v>
      </c>
      <c r="F85" s="66">
        <f t="shared" si="5"/>
        <v>9049.77</v>
      </c>
      <c r="G85" s="66">
        <f t="shared" si="5"/>
        <v>51196.44</v>
      </c>
      <c r="H85" s="66">
        <f t="shared" si="5"/>
        <v>1997661.6899999997</v>
      </c>
      <c r="I85" s="66">
        <f t="shared" si="5"/>
        <v>154722.13</v>
      </c>
      <c r="J85" s="66">
        <f t="shared" si="5"/>
        <v>170152.49999999997</v>
      </c>
      <c r="K85" s="66">
        <f t="shared" si="5"/>
        <v>99254.080000000002</v>
      </c>
      <c r="L85" s="66">
        <f t="shared" si="5"/>
        <v>424128.70999999996</v>
      </c>
    </row>
    <row r="86" spans="1:12" ht="7.5" customHeight="1" x14ac:dyDescent="0.25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ht="15.75" x14ac:dyDescent="0.25">
      <c r="C87" s="22" t="s">
        <v>25</v>
      </c>
      <c r="D87" s="23">
        <f>H85-L85</f>
        <v>1573532.9799999997</v>
      </c>
      <c r="E87" s="13"/>
      <c r="F87" s="13"/>
      <c r="G87" s="13"/>
      <c r="H87" s="22" t="s">
        <v>23</v>
      </c>
      <c r="I87" s="23">
        <v>1922496.94</v>
      </c>
      <c r="K87" s="31"/>
    </row>
    <row r="88" spans="1:12" ht="15.75" x14ac:dyDescent="0.25">
      <c r="E88" s="13"/>
      <c r="H88" s="22" t="s">
        <v>24</v>
      </c>
      <c r="I88" s="23">
        <f>I87*0.21</f>
        <v>403724.35739999998</v>
      </c>
    </row>
    <row r="89" spans="1:12" ht="7.5" customHeight="1" x14ac:dyDescent="0.25">
      <c r="A89" s="14"/>
      <c r="B89" s="15"/>
      <c r="C89" s="17"/>
      <c r="D89" s="17"/>
      <c r="E89" s="17"/>
      <c r="F89" s="17"/>
      <c r="G89" s="17"/>
      <c r="H89" s="17"/>
      <c r="I89" s="17"/>
      <c r="J89" s="16"/>
      <c r="K89" s="16"/>
      <c r="L89" s="16"/>
    </row>
    <row r="90" spans="1:12" ht="7.5" customHeight="1" x14ac:dyDescent="0.25">
      <c r="I90" s="21"/>
    </row>
    <row r="91" spans="1:12" ht="17.25" x14ac:dyDescent="0.3">
      <c r="A91" s="10" t="s">
        <v>16</v>
      </c>
      <c r="B91" s="9" t="s">
        <v>31</v>
      </c>
      <c r="C91" s="9"/>
      <c r="D91" s="62" t="s">
        <v>57</v>
      </c>
      <c r="I91" s="21"/>
    </row>
    <row r="92" spans="1:12" ht="6.75" customHeight="1" x14ac:dyDescent="0.25"/>
    <row r="93" spans="1:12" ht="30" x14ac:dyDescent="0.25">
      <c r="A93" s="18" t="s">
        <v>3</v>
      </c>
      <c r="B93" s="19" t="s">
        <v>21</v>
      </c>
      <c r="C93" s="19" t="s">
        <v>10</v>
      </c>
      <c r="D93" s="19" t="s">
        <v>0</v>
      </c>
      <c r="E93" s="19" t="s">
        <v>20</v>
      </c>
      <c r="F93" s="19" t="s">
        <v>2</v>
      </c>
      <c r="G93" s="20" t="s">
        <v>11</v>
      </c>
      <c r="H93" s="20" t="s">
        <v>1</v>
      </c>
      <c r="I93" s="19" t="s">
        <v>12</v>
      </c>
      <c r="J93" s="19" t="s">
        <v>13</v>
      </c>
      <c r="K93" s="19" t="s">
        <v>14</v>
      </c>
      <c r="L93" s="19" t="s">
        <v>15</v>
      </c>
    </row>
    <row r="94" spans="1:12" x14ac:dyDescent="0.25">
      <c r="A94" s="5" t="s">
        <v>7</v>
      </c>
      <c r="B94" s="1">
        <v>23</v>
      </c>
      <c r="C94" s="63">
        <v>431086.93</v>
      </c>
      <c r="D94" s="63">
        <v>0</v>
      </c>
      <c r="E94" s="63">
        <v>0</v>
      </c>
      <c r="F94" s="63">
        <v>4077.07</v>
      </c>
      <c r="G94" s="63">
        <v>0</v>
      </c>
      <c r="H94" s="63">
        <f>SUM(Tabela2451735[[#This Row],[Salário Base Total (R$)]:[1/3 de Férias]])</f>
        <v>435164</v>
      </c>
      <c r="I94" s="64">
        <v>21887.26</v>
      </c>
      <c r="J94" s="64">
        <v>91921.8</v>
      </c>
      <c r="K94" s="64">
        <f>382+4923.45+229.5+151.8+35785.75+400+1526.73+87+4077.07</f>
        <v>47563.3</v>
      </c>
      <c r="L94" s="64">
        <f>SUM(Tabela2451735[[#This Row],[INSS]:[Outros Descontos]])</f>
        <v>161372.35999999999</v>
      </c>
    </row>
    <row r="95" spans="1:12" x14ac:dyDescent="0.25">
      <c r="A95" s="5" t="s">
        <v>4</v>
      </c>
      <c r="B95" s="1">
        <v>39</v>
      </c>
      <c r="C95" s="63">
        <v>125903.01999999999</v>
      </c>
      <c r="D95" s="63">
        <v>173964.68000000002</v>
      </c>
      <c r="E95" s="63">
        <v>3267.25</v>
      </c>
      <c r="F95" s="63">
        <v>3181.44</v>
      </c>
      <c r="G95" s="63">
        <v>3483.78</v>
      </c>
      <c r="H95" s="63">
        <f>SUM(Tabela2451735[[#This Row],[Salário Base Total (R$)]:[1/3 de Férias]])</f>
        <v>309800.17000000004</v>
      </c>
      <c r="I95" s="63">
        <v>27785.93</v>
      </c>
      <c r="J95" s="63">
        <v>42521.08</v>
      </c>
      <c r="K95" s="63">
        <v>21077.8</v>
      </c>
      <c r="L95" s="64">
        <f>SUM(Tabela2451735[[#This Row],[INSS]:[Outros Descontos]])</f>
        <v>91384.810000000012</v>
      </c>
    </row>
    <row r="96" spans="1:12" x14ac:dyDescent="0.25">
      <c r="A96" s="5" t="s">
        <v>5</v>
      </c>
      <c r="B96" s="1">
        <v>429</v>
      </c>
      <c r="C96" s="63">
        <v>1150493.1000000001</v>
      </c>
      <c r="D96" s="63">
        <v>24705.249999999956</v>
      </c>
      <c r="E96" s="63">
        <v>0</v>
      </c>
      <c r="F96" s="63">
        <v>1791.26</v>
      </c>
      <c r="G96" s="63">
        <v>47712.66</v>
      </c>
      <c r="H96" s="63">
        <f>SUM(Tabela2451735[[#This Row],[Salário Base Total (R$)]:[1/3 de Férias]])</f>
        <v>1224702.27</v>
      </c>
      <c r="I96" s="63">
        <v>105048.94</v>
      </c>
      <c r="J96" s="63">
        <v>35497.61</v>
      </c>
      <c r="K96" s="63">
        <v>28759.17</v>
      </c>
      <c r="L96" s="64">
        <f>SUM(Tabela2451735[[#This Row],[INSS]:[Outros Descontos]])</f>
        <v>169305.71999999997</v>
      </c>
    </row>
    <row r="97" spans="1:12" x14ac:dyDescent="0.25">
      <c r="A97" s="5" t="s">
        <v>22</v>
      </c>
      <c r="B97" s="1">
        <v>1</v>
      </c>
      <c r="C97" s="63">
        <v>4452.1899999999996</v>
      </c>
      <c r="D97" s="63">
        <v>0</v>
      </c>
      <c r="E97" s="63">
        <v>0</v>
      </c>
      <c r="F97" s="63">
        <v>0</v>
      </c>
      <c r="G97" s="63">
        <v>0</v>
      </c>
      <c r="H97" s="63">
        <f>SUM(Tabela2451735[[#This Row],[Salário Base Total (R$)]:[1/3 de Férias]])</f>
        <v>4452.1899999999996</v>
      </c>
      <c r="I97" s="63">
        <v>0</v>
      </c>
      <c r="J97" s="65">
        <v>21.68</v>
      </c>
      <c r="K97" s="63">
        <v>0</v>
      </c>
      <c r="L97" s="64">
        <f>SUM(Tabela2451735[[#This Row],[INSS]:[Outros Descontos]])</f>
        <v>21.68</v>
      </c>
    </row>
    <row r="98" spans="1:12" x14ac:dyDescent="0.25">
      <c r="A98" s="5" t="s">
        <v>6</v>
      </c>
      <c r="B98" s="1">
        <v>4</v>
      </c>
      <c r="C98" s="63">
        <v>13979.66</v>
      </c>
      <c r="D98" s="63">
        <v>0</v>
      </c>
      <c r="E98" s="63">
        <v>0</v>
      </c>
      <c r="F98" s="63">
        <v>0</v>
      </c>
      <c r="G98" s="63">
        <v>0</v>
      </c>
      <c r="H98" s="63">
        <f>SUM(Tabela2451735[[#This Row],[Salário Base Total (R$)]:[1/3 de Férias]])</f>
        <v>13979.66</v>
      </c>
      <c r="I98" s="63">
        <v>0</v>
      </c>
      <c r="J98" s="63">
        <f>212.01-J97</f>
        <v>190.32999999999998</v>
      </c>
      <c r="K98" s="63">
        <f>781.12+508.91+563.78</f>
        <v>1853.81</v>
      </c>
      <c r="L98" s="64">
        <f>SUM(Tabela2451735[[#This Row],[INSS]:[Outros Descontos]])</f>
        <v>2044.1399999999999</v>
      </c>
    </row>
    <row r="99" spans="1:12" x14ac:dyDescent="0.25">
      <c r="A99" s="5" t="s">
        <v>8</v>
      </c>
      <c r="B99" s="1">
        <v>9</v>
      </c>
      <c r="C99" s="63">
        <v>8607.06</v>
      </c>
      <c r="D99" s="63">
        <v>956.34</v>
      </c>
      <c r="E99" s="63">
        <v>0</v>
      </c>
      <c r="F99" s="63">
        <v>0</v>
      </c>
      <c r="G99" s="63">
        <v>0</v>
      </c>
      <c r="H99" s="63">
        <f>SUM(Tabela2451735[[#This Row],[Salário Base Total (R$)]:[1/3 de Férias]])</f>
        <v>9563.4</v>
      </c>
      <c r="I99" s="63">
        <v>0</v>
      </c>
      <c r="J99" s="63">
        <v>0</v>
      </c>
      <c r="K99" s="63">
        <v>0</v>
      </c>
      <c r="L99" s="64">
        <f>SUM(Tabela2451735[[#This Row],[INSS]:[Outros Descontos]])</f>
        <v>0</v>
      </c>
    </row>
    <row r="100" spans="1:12" ht="15.75" x14ac:dyDescent="0.25">
      <c r="A100" s="6" t="s">
        <v>9</v>
      </c>
      <c r="B100" s="7">
        <f t="shared" ref="B100:L100" si="6">SUBTOTAL(109,B94:B99)</f>
        <v>505</v>
      </c>
      <c r="C100" s="66">
        <f t="shared" si="6"/>
        <v>1734521.96</v>
      </c>
      <c r="D100" s="66">
        <f t="shared" si="6"/>
        <v>199626.27</v>
      </c>
      <c r="E100" s="66">
        <f t="shared" si="6"/>
        <v>3267.25</v>
      </c>
      <c r="F100" s="66">
        <f t="shared" si="6"/>
        <v>9049.77</v>
      </c>
      <c r="G100" s="66">
        <f t="shared" si="6"/>
        <v>51196.44</v>
      </c>
      <c r="H100" s="66">
        <f t="shared" si="6"/>
        <v>1997661.6899999997</v>
      </c>
      <c r="I100" s="66">
        <f t="shared" si="6"/>
        <v>154722.13</v>
      </c>
      <c r="J100" s="66">
        <f t="shared" si="6"/>
        <v>170152.49999999997</v>
      </c>
      <c r="K100" s="66">
        <f t="shared" si="6"/>
        <v>99254.080000000002</v>
      </c>
      <c r="L100" s="66">
        <f t="shared" si="6"/>
        <v>424128.70999999996</v>
      </c>
    </row>
    <row r="101" spans="1:12" ht="7.5" customHeight="1" x14ac:dyDescent="0.25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15.75" x14ac:dyDescent="0.25">
      <c r="C102" s="22" t="s">
        <v>25</v>
      </c>
      <c r="D102" s="23">
        <f>H100-L100</f>
        <v>1573532.9799999997</v>
      </c>
      <c r="E102" s="13"/>
      <c r="F102" s="13"/>
      <c r="G102" s="13"/>
      <c r="H102" s="22" t="s">
        <v>23</v>
      </c>
      <c r="I102" s="23">
        <v>1922496.94</v>
      </c>
      <c r="K102" s="31"/>
    </row>
    <row r="103" spans="1:12" ht="15.75" x14ac:dyDescent="0.25">
      <c r="E103" s="13"/>
      <c r="H103" s="22" t="s">
        <v>24</v>
      </c>
      <c r="I103" s="23">
        <f>I102*0.21</f>
        <v>403724.35739999998</v>
      </c>
    </row>
    <row r="104" spans="1:12" ht="7.5" customHeight="1" x14ac:dyDescent="0.25">
      <c r="A104" s="14"/>
      <c r="B104" s="15"/>
      <c r="C104" s="17"/>
      <c r="D104" s="17"/>
      <c r="E104" s="17"/>
      <c r="F104" s="17"/>
      <c r="G104" s="17"/>
      <c r="H104" s="17"/>
      <c r="I104" s="17"/>
      <c r="J104" s="16"/>
      <c r="K104" s="16"/>
      <c r="L104" s="16"/>
    </row>
    <row r="105" spans="1:12" ht="7.5" customHeight="1" x14ac:dyDescent="0.25">
      <c r="I105" s="21"/>
    </row>
    <row r="106" spans="1:12" ht="17.25" x14ac:dyDescent="0.3">
      <c r="A106" s="10" t="s">
        <v>16</v>
      </c>
      <c r="B106" s="9" t="s">
        <v>32</v>
      </c>
      <c r="C106" s="9"/>
      <c r="D106" s="62" t="s">
        <v>57</v>
      </c>
      <c r="I106" s="21"/>
    </row>
    <row r="107" spans="1:12" ht="6.75" customHeight="1" x14ac:dyDescent="0.25"/>
    <row r="108" spans="1:12" ht="30" x14ac:dyDescent="0.25">
      <c r="A108" s="18" t="s">
        <v>3</v>
      </c>
      <c r="B108" s="19" t="s">
        <v>21</v>
      </c>
      <c r="C108" s="19" t="s">
        <v>10</v>
      </c>
      <c r="D108" s="19" t="s">
        <v>0</v>
      </c>
      <c r="E108" s="19" t="s">
        <v>20</v>
      </c>
      <c r="F108" s="19" t="s">
        <v>2</v>
      </c>
      <c r="G108" s="20" t="s">
        <v>11</v>
      </c>
      <c r="H108" s="20" t="s">
        <v>1</v>
      </c>
      <c r="I108" s="19" t="s">
        <v>12</v>
      </c>
      <c r="J108" s="19" t="s">
        <v>13</v>
      </c>
      <c r="K108" s="19" t="s">
        <v>14</v>
      </c>
      <c r="L108" s="19" t="s">
        <v>15</v>
      </c>
    </row>
    <row r="109" spans="1:12" x14ac:dyDescent="0.25">
      <c r="A109" s="5" t="s">
        <v>7</v>
      </c>
      <c r="B109" s="1">
        <v>23</v>
      </c>
      <c r="C109" s="63">
        <v>431086.93</v>
      </c>
      <c r="D109" s="63">
        <v>0</v>
      </c>
      <c r="E109" s="63">
        <v>0</v>
      </c>
      <c r="F109" s="63">
        <v>4077.07</v>
      </c>
      <c r="G109" s="63">
        <v>0</v>
      </c>
      <c r="H109" s="63">
        <f>SUM(Tabela2451737[[#This Row],[Salário Base Total (R$)]:[1/3 de Férias]])</f>
        <v>435164</v>
      </c>
      <c r="I109" s="64">
        <v>21887.26</v>
      </c>
      <c r="J109" s="64">
        <v>91921.8</v>
      </c>
      <c r="K109" s="64">
        <f>382+4923.45+229.5+151.8+35785.75+400+1526.73+87+4077.07</f>
        <v>47563.3</v>
      </c>
      <c r="L109" s="64">
        <f>SUM(Tabela2451737[[#This Row],[INSS]:[Outros Descontos]])</f>
        <v>161372.35999999999</v>
      </c>
    </row>
    <row r="110" spans="1:12" x14ac:dyDescent="0.25">
      <c r="A110" s="5" t="s">
        <v>4</v>
      </c>
      <c r="B110" s="1">
        <v>39</v>
      </c>
      <c r="C110" s="63">
        <v>125903.01999999999</v>
      </c>
      <c r="D110" s="63">
        <v>173964.68000000002</v>
      </c>
      <c r="E110" s="63">
        <v>3267.25</v>
      </c>
      <c r="F110" s="63">
        <v>3181.44</v>
      </c>
      <c r="G110" s="63">
        <v>3483.78</v>
      </c>
      <c r="H110" s="63">
        <f>SUM(Tabela2451737[[#This Row],[Salário Base Total (R$)]:[1/3 de Férias]])</f>
        <v>309800.17000000004</v>
      </c>
      <c r="I110" s="63">
        <v>27785.93</v>
      </c>
      <c r="J110" s="63">
        <v>42521.08</v>
      </c>
      <c r="K110" s="63">
        <v>21077.8</v>
      </c>
      <c r="L110" s="64">
        <f>SUM(Tabela2451737[[#This Row],[INSS]:[Outros Descontos]])</f>
        <v>91384.810000000012</v>
      </c>
    </row>
    <row r="111" spans="1:12" x14ac:dyDescent="0.25">
      <c r="A111" s="5" t="s">
        <v>5</v>
      </c>
      <c r="B111" s="1">
        <v>429</v>
      </c>
      <c r="C111" s="63">
        <v>1150493.1000000001</v>
      </c>
      <c r="D111" s="63">
        <v>24705.249999999956</v>
      </c>
      <c r="E111" s="63">
        <v>0</v>
      </c>
      <c r="F111" s="63">
        <v>1791.26</v>
      </c>
      <c r="G111" s="63">
        <v>47712.66</v>
      </c>
      <c r="H111" s="63">
        <f>SUM(Tabela2451737[[#This Row],[Salário Base Total (R$)]:[1/3 de Férias]])</f>
        <v>1224702.27</v>
      </c>
      <c r="I111" s="63">
        <v>105048.94</v>
      </c>
      <c r="J111" s="63">
        <v>35497.61</v>
      </c>
      <c r="K111" s="63">
        <v>28759.17</v>
      </c>
      <c r="L111" s="64">
        <f>SUM(Tabela2451737[[#This Row],[INSS]:[Outros Descontos]])</f>
        <v>169305.71999999997</v>
      </c>
    </row>
    <row r="112" spans="1:12" x14ac:dyDescent="0.25">
      <c r="A112" s="5" t="s">
        <v>22</v>
      </c>
      <c r="B112" s="1">
        <v>1</v>
      </c>
      <c r="C112" s="63">
        <v>4452.1899999999996</v>
      </c>
      <c r="D112" s="63">
        <v>0</v>
      </c>
      <c r="E112" s="63">
        <v>0</v>
      </c>
      <c r="F112" s="63">
        <v>0</v>
      </c>
      <c r="G112" s="63">
        <v>0</v>
      </c>
      <c r="H112" s="63">
        <f>SUM(Tabela2451737[[#This Row],[Salário Base Total (R$)]:[1/3 de Férias]])</f>
        <v>4452.1899999999996</v>
      </c>
      <c r="I112" s="63">
        <v>0</v>
      </c>
      <c r="J112" s="65">
        <v>21.68</v>
      </c>
      <c r="K112" s="63">
        <v>0</v>
      </c>
      <c r="L112" s="64">
        <f>SUM(Tabela2451737[[#This Row],[INSS]:[Outros Descontos]])</f>
        <v>21.68</v>
      </c>
    </row>
    <row r="113" spans="1:12" x14ac:dyDescent="0.25">
      <c r="A113" s="5" t="s">
        <v>6</v>
      </c>
      <c r="B113" s="1">
        <v>4</v>
      </c>
      <c r="C113" s="63">
        <v>13979.66</v>
      </c>
      <c r="D113" s="63">
        <v>0</v>
      </c>
      <c r="E113" s="63">
        <v>0</v>
      </c>
      <c r="F113" s="63">
        <v>0</v>
      </c>
      <c r="G113" s="63">
        <v>0</v>
      </c>
      <c r="H113" s="63">
        <f>SUM(Tabela2451737[[#This Row],[Salário Base Total (R$)]:[1/3 de Férias]])</f>
        <v>13979.66</v>
      </c>
      <c r="I113" s="63">
        <v>0</v>
      </c>
      <c r="J113" s="63">
        <f>212.01-J112</f>
        <v>190.32999999999998</v>
      </c>
      <c r="K113" s="63">
        <f>781.12+508.91+563.78</f>
        <v>1853.81</v>
      </c>
      <c r="L113" s="64">
        <f>SUM(Tabela2451737[[#This Row],[INSS]:[Outros Descontos]])</f>
        <v>2044.1399999999999</v>
      </c>
    </row>
    <row r="114" spans="1:12" x14ac:dyDescent="0.25">
      <c r="A114" s="5" t="s">
        <v>8</v>
      </c>
      <c r="B114" s="1">
        <v>9</v>
      </c>
      <c r="C114" s="63">
        <v>8607.06</v>
      </c>
      <c r="D114" s="63">
        <v>956.34</v>
      </c>
      <c r="E114" s="63">
        <v>0</v>
      </c>
      <c r="F114" s="63">
        <v>0</v>
      </c>
      <c r="G114" s="63">
        <v>0</v>
      </c>
      <c r="H114" s="63">
        <f>SUM(Tabela2451737[[#This Row],[Salário Base Total (R$)]:[1/3 de Férias]])</f>
        <v>9563.4</v>
      </c>
      <c r="I114" s="63">
        <v>0</v>
      </c>
      <c r="J114" s="63">
        <v>0</v>
      </c>
      <c r="K114" s="63">
        <v>0</v>
      </c>
      <c r="L114" s="64">
        <f>SUM(Tabela2451737[[#This Row],[INSS]:[Outros Descontos]])</f>
        <v>0</v>
      </c>
    </row>
    <row r="115" spans="1:12" ht="15.75" x14ac:dyDescent="0.25">
      <c r="A115" s="6" t="s">
        <v>9</v>
      </c>
      <c r="B115" s="7">
        <f t="shared" ref="B115:L115" si="7">SUBTOTAL(109,B109:B114)</f>
        <v>505</v>
      </c>
      <c r="C115" s="66">
        <f t="shared" si="7"/>
        <v>1734521.96</v>
      </c>
      <c r="D115" s="66">
        <f t="shared" si="7"/>
        <v>199626.27</v>
      </c>
      <c r="E115" s="66">
        <f t="shared" si="7"/>
        <v>3267.25</v>
      </c>
      <c r="F115" s="66">
        <f t="shared" si="7"/>
        <v>9049.77</v>
      </c>
      <c r="G115" s="66">
        <f t="shared" si="7"/>
        <v>51196.44</v>
      </c>
      <c r="H115" s="66">
        <f t="shared" si="7"/>
        <v>1997661.6899999997</v>
      </c>
      <c r="I115" s="66">
        <f t="shared" si="7"/>
        <v>154722.13</v>
      </c>
      <c r="J115" s="66">
        <f t="shared" si="7"/>
        <v>170152.49999999997</v>
      </c>
      <c r="K115" s="66">
        <f t="shared" si="7"/>
        <v>99254.080000000002</v>
      </c>
      <c r="L115" s="66">
        <f t="shared" si="7"/>
        <v>424128.70999999996</v>
      </c>
    </row>
    <row r="116" spans="1:12" ht="7.5" customHeight="1" x14ac:dyDescent="0.25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ht="15.75" x14ac:dyDescent="0.25">
      <c r="C117" s="22" t="s">
        <v>25</v>
      </c>
      <c r="D117" s="23">
        <f>H115-L115</f>
        <v>1573532.9799999997</v>
      </c>
      <c r="E117" s="13"/>
      <c r="F117" s="13"/>
      <c r="G117" s="13"/>
      <c r="H117" s="22" t="s">
        <v>23</v>
      </c>
      <c r="I117" s="23">
        <v>1922496.94</v>
      </c>
      <c r="K117" s="31"/>
    </row>
    <row r="118" spans="1:12" ht="15.75" x14ac:dyDescent="0.25">
      <c r="E118" s="13"/>
      <c r="H118" s="22" t="s">
        <v>24</v>
      </c>
      <c r="I118" s="23">
        <f>I117*0.21</f>
        <v>403724.35739999998</v>
      </c>
    </row>
    <row r="119" spans="1:12" ht="7.5" customHeight="1" x14ac:dyDescent="0.25">
      <c r="A119" s="14"/>
      <c r="B119" s="15"/>
      <c r="C119" s="17"/>
      <c r="D119" s="17"/>
      <c r="E119" s="17"/>
      <c r="F119" s="17"/>
      <c r="G119" s="17"/>
      <c r="H119" s="17"/>
      <c r="I119" s="17"/>
      <c r="J119" s="16"/>
      <c r="K119" s="16"/>
      <c r="L119" s="16"/>
    </row>
    <row r="120" spans="1:12" ht="7.5" customHeight="1" x14ac:dyDescent="0.25">
      <c r="I120" s="21"/>
    </row>
    <row r="121" spans="1:12" ht="17.25" x14ac:dyDescent="0.3">
      <c r="A121" s="10" t="s">
        <v>16</v>
      </c>
      <c r="B121" s="9" t="s">
        <v>33</v>
      </c>
      <c r="C121" s="9"/>
      <c r="D121" s="62" t="s">
        <v>57</v>
      </c>
      <c r="I121" s="21"/>
    </row>
    <row r="122" spans="1:12" ht="6.75" customHeight="1" x14ac:dyDescent="0.25"/>
    <row r="123" spans="1:12" ht="30" x14ac:dyDescent="0.25">
      <c r="A123" s="18" t="s">
        <v>3</v>
      </c>
      <c r="B123" s="19" t="s">
        <v>21</v>
      </c>
      <c r="C123" s="19" t="s">
        <v>10</v>
      </c>
      <c r="D123" s="19" t="s">
        <v>0</v>
      </c>
      <c r="E123" s="19" t="s">
        <v>20</v>
      </c>
      <c r="F123" s="19" t="s">
        <v>2</v>
      </c>
      <c r="G123" s="20" t="s">
        <v>11</v>
      </c>
      <c r="H123" s="20" t="s">
        <v>1</v>
      </c>
      <c r="I123" s="19" t="s">
        <v>12</v>
      </c>
      <c r="J123" s="19" t="s">
        <v>13</v>
      </c>
      <c r="K123" s="19" t="s">
        <v>14</v>
      </c>
      <c r="L123" s="19" t="s">
        <v>15</v>
      </c>
    </row>
    <row r="124" spans="1:12" x14ac:dyDescent="0.25">
      <c r="A124" s="5" t="s">
        <v>7</v>
      </c>
      <c r="B124" s="1">
        <v>23</v>
      </c>
      <c r="C124" s="63">
        <v>431086.93</v>
      </c>
      <c r="D124" s="63">
        <v>0</v>
      </c>
      <c r="E124" s="63">
        <v>0</v>
      </c>
      <c r="F124" s="63">
        <v>4077.07</v>
      </c>
      <c r="G124" s="63">
        <v>0</v>
      </c>
      <c r="H124" s="63">
        <f>SUM(Tabela2451739[[#This Row],[Salário Base Total (R$)]:[1/3 de Férias]])</f>
        <v>435164</v>
      </c>
      <c r="I124" s="64">
        <v>21887.26</v>
      </c>
      <c r="J124" s="64">
        <v>91921.8</v>
      </c>
      <c r="K124" s="64">
        <f>382+4923.45+229.5+151.8+35785.75+400+1526.73+87+4077.07</f>
        <v>47563.3</v>
      </c>
      <c r="L124" s="64">
        <f>SUM(Tabela2451739[[#This Row],[INSS]:[Outros Descontos]])</f>
        <v>161372.35999999999</v>
      </c>
    </row>
    <row r="125" spans="1:12" x14ac:dyDescent="0.25">
      <c r="A125" s="5" t="s">
        <v>4</v>
      </c>
      <c r="B125" s="1">
        <v>39</v>
      </c>
      <c r="C125" s="63">
        <v>125903.01999999999</v>
      </c>
      <c r="D125" s="63">
        <v>173964.68000000002</v>
      </c>
      <c r="E125" s="63">
        <v>3267.25</v>
      </c>
      <c r="F125" s="63">
        <v>3181.44</v>
      </c>
      <c r="G125" s="63">
        <v>3483.78</v>
      </c>
      <c r="H125" s="63">
        <f>SUM(Tabela2451739[[#This Row],[Salário Base Total (R$)]:[1/3 de Férias]])</f>
        <v>309800.17000000004</v>
      </c>
      <c r="I125" s="63">
        <v>27785.93</v>
      </c>
      <c r="J125" s="63">
        <v>42521.08</v>
      </c>
      <c r="K125" s="63">
        <v>21077.8</v>
      </c>
      <c r="L125" s="64">
        <f>SUM(Tabela2451739[[#This Row],[INSS]:[Outros Descontos]])</f>
        <v>91384.810000000012</v>
      </c>
    </row>
    <row r="126" spans="1:12" x14ac:dyDescent="0.25">
      <c r="A126" s="5" t="s">
        <v>5</v>
      </c>
      <c r="B126" s="1">
        <v>429</v>
      </c>
      <c r="C126" s="63">
        <v>1150493.1000000001</v>
      </c>
      <c r="D126" s="63">
        <v>24705.249999999956</v>
      </c>
      <c r="E126" s="63">
        <v>0</v>
      </c>
      <c r="F126" s="63">
        <v>1791.26</v>
      </c>
      <c r="G126" s="63">
        <v>47712.66</v>
      </c>
      <c r="H126" s="63">
        <f>SUM(Tabela2451739[[#This Row],[Salário Base Total (R$)]:[1/3 de Férias]])</f>
        <v>1224702.27</v>
      </c>
      <c r="I126" s="63">
        <v>105048.94</v>
      </c>
      <c r="J126" s="63">
        <v>35497.61</v>
      </c>
      <c r="K126" s="63">
        <v>28759.17</v>
      </c>
      <c r="L126" s="64">
        <f>SUM(Tabela2451739[[#This Row],[INSS]:[Outros Descontos]])</f>
        <v>169305.71999999997</v>
      </c>
    </row>
    <row r="127" spans="1:12" x14ac:dyDescent="0.25">
      <c r="A127" s="5" t="s">
        <v>22</v>
      </c>
      <c r="B127" s="1">
        <v>1</v>
      </c>
      <c r="C127" s="63">
        <v>4452.1899999999996</v>
      </c>
      <c r="D127" s="63">
        <v>0</v>
      </c>
      <c r="E127" s="63">
        <v>0</v>
      </c>
      <c r="F127" s="63">
        <v>0</v>
      </c>
      <c r="G127" s="63">
        <v>0</v>
      </c>
      <c r="H127" s="63">
        <f>SUM(Tabela2451739[[#This Row],[Salário Base Total (R$)]:[1/3 de Férias]])</f>
        <v>4452.1899999999996</v>
      </c>
      <c r="I127" s="63">
        <v>0</v>
      </c>
      <c r="J127" s="65">
        <v>21.68</v>
      </c>
      <c r="K127" s="63">
        <v>0</v>
      </c>
      <c r="L127" s="64">
        <f>SUM(Tabela2451739[[#This Row],[INSS]:[Outros Descontos]])</f>
        <v>21.68</v>
      </c>
    </row>
    <row r="128" spans="1:12" x14ac:dyDescent="0.25">
      <c r="A128" s="5" t="s">
        <v>6</v>
      </c>
      <c r="B128" s="1">
        <v>4</v>
      </c>
      <c r="C128" s="63">
        <v>13979.66</v>
      </c>
      <c r="D128" s="63">
        <v>0</v>
      </c>
      <c r="E128" s="63">
        <v>0</v>
      </c>
      <c r="F128" s="63">
        <v>0</v>
      </c>
      <c r="G128" s="63">
        <v>0</v>
      </c>
      <c r="H128" s="63">
        <f>SUM(Tabela2451739[[#This Row],[Salário Base Total (R$)]:[1/3 de Férias]])</f>
        <v>13979.66</v>
      </c>
      <c r="I128" s="63">
        <v>0</v>
      </c>
      <c r="J128" s="63">
        <f>212.01-J127</f>
        <v>190.32999999999998</v>
      </c>
      <c r="K128" s="63">
        <f>781.12+508.91+563.78</f>
        <v>1853.81</v>
      </c>
      <c r="L128" s="64">
        <f>SUM(Tabela2451739[[#This Row],[INSS]:[Outros Descontos]])</f>
        <v>2044.1399999999999</v>
      </c>
    </row>
    <row r="129" spans="1:12" x14ac:dyDescent="0.25">
      <c r="A129" s="5" t="s">
        <v>8</v>
      </c>
      <c r="B129" s="1">
        <v>9</v>
      </c>
      <c r="C129" s="63">
        <v>8607.06</v>
      </c>
      <c r="D129" s="63">
        <v>956.34</v>
      </c>
      <c r="E129" s="63">
        <v>0</v>
      </c>
      <c r="F129" s="63">
        <v>0</v>
      </c>
      <c r="G129" s="63">
        <v>0</v>
      </c>
      <c r="H129" s="63">
        <f>SUM(Tabela2451739[[#This Row],[Salário Base Total (R$)]:[1/3 de Férias]])</f>
        <v>9563.4</v>
      </c>
      <c r="I129" s="63">
        <v>0</v>
      </c>
      <c r="J129" s="63">
        <v>0</v>
      </c>
      <c r="K129" s="63">
        <v>0</v>
      </c>
      <c r="L129" s="64">
        <f>SUM(Tabela2451739[[#This Row],[INSS]:[Outros Descontos]])</f>
        <v>0</v>
      </c>
    </row>
    <row r="130" spans="1:12" ht="15.75" x14ac:dyDescent="0.25">
      <c r="A130" s="6" t="s">
        <v>9</v>
      </c>
      <c r="B130" s="7">
        <f t="shared" ref="B130:L130" si="8">SUBTOTAL(109,B124:B129)</f>
        <v>505</v>
      </c>
      <c r="C130" s="66">
        <f t="shared" si="8"/>
        <v>1734521.96</v>
      </c>
      <c r="D130" s="66">
        <f t="shared" si="8"/>
        <v>199626.27</v>
      </c>
      <c r="E130" s="66">
        <f t="shared" si="8"/>
        <v>3267.25</v>
      </c>
      <c r="F130" s="66">
        <f t="shared" si="8"/>
        <v>9049.77</v>
      </c>
      <c r="G130" s="66">
        <f t="shared" si="8"/>
        <v>51196.44</v>
      </c>
      <c r="H130" s="66">
        <f t="shared" si="8"/>
        <v>1997661.6899999997</v>
      </c>
      <c r="I130" s="66">
        <f t="shared" si="8"/>
        <v>154722.13</v>
      </c>
      <c r="J130" s="66">
        <f t="shared" si="8"/>
        <v>170152.49999999997</v>
      </c>
      <c r="K130" s="66">
        <f t="shared" si="8"/>
        <v>99254.080000000002</v>
      </c>
      <c r="L130" s="66">
        <f t="shared" si="8"/>
        <v>424128.70999999996</v>
      </c>
    </row>
    <row r="131" spans="1:12" ht="7.5" customHeight="1" x14ac:dyDescent="0.25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ht="15.75" x14ac:dyDescent="0.25">
      <c r="C132" s="22" t="s">
        <v>25</v>
      </c>
      <c r="D132" s="23">
        <f>H130-L130</f>
        <v>1573532.9799999997</v>
      </c>
      <c r="E132" s="13"/>
      <c r="F132" s="13"/>
      <c r="G132" s="13"/>
      <c r="H132" s="22" t="s">
        <v>23</v>
      </c>
      <c r="I132" s="23">
        <v>1922496.94</v>
      </c>
      <c r="K132" s="31"/>
    </row>
    <row r="133" spans="1:12" ht="15.75" x14ac:dyDescent="0.25">
      <c r="E133" s="13"/>
      <c r="H133" s="22" t="s">
        <v>24</v>
      </c>
      <c r="I133" s="23">
        <f>I132*0.21</f>
        <v>403724.35739999998</v>
      </c>
    </row>
    <row r="134" spans="1:12" ht="7.5" customHeight="1" x14ac:dyDescent="0.25">
      <c r="A134" s="14"/>
      <c r="B134" s="15"/>
      <c r="C134" s="17"/>
      <c r="D134" s="17"/>
      <c r="E134" s="17"/>
      <c r="F134" s="17"/>
      <c r="G134" s="17"/>
      <c r="H134" s="17"/>
      <c r="I134" s="17"/>
      <c r="J134" s="16"/>
      <c r="K134" s="16"/>
      <c r="L134" s="16"/>
    </row>
    <row r="135" spans="1:12" ht="7.5" customHeight="1" x14ac:dyDescent="0.25">
      <c r="I135" s="21"/>
    </row>
    <row r="136" spans="1:12" ht="17.25" x14ac:dyDescent="0.3">
      <c r="A136" s="10" t="s">
        <v>16</v>
      </c>
      <c r="B136" s="9" t="s">
        <v>34</v>
      </c>
      <c r="C136" s="9"/>
      <c r="D136" s="62" t="s">
        <v>57</v>
      </c>
      <c r="I136" s="21"/>
    </row>
    <row r="137" spans="1:12" ht="6.75" customHeight="1" x14ac:dyDescent="0.25"/>
    <row r="138" spans="1:12" ht="30" x14ac:dyDescent="0.25">
      <c r="A138" s="18" t="s">
        <v>3</v>
      </c>
      <c r="B138" s="19" t="s">
        <v>21</v>
      </c>
      <c r="C138" s="19" t="s">
        <v>10</v>
      </c>
      <c r="D138" s="19" t="s">
        <v>0</v>
      </c>
      <c r="E138" s="19" t="s">
        <v>20</v>
      </c>
      <c r="F138" s="19" t="s">
        <v>2</v>
      </c>
      <c r="G138" s="20" t="s">
        <v>11</v>
      </c>
      <c r="H138" s="20" t="s">
        <v>1</v>
      </c>
      <c r="I138" s="19" t="s">
        <v>12</v>
      </c>
      <c r="J138" s="19" t="s">
        <v>13</v>
      </c>
      <c r="K138" s="19" t="s">
        <v>14</v>
      </c>
      <c r="L138" s="19" t="s">
        <v>15</v>
      </c>
    </row>
    <row r="139" spans="1:12" x14ac:dyDescent="0.25">
      <c r="A139" s="5" t="s">
        <v>7</v>
      </c>
      <c r="B139" s="1">
        <v>23</v>
      </c>
      <c r="C139" s="63">
        <v>431086.93</v>
      </c>
      <c r="D139" s="63">
        <v>0</v>
      </c>
      <c r="E139" s="63">
        <v>0</v>
      </c>
      <c r="F139" s="63">
        <v>4077.07</v>
      </c>
      <c r="G139" s="63">
        <v>0</v>
      </c>
      <c r="H139" s="63">
        <f>SUM(Tabela2451741[[#This Row],[Salário Base Total (R$)]:[1/3 de Férias]])</f>
        <v>435164</v>
      </c>
      <c r="I139" s="64">
        <v>21887.26</v>
      </c>
      <c r="J139" s="64">
        <v>91921.8</v>
      </c>
      <c r="K139" s="64">
        <f>382+4923.45+229.5+151.8+35785.75+400+1526.73+87+4077.07</f>
        <v>47563.3</v>
      </c>
      <c r="L139" s="64">
        <f>SUM(Tabela2451741[[#This Row],[INSS]:[Outros Descontos]])</f>
        <v>161372.35999999999</v>
      </c>
    </row>
    <row r="140" spans="1:12" x14ac:dyDescent="0.25">
      <c r="A140" s="5" t="s">
        <v>4</v>
      </c>
      <c r="B140" s="1">
        <v>39</v>
      </c>
      <c r="C140" s="63">
        <v>125903.01999999999</v>
      </c>
      <c r="D140" s="63">
        <v>173964.68000000002</v>
      </c>
      <c r="E140" s="63">
        <v>3267.25</v>
      </c>
      <c r="F140" s="63">
        <v>3181.44</v>
      </c>
      <c r="G140" s="63">
        <v>3483.78</v>
      </c>
      <c r="H140" s="63">
        <f>SUM(Tabela2451741[[#This Row],[Salário Base Total (R$)]:[1/3 de Férias]])</f>
        <v>309800.17000000004</v>
      </c>
      <c r="I140" s="63">
        <v>27785.93</v>
      </c>
      <c r="J140" s="63">
        <v>42521.08</v>
      </c>
      <c r="K140" s="63">
        <v>21077.8</v>
      </c>
      <c r="L140" s="64">
        <f>SUM(Tabela2451741[[#This Row],[INSS]:[Outros Descontos]])</f>
        <v>91384.810000000012</v>
      </c>
    </row>
    <row r="141" spans="1:12" x14ac:dyDescent="0.25">
      <c r="A141" s="5" t="s">
        <v>5</v>
      </c>
      <c r="B141" s="1">
        <v>429</v>
      </c>
      <c r="C141" s="63">
        <v>1150493.1000000001</v>
      </c>
      <c r="D141" s="63">
        <v>24705.249999999956</v>
      </c>
      <c r="E141" s="63">
        <v>0</v>
      </c>
      <c r="F141" s="63">
        <v>1791.26</v>
      </c>
      <c r="G141" s="63">
        <v>47712.66</v>
      </c>
      <c r="H141" s="63">
        <f>SUM(Tabela2451741[[#This Row],[Salário Base Total (R$)]:[1/3 de Férias]])</f>
        <v>1224702.27</v>
      </c>
      <c r="I141" s="63">
        <v>105048.94</v>
      </c>
      <c r="J141" s="63">
        <v>35497.61</v>
      </c>
      <c r="K141" s="63">
        <v>28759.17</v>
      </c>
      <c r="L141" s="64">
        <f>SUM(Tabela2451741[[#This Row],[INSS]:[Outros Descontos]])</f>
        <v>169305.71999999997</v>
      </c>
    </row>
    <row r="142" spans="1:12" x14ac:dyDescent="0.25">
      <c r="A142" s="5" t="s">
        <v>22</v>
      </c>
      <c r="B142" s="1">
        <v>1</v>
      </c>
      <c r="C142" s="63">
        <v>4452.1899999999996</v>
      </c>
      <c r="D142" s="63">
        <v>0</v>
      </c>
      <c r="E142" s="63">
        <v>0</v>
      </c>
      <c r="F142" s="63">
        <v>0</v>
      </c>
      <c r="G142" s="63">
        <v>0</v>
      </c>
      <c r="H142" s="63">
        <f>SUM(Tabela2451741[[#This Row],[Salário Base Total (R$)]:[1/3 de Férias]])</f>
        <v>4452.1899999999996</v>
      </c>
      <c r="I142" s="63">
        <v>0</v>
      </c>
      <c r="J142" s="65">
        <v>21.68</v>
      </c>
      <c r="K142" s="63">
        <v>0</v>
      </c>
      <c r="L142" s="64">
        <f>SUM(Tabela2451741[[#This Row],[INSS]:[Outros Descontos]])</f>
        <v>21.68</v>
      </c>
    </row>
    <row r="143" spans="1:12" x14ac:dyDescent="0.25">
      <c r="A143" s="5" t="s">
        <v>6</v>
      </c>
      <c r="B143" s="1">
        <v>4</v>
      </c>
      <c r="C143" s="63">
        <v>13979.66</v>
      </c>
      <c r="D143" s="63">
        <v>0</v>
      </c>
      <c r="E143" s="63">
        <v>0</v>
      </c>
      <c r="F143" s="63">
        <v>0</v>
      </c>
      <c r="G143" s="63">
        <v>0</v>
      </c>
      <c r="H143" s="63">
        <f>SUM(Tabela2451741[[#This Row],[Salário Base Total (R$)]:[1/3 de Férias]])</f>
        <v>13979.66</v>
      </c>
      <c r="I143" s="63">
        <v>0</v>
      </c>
      <c r="J143" s="63">
        <f>212.01-J142</f>
        <v>190.32999999999998</v>
      </c>
      <c r="K143" s="63">
        <f>781.12+508.91+563.78</f>
        <v>1853.81</v>
      </c>
      <c r="L143" s="64">
        <f>SUM(Tabela2451741[[#This Row],[INSS]:[Outros Descontos]])</f>
        <v>2044.1399999999999</v>
      </c>
    </row>
    <row r="144" spans="1:12" x14ac:dyDescent="0.25">
      <c r="A144" s="5" t="s">
        <v>8</v>
      </c>
      <c r="B144" s="1">
        <v>9</v>
      </c>
      <c r="C144" s="63">
        <v>8607.06</v>
      </c>
      <c r="D144" s="63">
        <v>956.34</v>
      </c>
      <c r="E144" s="63">
        <v>0</v>
      </c>
      <c r="F144" s="63">
        <v>0</v>
      </c>
      <c r="G144" s="63">
        <v>0</v>
      </c>
      <c r="H144" s="63">
        <f>SUM(Tabela2451741[[#This Row],[Salário Base Total (R$)]:[1/3 de Férias]])</f>
        <v>9563.4</v>
      </c>
      <c r="I144" s="63">
        <v>0</v>
      </c>
      <c r="J144" s="63">
        <v>0</v>
      </c>
      <c r="K144" s="63">
        <v>0</v>
      </c>
      <c r="L144" s="64">
        <f>SUM(Tabela2451741[[#This Row],[INSS]:[Outros Descontos]])</f>
        <v>0</v>
      </c>
    </row>
    <row r="145" spans="1:12" ht="15.75" x14ac:dyDescent="0.25">
      <c r="A145" s="6" t="s">
        <v>9</v>
      </c>
      <c r="B145" s="7">
        <f t="shared" ref="B145:L145" si="9">SUBTOTAL(109,B139:B144)</f>
        <v>505</v>
      </c>
      <c r="C145" s="66">
        <f t="shared" si="9"/>
        <v>1734521.96</v>
      </c>
      <c r="D145" s="66">
        <f t="shared" si="9"/>
        <v>199626.27</v>
      </c>
      <c r="E145" s="66">
        <f t="shared" si="9"/>
        <v>3267.25</v>
      </c>
      <c r="F145" s="66">
        <f t="shared" si="9"/>
        <v>9049.77</v>
      </c>
      <c r="G145" s="66">
        <f t="shared" si="9"/>
        <v>51196.44</v>
      </c>
      <c r="H145" s="66">
        <f t="shared" si="9"/>
        <v>1997661.6899999997</v>
      </c>
      <c r="I145" s="66">
        <f t="shared" si="9"/>
        <v>154722.13</v>
      </c>
      <c r="J145" s="66">
        <f t="shared" si="9"/>
        <v>170152.49999999997</v>
      </c>
      <c r="K145" s="66">
        <f t="shared" si="9"/>
        <v>99254.080000000002</v>
      </c>
      <c r="L145" s="66">
        <f t="shared" si="9"/>
        <v>424128.70999999996</v>
      </c>
    </row>
    <row r="146" spans="1:12" ht="7.5" customHeight="1" x14ac:dyDescent="0.25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 ht="15.75" x14ac:dyDescent="0.25">
      <c r="C147" s="22" t="s">
        <v>25</v>
      </c>
      <c r="D147" s="23">
        <f>H145-L145</f>
        <v>1573532.9799999997</v>
      </c>
      <c r="E147" s="13"/>
      <c r="F147" s="13"/>
      <c r="G147" s="13"/>
      <c r="H147" s="22" t="s">
        <v>23</v>
      </c>
      <c r="I147" s="23">
        <v>1922496.94</v>
      </c>
      <c r="K147" s="31"/>
    </row>
    <row r="148" spans="1:12" ht="15.75" x14ac:dyDescent="0.25">
      <c r="E148" s="13"/>
      <c r="H148" s="22" t="s">
        <v>24</v>
      </c>
      <c r="I148" s="23">
        <f>I147*0.21</f>
        <v>403724.35739999998</v>
      </c>
    </row>
    <row r="149" spans="1:12" ht="7.5" customHeight="1" x14ac:dyDescent="0.25">
      <c r="A149" s="14"/>
      <c r="B149" s="15"/>
      <c r="C149" s="17"/>
      <c r="D149" s="17"/>
      <c r="E149" s="17"/>
      <c r="F149" s="17"/>
      <c r="G149" s="17"/>
      <c r="H149" s="17"/>
      <c r="I149" s="17"/>
      <c r="J149" s="16"/>
      <c r="K149" s="16"/>
      <c r="L149" s="16"/>
    </row>
    <row r="150" spans="1:12" ht="7.5" customHeight="1" x14ac:dyDescent="0.25">
      <c r="I150" s="21"/>
    </row>
    <row r="151" spans="1:12" ht="17.25" x14ac:dyDescent="0.3">
      <c r="A151" s="10" t="s">
        <v>16</v>
      </c>
      <c r="B151" s="9" t="s">
        <v>35</v>
      </c>
      <c r="C151" s="9"/>
      <c r="D151" s="62" t="s">
        <v>57</v>
      </c>
      <c r="I151" s="21"/>
    </row>
    <row r="152" spans="1:12" ht="6.75" customHeight="1" x14ac:dyDescent="0.25"/>
    <row r="153" spans="1:12" ht="30" x14ac:dyDescent="0.25">
      <c r="A153" s="18" t="s">
        <v>3</v>
      </c>
      <c r="B153" s="19" t="s">
        <v>21</v>
      </c>
      <c r="C153" s="19" t="s">
        <v>10</v>
      </c>
      <c r="D153" s="19" t="s">
        <v>0</v>
      </c>
      <c r="E153" s="19" t="s">
        <v>20</v>
      </c>
      <c r="F153" s="19" t="s">
        <v>2</v>
      </c>
      <c r="G153" s="20" t="s">
        <v>11</v>
      </c>
      <c r="H153" s="20" t="s">
        <v>1</v>
      </c>
      <c r="I153" s="19" t="s">
        <v>12</v>
      </c>
      <c r="J153" s="19" t="s">
        <v>13</v>
      </c>
      <c r="K153" s="19" t="s">
        <v>14</v>
      </c>
      <c r="L153" s="19" t="s">
        <v>15</v>
      </c>
    </row>
    <row r="154" spans="1:12" x14ac:dyDescent="0.25">
      <c r="A154" s="5" t="s">
        <v>7</v>
      </c>
      <c r="B154" s="1">
        <v>23</v>
      </c>
      <c r="C154" s="63">
        <v>431086.93</v>
      </c>
      <c r="D154" s="63">
        <v>0</v>
      </c>
      <c r="E154" s="63">
        <v>0</v>
      </c>
      <c r="F154" s="63">
        <v>4077.07</v>
      </c>
      <c r="G154" s="63">
        <v>0</v>
      </c>
      <c r="H154" s="63">
        <f>SUM(Tabela2451743[[#This Row],[Salário Base Total (R$)]:[1/3 de Férias]])</f>
        <v>435164</v>
      </c>
      <c r="I154" s="64">
        <v>21887.26</v>
      </c>
      <c r="J154" s="64">
        <v>91921.8</v>
      </c>
      <c r="K154" s="64">
        <f>382+4923.45+229.5+151.8+35785.75+400+1526.73+87+4077.07</f>
        <v>47563.3</v>
      </c>
      <c r="L154" s="64">
        <f>SUM(Tabela2451743[[#This Row],[INSS]:[Outros Descontos]])</f>
        <v>161372.35999999999</v>
      </c>
    </row>
    <row r="155" spans="1:12" x14ac:dyDescent="0.25">
      <c r="A155" s="5" t="s">
        <v>4</v>
      </c>
      <c r="B155" s="1">
        <v>39</v>
      </c>
      <c r="C155" s="63">
        <v>125903.01999999999</v>
      </c>
      <c r="D155" s="63">
        <v>173964.68000000002</v>
      </c>
      <c r="E155" s="63">
        <v>3267.25</v>
      </c>
      <c r="F155" s="63">
        <v>3181.44</v>
      </c>
      <c r="G155" s="63">
        <v>3483.78</v>
      </c>
      <c r="H155" s="63">
        <f>SUM(Tabela2451743[[#This Row],[Salário Base Total (R$)]:[1/3 de Férias]])</f>
        <v>309800.17000000004</v>
      </c>
      <c r="I155" s="63">
        <v>27785.93</v>
      </c>
      <c r="J155" s="63">
        <v>42521.08</v>
      </c>
      <c r="K155" s="63">
        <v>21077.8</v>
      </c>
      <c r="L155" s="64">
        <f>SUM(Tabela2451743[[#This Row],[INSS]:[Outros Descontos]])</f>
        <v>91384.810000000012</v>
      </c>
    </row>
    <row r="156" spans="1:12" x14ac:dyDescent="0.25">
      <c r="A156" s="5" t="s">
        <v>5</v>
      </c>
      <c r="B156" s="1">
        <v>429</v>
      </c>
      <c r="C156" s="63">
        <v>1150493.1000000001</v>
      </c>
      <c r="D156" s="63">
        <v>24705.249999999956</v>
      </c>
      <c r="E156" s="63">
        <v>0</v>
      </c>
      <c r="F156" s="63">
        <v>1791.26</v>
      </c>
      <c r="G156" s="63">
        <v>47712.66</v>
      </c>
      <c r="H156" s="63">
        <f>SUM(Tabela2451743[[#This Row],[Salário Base Total (R$)]:[1/3 de Férias]])</f>
        <v>1224702.27</v>
      </c>
      <c r="I156" s="63">
        <v>105048.94</v>
      </c>
      <c r="J156" s="63">
        <v>35497.61</v>
      </c>
      <c r="K156" s="63">
        <v>28759.17</v>
      </c>
      <c r="L156" s="64">
        <f>SUM(Tabela2451743[[#This Row],[INSS]:[Outros Descontos]])</f>
        <v>169305.71999999997</v>
      </c>
    </row>
    <row r="157" spans="1:12" x14ac:dyDescent="0.25">
      <c r="A157" s="5" t="s">
        <v>22</v>
      </c>
      <c r="B157" s="1">
        <v>1</v>
      </c>
      <c r="C157" s="63">
        <v>4452.1899999999996</v>
      </c>
      <c r="D157" s="63">
        <v>0</v>
      </c>
      <c r="E157" s="63">
        <v>0</v>
      </c>
      <c r="F157" s="63">
        <v>0</v>
      </c>
      <c r="G157" s="63">
        <v>0</v>
      </c>
      <c r="H157" s="63">
        <f>SUM(Tabela2451743[[#This Row],[Salário Base Total (R$)]:[1/3 de Férias]])</f>
        <v>4452.1899999999996</v>
      </c>
      <c r="I157" s="63">
        <v>0</v>
      </c>
      <c r="J157" s="65">
        <v>21.68</v>
      </c>
      <c r="K157" s="63">
        <v>0</v>
      </c>
      <c r="L157" s="64">
        <f>SUM(Tabela2451743[[#This Row],[INSS]:[Outros Descontos]])</f>
        <v>21.68</v>
      </c>
    </row>
    <row r="158" spans="1:12" x14ac:dyDescent="0.25">
      <c r="A158" s="5" t="s">
        <v>6</v>
      </c>
      <c r="B158" s="1">
        <v>4</v>
      </c>
      <c r="C158" s="63">
        <v>13979.66</v>
      </c>
      <c r="D158" s="63">
        <v>0</v>
      </c>
      <c r="E158" s="63">
        <v>0</v>
      </c>
      <c r="F158" s="63">
        <v>0</v>
      </c>
      <c r="G158" s="63">
        <v>0</v>
      </c>
      <c r="H158" s="63">
        <f>SUM(Tabela2451743[[#This Row],[Salário Base Total (R$)]:[1/3 de Férias]])</f>
        <v>13979.66</v>
      </c>
      <c r="I158" s="63">
        <v>0</v>
      </c>
      <c r="J158" s="63">
        <f>212.01-J157</f>
        <v>190.32999999999998</v>
      </c>
      <c r="K158" s="63">
        <f>781.12+508.91+563.78</f>
        <v>1853.81</v>
      </c>
      <c r="L158" s="64">
        <f>SUM(Tabela2451743[[#This Row],[INSS]:[Outros Descontos]])</f>
        <v>2044.1399999999999</v>
      </c>
    </row>
    <row r="159" spans="1:12" x14ac:dyDescent="0.25">
      <c r="A159" s="5" t="s">
        <v>8</v>
      </c>
      <c r="B159" s="1">
        <v>9</v>
      </c>
      <c r="C159" s="63">
        <v>8607.06</v>
      </c>
      <c r="D159" s="63">
        <v>956.34</v>
      </c>
      <c r="E159" s="63">
        <v>0</v>
      </c>
      <c r="F159" s="63">
        <v>0</v>
      </c>
      <c r="G159" s="63">
        <v>0</v>
      </c>
      <c r="H159" s="63">
        <f>SUM(Tabela2451743[[#This Row],[Salário Base Total (R$)]:[1/3 de Férias]])</f>
        <v>9563.4</v>
      </c>
      <c r="I159" s="63">
        <v>0</v>
      </c>
      <c r="J159" s="63">
        <v>0</v>
      </c>
      <c r="K159" s="63">
        <v>0</v>
      </c>
      <c r="L159" s="64">
        <f>SUM(Tabela2451743[[#This Row],[INSS]:[Outros Descontos]])</f>
        <v>0</v>
      </c>
    </row>
    <row r="160" spans="1:12" ht="15.75" x14ac:dyDescent="0.25">
      <c r="A160" s="6" t="s">
        <v>9</v>
      </c>
      <c r="B160" s="7">
        <f t="shared" ref="B160:L160" si="10">SUBTOTAL(109,B154:B159)</f>
        <v>505</v>
      </c>
      <c r="C160" s="66">
        <f t="shared" si="10"/>
        <v>1734521.96</v>
      </c>
      <c r="D160" s="66">
        <f t="shared" si="10"/>
        <v>199626.27</v>
      </c>
      <c r="E160" s="66">
        <f t="shared" si="10"/>
        <v>3267.25</v>
      </c>
      <c r="F160" s="66">
        <f t="shared" si="10"/>
        <v>9049.77</v>
      </c>
      <c r="G160" s="66">
        <f t="shared" si="10"/>
        <v>51196.44</v>
      </c>
      <c r="H160" s="66">
        <f t="shared" si="10"/>
        <v>1997661.6899999997</v>
      </c>
      <c r="I160" s="66">
        <f t="shared" si="10"/>
        <v>154722.13</v>
      </c>
      <c r="J160" s="66">
        <f t="shared" si="10"/>
        <v>170152.49999999997</v>
      </c>
      <c r="K160" s="66">
        <f t="shared" si="10"/>
        <v>99254.080000000002</v>
      </c>
      <c r="L160" s="66">
        <f t="shared" si="10"/>
        <v>424128.70999999996</v>
      </c>
    </row>
    <row r="161" spans="1:12" ht="7.5" customHeight="1" x14ac:dyDescent="0.25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spans="1:12" ht="15.75" x14ac:dyDescent="0.25">
      <c r="C162" s="22" t="s">
        <v>25</v>
      </c>
      <c r="D162" s="23">
        <f>H160-L160</f>
        <v>1573532.9799999997</v>
      </c>
      <c r="E162" s="13"/>
      <c r="F162" s="13"/>
      <c r="G162" s="13"/>
      <c r="H162" s="22" t="s">
        <v>23</v>
      </c>
      <c r="I162" s="23">
        <v>1922496.94</v>
      </c>
      <c r="K162" s="31"/>
    </row>
    <row r="163" spans="1:12" ht="15.75" x14ac:dyDescent="0.25">
      <c r="E163" s="13"/>
      <c r="H163" s="22" t="s">
        <v>24</v>
      </c>
      <c r="I163" s="23">
        <f>I162*0.21</f>
        <v>403724.35739999998</v>
      </c>
    </row>
    <row r="164" spans="1:12" ht="7.5" customHeight="1" x14ac:dyDescent="0.25">
      <c r="A164" s="14"/>
      <c r="B164" s="15"/>
      <c r="C164" s="17"/>
      <c r="D164" s="17"/>
      <c r="E164" s="17"/>
      <c r="F164" s="17"/>
      <c r="G164" s="17"/>
      <c r="H164" s="17"/>
      <c r="I164" s="17"/>
      <c r="J164" s="16"/>
      <c r="K164" s="16"/>
      <c r="L164" s="16"/>
    </row>
    <row r="165" spans="1:12" ht="7.5" customHeight="1" x14ac:dyDescent="0.25">
      <c r="I165" s="21"/>
    </row>
    <row r="166" spans="1:12" ht="17.25" x14ac:dyDescent="0.3">
      <c r="A166" s="10" t="s">
        <v>16</v>
      </c>
      <c r="B166" s="9" t="s">
        <v>36</v>
      </c>
      <c r="C166" s="9"/>
      <c r="D166" s="62" t="s">
        <v>57</v>
      </c>
      <c r="I166" s="21"/>
    </row>
    <row r="167" spans="1:12" ht="6.75" customHeight="1" x14ac:dyDescent="0.25"/>
    <row r="168" spans="1:12" ht="30" x14ac:dyDescent="0.25">
      <c r="A168" s="18" t="s">
        <v>3</v>
      </c>
      <c r="B168" s="19" t="s">
        <v>21</v>
      </c>
      <c r="C168" s="19" t="s">
        <v>10</v>
      </c>
      <c r="D168" s="19" t="s">
        <v>0</v>
      </c>
      <c r="E168" s="19" t="s">
        <v>20</v>
      </c>
      <c r="F168" s="19" t="s">
        <v>2</v>
      </c>
      <c r="G168" s="20" t="s">
        <v>11</v>
      </c>
      <c r="H168" s="20" t="s">
        <v>1</v>
      </c>
      <c r="I168" s="19" t="s">
        <v>12</v>
      </c>
      <c r="J168" s="19" t="s">
        <v>13</v>
      </c>
      <c r="K168" s="19" t="s">
        <v>14</v>
      </c>
      <c r="L168" s="19" t="s">
        <v>15</v>
      </c>
    </row>
    <row r="169" spans="1:12" x14ac:dyDescent="0.25">
      <c r="A169" s="5" t="s">
        <v>7</v>
      </c>
      <c r="B169" s="1">
        <v>23</v>
      </c>
      <c r="C169" s="63">
        <v>431086.93</v>
      </c>
      <c r="D169" s="63">
        <v>0</v>
      </c>
      <c r="E169" s="63">
        <v>0</v>
      </c>
      <c r="F169" s="63">
        <v>4077.07</v>
      </c>
      <c r="G169" s="63">
        <v>0</v>
      </c>
      <c r="H169" s="63">
        <f>SUM(Tabela2451745[[#This Row],[Salário Base Total (R$)]:[1/3 de Férias]])</f>
        <v>435164</v>
      </c>
      <c r="I169" s="64">
        <v>21887.26</v>
      </c>
      <c r="J169" s="64">
        <v>91921.8</v>
      </c>
      <c r="K169" s="64">
        <f>382+4923.45+229.5+151.8+35785.75+400+1526.73+87+4077.07</f>
        <v>47563.3</v>
      </c>
      <c r="L169" s="64">
        <f>SUM(Tabela2451745[[#This Row],[INSS]:[Outros Descontos]])</f>
        <v>161372.35999999999</v>
      </c>
    </row>
    <row r="170" spans="1:12" x14ac:dyDescent="0.25">
      <c r="A170" s="5" t="s">
        <v>4</v>
      </c>
      <c r="B170" s="1">
        <v>39</v>
      </c>
      <c r="C170" s="63">
        <v>125903.01999999999</v>
      </c>
      <c r="D170" s="63">
        <v>173964.68000000002</v>
      </c>
      <c r="E170" s="63">
        <v>3267.25</v>
      </c>
      <c r="F170" s="63">
        <v>3181.44</v>
      </c>
      <c r="G170" s="63">
        <v>3483.78</v>
      </c>
      <c r="H170" s="63">
        <f>SUM(Tabela2451745[[#This Row],[Salário Base Total (R$)]:[1/3 de Férias]])</f>
        <v>309800.17000000004</v>
      </c>
      <c r="I170" s="63">
        <v>27785.93</v>
      </c>
      <c r="J170" s="63">
        <v>42521.08</v>
      </c>
      <c r="K170" s="63">
        <v>21077.8</v>
      </c>
      <c r="L170" s="64">
        <f>SUM(Tabela2451745[[#This Row],[INSS]:[Outros Descontos]])</f>
        <v>91384.810000000012</v>
      </c>
    </row>
    <row r="171" spans="1:12" x14ac:dyDescent="0.25">
      <c r="A171" s="5" t="s">
        <v>5</v>
      </c>
      <c r="B171" s="1">
        <v>429</v>
      </c>
      <c r="C171" s="63">
        <v>1150493.1000000001</v>
      </c>
      <c r="D171" s="63">
        <v>24705.249999999956</v>
      </c>
      <c r="E171" s="63">
        <v>0</v>
      </c>
      <c r="F171" s="63">
        <v>1791.26</v>
      </c>
      <c r="G171" s="63">
        <v>47712.66</v>
      </c>
      <c r="H171" s="63">
        <f>SUM(Tabela2451745[[#This Row],[Salário Base Total (R$)]:[1/3 de Férias]])</f>
        <v>1224702.27</v>
      </c>
      <c r="I171" s="63">
        <v>105048.94</v>
      </c>
      <c r="J171" s="63">
        <v>35497.61</v>
      </c>
      <c r="K171" s="63">
        <v>28759.17</v>
      </c>
      <c r="L171" s="64">
        <f>SUM(Tabela2451745[[#This Row],[INSS]:[Outros Descontos]])</f>
        <v>169305.71999999997</v>
      </c>
    </row>
    <row r="172" spans="1:12" x14ac:dyDescent="0.25">
      <c r="A172" s="5" t="s">
        <v>22</v>
      </c>
      <c r="B172" s="1">
        <v>1</v>
      </c>
      <c r="C172" s="63">
        <v>4452.1899999999996</v>
      </c>
      <c r="D172" s="63">
        <v>0</v>
      </c>
      <c r="E172" s="63">
        <v>0</v>
      </c>
      <c r="F172" s="63">
        <v>0</v>
      </c>
      <c r="G172" s="63">
        <v>0</v>
      </c>
      <c r="H172" s="63">
        <f>SUM(Tabela2451745[[#This Row],[Salário Base Total (R$)]:[1/3 de Férias]])</f>
        <v>4452.1899999999996</v>
      </c>
      <c r="I172" s="63">
        <v>0</v>
      </c>
      <c r="J172" s="65">
        <v>21.68</v>
      </c>
      <c r="K172" s="63">
        <v>0</v>
      </c>
      <c r="L172" s="64">
        <f>SUM(Tabela2451745[[#This Row],[INSS]:[Outros Descontos]])</f>
        <v>21.68</v>
      </c>
    </row>
    <row r="173" spans="1:12" x14ac:dyDescent="0.25">
      <c r="A173" s="5" t="s">
        <v>6</v>
      </c>
      <c r="B173" s="1">
        <v>4</v>
      </c>
      <c r="C173" s="63">
        <v>13979.66</v>
      </c>
      <c r="D173" s="63">
        <v>0</v>
      </c>
      <c r="E173" s="63">
        <v>0</v>
      </c>
      <c r="F173" s="63">
        <v>0</v>
      </c>
      <c r="G173" s="63">
        <v>0</v>
      </c>
      <c r="H173" s="63">
        <f>SUM(Tabela2451745[[#This Row],[Salário Base Total (R$)]:[1/3 de Férias]])</f>
        <v>13979.66</v>
      </c>
      <c r="I173" s="63">
        <v>0</v>
      </c>
      <c r="J173" s="63">
        <f>212.01-J172</f>
        <v>190.32999999999998</v>
      </c>
      <c r="K173" s="63">
        <f>781.12+508.91+563.78</f>
        <v>1853.81</v>
      </c>
      <c r="L173" s="64">
        <f>SUM(Tabela2451745[[#This Row],[INSS]:[Outros Descontos]])</f>
        <v>2044.1399999999999</v>
      </c>
    </row>
    <row r="174" spans="1:12" x14ac:dyDescent="0.25">
      <c r="A174" s="5" t="s">
        <v>8</v>
      </c>
      <c r="B174" s="1">
        <v>9</v>
      </c>
      <c r="C174" s="63">
        <v>8607.06</v>
      </c>
      <c r="D174" s="63">
        <v>956.34</v>
      </c>
      <c r="E174" s="63">
        <v>0</v>
      </c>
      <c r="F174" s="63">
        <v>0</v>
      </c>
      <c r="G174" s="63">
        <v>0</v>
      </c>
      <c r="H174" s="63">
        <f>SUM(Tabela2451745[[#This Row],[Salário Base Total (R$)]:[1/3 de Férias]])</f>
        <v>9563.4</v>
      </c>
      <c r="I174" s="63">
        <v>0</v>
      </c>
      <c r="J174" s="63">
        <v>0</v>
      </c>
      <c r="K174" s="63">
        <v>0</v>
      </c>
      <c r="L174" s="64">
        <f>SUM(Tabela2451745[[#This Row],[INSS]:[Outros Descontos]])</f>
        <v>0</v>
      </c>
    </row>
    <row r="175" spans="1:12" ht="15.75" x14ac:dyDescent="0.25">
      <c r="A175" s="6" t="s">
        <v>9</v>
      </c>
      <c r="B175" s="7">
        <f t="shared" ref="B175:L175" si="11">SUBTOTAL(109,B169:B174)</f>
        <v>505</v>
      </c>
      <c r="C175" s="66">
        <f t="shared" si="11"/>
        <v>1734521.96</v>
      </c>
      <c r="D175" s="66">
        <f t="shared" si="11"/>
        <v>199626.27</v>
      </c>
      <c r="E175" s="66">
        <f t="shared" si="11"/>
        <v>3267.25</v>
      </c>
      <c r="F175" s="66">
        <f t="shared" si="11"/>
        <v>9049.77</v>
      </c>
      <c r="G175" s="66">
        <f t="shared" si="11"/>
        <v>51196.44</v>
      </c>
      <c r="H175" s="66">
        <f t="shared" si="11"/>
        <v>1997661.6899999997</v>
      </c>
      <c r="I175" s="66">
        <f t="shared" si="11"/>
        <v>154722.13</v>
      </c>
      <c r="J175" s="66">
        <f t="shared" si="11"/>
        <v>170152.49999999997</v>
      </c>
      <c r="K175" s="66">
        <f t="shared" si="11"/>
        <v>99254.080000000002</v>
      </c>
      <c r="L175" s="66">
        <f t="shared" si="11"/>
        <v>424128.70999999996</v>
      </c>
    </row>
    <row r="176" spans="1:12" ht="7.5" customHeight="1" x14ac:dyDescent="0.25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 ht="15.75" x14ac:dyDescent="0.25">
      <c r="C177" s="22" t="s">
        <v>25</v>
      </c>
      <c r="D177" s="23">
        <f>H175-L175</f>
        <v>1573532.9799999997</v>
      </c>
      <c r="E177" s="13"/>
      <c r="F177" s="13"/>
      <c r="G177" s="13"/>
      <c r="H177" s="22" t="s">
        <v>23</v>
      </c>
      <c r="I177" s="23">
        <v>1922496.94</v>
      </c>
      <c r="K177" s="31"/>
    </row>
    <row r="178" spans="1:12" ht="15.75" x14ac:dyDescent="0.25">
      <c r="E178" s="13"/>
      <c r="H178" s="22" t="s">
        <v>24</v>
      </c>
      <c r="I178" s="23">
        <f>I177*0.21</f>
        <v>403724.35739999998</v>
      </c>
    </row>
    <row r="179" spans="1:12" ht="7.5" customHeight="1" x14ac:dyDescent="0.25">
      <c r="A179" s="14"/>
      <c r="B179" s="15"/>
      <c r="C179" s="17"/>
      <c r="D179" s="17"/>
      <c r="E179" s="17"/>
      <c r="F179" s="17"/>
      <c r="G179" s="17"/>
      <c r="H179" s="17"/>
      <c r="I179" s="17"/>
      <c r="J179" s="16"/>
      <c r="K179" s="16"/>
      <c r="L179" s="16"/>
    </row>
    <row r="180" spans="1:12" ht="7.5" customHeight="1" x14ac:dyDescent="0.25">
      <c r="I180" s="21"/>
    </row>
    <row r="181" spans="1:12" ht="17.25" x14ac:dyDescent="0.3">
      <c r="A181" s="10" t="s">
        <v>16</v>
      </c>
      <c r="B181" s="9" t="s">
        <v>49</v>
      </c>
      <c r="C181" s="9"/>
      <c r="D181" s="62" t="s">
        <v>57</v>
      </c>
      <c r="I181" s="21"/>
    </row>
    <row r="182" spans="1:12" ht="6.75" customHeight="1" x14ac:dyDescent="0.25"/>
    <row r="183" spans="1:12" ht="30" x14ac:dyDescent="0.25">
      <c r="A183" s="18" t="s">
        <v>3</v>
      </c>
      <c r="B183" s="19" t="s">
        <v>21</v>
      </c>
      <c r="C183" s="19" t="s">
        <v>10</v>
      </c>
      <c r="D183" s="19" t="s">
        <v>0</v>
      </c>
      <c r="E183" s="19" t="s">
        <v>20</v>
      </c>
      <c r="F183" s="19" t="s">
        <v>2</v>
      </c>
      <c r="G183" s="20" t="s">
        <v>11</v>
      </c>
      <c r="H183" s="20" t="s">
        <v>1</v>
      </c>
      <c r="I183" s="19" t="s">
        <v>12</v>
      </c>
      <c r="J183" s="19" t="s">
        <v>13</v>
      </c>
      <c r="K183" s="19" t="s">
        <v>14</v>
      </c>
      <c r="L183" s="19" t="s">
        <v>15</v>
      </c>
    </row>
    <row r="184" spans="1:12" x14ac:dyDescent="0.25">
      <c r="A184" s="5" t="s">
        <v>7</v>
      </c>
      <c r="B184" s="1">
        <v>23</v>
      </c>
      <c r="C184" s="67">
        <v>431086.93</v>
      </c>
      <c r="D184" s="67">
        <v>0</v>
      </c>
      <c r="E184" s="67">
        <v>0</v>
      </c>
      <c r="F184" s="67">
        <v>0</v>
      </c>
      <c r="G184" s="67">
        <v>0</v>
      </c>
      <c r="H184" s="67">
        <f>SUM(Tabela245174547[[#This Row],[Salário Base Total (R$)]:[1/3 de Férias]])</f>
        <v>431086.93</v>
      </c>
      <c r="I184" s="68">
        <v>21887.26</v>
      </c>
      <c r="J184" s="68">
        <v>91921.8</v>
      </c>
      <c r="K184" s="68">
        <f>382+4923.45+229.5+151.8+35785.75+400+1526.73+87+4077.07</f>
        <v>47563.3</v>
      </c>
      <c r="L184" s="68">
        <f>SUM(Tabela245174547[[#This Row],[INSS]:[Outros Descontos]])</f>
        <v>161372.35999999999</v>
      </c>
    </row>
    <row r="185" spans="1:12" x14ac:dyDescent="0.25">
      <c r="A185" s="5" t="s">
        <v>4</v>
      </c>
      <c r="B185" s="1">
        <v>39</v>
      </c>
      <c r="C185" s="67">
        <v>125903.01999999999</v>
      </c>
      <c r="D185" s="67">
        <v>173964.68000000002</v>
      </c>
      <c r="E185" s="67">
        <v>0</v>
      </c>
      <c r="F185" s="67">
        <v>0</v>
      </c>
      <c r="G185" s="67">
        <v>0</v>
      </c>
      <c r="H185" s="67">
        <f>SUM(Tabela245174547[[#This Row],[Salário Base Total (R$)]:[1/3 de Férias]])</f>
        <v>299867.7</v>
      </c>
      <c r="I185" s="67">
        <v>27785.93</v>
      </c>
      <c r="J185" s="67">
        <v>42521.08</v>
      </c>
      <c r="K185" s="67">
        <v>21077.8</v>
      </c>
      <c r="L185" s="68">
        <f>SUM(Tabela245174547[[#This Row],[INSS]:[Outros Descontos]])</f>
        <v>91384.810000000012</v>
      </c>
    </row>
    <row r="186" spans="1:12" x14ac:dyDescent="0.25">
      <c r="A186" s="5" t="s">
        <v>5</v>
      </c>
      <c r="B186" s="1">
        <v>429</v>
      </c>
      <c r="C186" s="67">
        <v>1150493.1000000001</v>
      </c>
      <c r="D186" s="67">
        <v>24705.249999999956</v>
      </c>
      <c r="E186" s="67">
        <v>0</v>
      </c>
      <c r="F186" s="67">
        <v>0</v>
      </c>
      <c r="G186" s="67">
        <v>0</v>
      </c>
      <c r="H186" s="67">
        <f>SUM(Tabela245174547[[#This Row],[Salário Base Total (R$)]:[1/3 de Férias]])</f>
        <v>1175198.3500000001</v>
      </c>
      <c r="I186" s="67">
        <v>105048.94</v>
      </c>
      <c r="J186" s="67">
        <v>35497.61</v>
      </c>
      <c r="K186" s="67">
        <v>28759.17</v>
      </c>
      <c r="L186" s="68">
        <f>SUM(Tabela245174547[[#This Row],[INSS]:[Outros Descontos]])</f>
        <v>169305.71999999997</v>
      </c>
    </row>
    <row r="187" spans="1:12" x14ac:dyDescent="0.25">
      <c r="A187" s="5" t="s">
        <v>22</v>
      </c>
      <c r="B187" s="1">
        <v>1</v>
      </c>
      <c r="C187" s="67">
        <v>4452.1899999999996</v>
      </c>
      <c r="D187" s="67">
        <v>0</v>
      </c>
      <c r="E187" s="67">
        <v>0</v>
      </c>
      <c r="F187" s="67">
        <v>0</v>
      </c>
      <c r="G187" s="67">
        <v>0</v>
      </c>
      <c r="H187" s="67">
        <f>SUM(Tabela245174547[[#This Row],[Salário Base Total (R$)]:[1/3 de Férias]])</f>
        <v>4452.1899999999996</v>
      </c>
      <c r="I187" s="67">
        <v>0</v>
      </c>
      <c r="J187" s="69">
        <v>21.68</v>
      </c>
      <c r="K187" s="67">
        <v>0</v>
      </c>
      <c r="L187" s="68">
        <f>SUM(Tabela245174547[[#This Row],[INSS]:[Outros Descontos]])</f>
        <v>21.68</v>
      </c>
    </row>
    <row r="188" spans="1:12" x14ac:dyDescent="0.25">
      <c r="A188" s="5" t="s">
        <v>6</v>
      </c>
      <c r="B188" s="1">
        <v>4</v>
      </c>
      <c r="C188" s="67">
        <v>13979.66</v>
      </c>
      <c r="D188" s="67">
        <v>0</v>
      </c>
      <c r="E188" s="67">
        <v>0</v>
      </c>
      <c r="F188" s="67">
        <v>0</v>
      </c>
      <c r="G188" s="67">
        <v>0</v>
      </c>
      <c r="H188" s="67">
        <f>SUM(Tabela245174547[[#This Row],[Salário Base Total (R$)]:[1/3 de Férias]])</f>
        <v>13979.66</v>
      </c>
      <c r="I188" s="67">
        <v>0</v>
      </c>
      <c r="J188" s="67">
        <f>212.01-J187</f>
        <v>190.32999999999998</v>
      </c>
      <c r="K188" s="67">
        <f>781.12+508.91+563.78</f>
        <v>1853.81</v>
      </c>
      <c r="L188" s="68">
        <f>SUM(Tabela245174547[[#This Row],[INSS]:[Outros Descontos]])</f>
        <v>2044.1399999999999</v>
      </c>
    </row>
    <row r="189" spans="1:12" x14ac:dyDescent="0.25">
      <c r="A189" s="5" t="s">
        <v>8</v>
      </c>
      <c r="B189" s="1">
        <v>9</v>
      </c>
      <c r="C189" s="67">
        <v>8607.06</v>
      </c>
      <c r="D189" s="67">
        <v>956.34</v>
      </c>
      <c r="E189" s="67">
        <v>0</v>
      </c>
      <c r="F189" s="67">
        <v>0</v>
      </c>
      <c r="G189" s="67">
        <v>0</v>
      </c>
      <c r="H189" s="67">
        <f>SUM(Tabela245174547[[#This Row],[Salário Base Total (R$)]:[1/3 de Férias]])</f>
        <v>9563.4</v>
      </c>
      <c r="I189" s="67">
        <v>0</v>
      </c>
      <c r="J189" s="67">
        <v>0</v>
      </c>
      <c r="K189" s="67">
        <v>0</v>
      </c>
      <c r="L189" s="68">
        <f>SUM(Tabela245174547[[#This Row],[INSS]:[Outros Descontos]])</f>
        <v>0</v>
      </c>
    </row>
    <row r="190" spans="1:12" ht="15.75" x14ac:dyDescent="0.25">
      <c r="A190" s="6" t="s">
        <v>9</v>
      </c>
      <c r="B190" s="7">
        <f t="shared" ref="B190:L190" si="12">SUBTOTAL(109,B184:B189)</f>
        <v>505</v>
      </c>
      <c r="C190" s="70">
        <f t="shared" si="12"/>
        <v>1734521.96</v>
      </c>
      <c r="D190" s="70">
        <f t="shared" si="12"/>
        <v>199626.27</v>
      </c>
      <c r="E190" s="70">
        <f t="shared" si="12"/>
        <v>0</v>
      </c>
      <c r="F190" s="70">
        <f t="shared" si="12"/>
        <v>0</v>
      </c>
      <c r="G190" s="70">
        <f t="shared" si="12"/>
        <v>0</v>
      </c>
      <c r="H190" s="70">
        <f t="shared" si="12"/>
        <v>1934148.2299999997</v>
      </c>
      <c r="I190" s="70">
        <f t="shared" si="12"/>
        <v>154722.13</v>
      </c>
      <c r="J190" s="70">
        <f t="shared" si="12"/>
        <v>170152.49999999997</v>
      </c>
      <c r="K190" s="70">
        <f t="shared" si="12"/>
        <v>99254.080000000002</v>
      </c>
      <c r="L190" s="70">
        <f t="shared" si="12"/>
        <v>424128.70999999996</v>
      </c>
    </row>
    <row r="191" spans="1:12" ht="7.5" customHeight="1" x14ac:dyDescent="0.25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 ht="15.75" x14ac:dyDescent="0.25">
      <c r="C192" s="22" t="s">
        <v>25</v>
      </c>
      <c r="D192" s="23">
        <f>H190-L190</f>
        <v>1510019.5199999998</v>
      </c>
      <c r="E192" s="13"/>
      <c r="F192" s="13"/>
      <c r="G192" s="13"/>
      <c r="H192" s="22" t="s">
        <v>23</v>
      </c>
      <c r="I192" s="23">
        <v>1922496.94</v>
      </c>
      <c r="K192" s="31"/>
    </row>
    <row r="193" spans="1:12" ht="15.75" x14ac:dyDescent="0.25">
      <c r="E193" s="13"/>
      <c r="H193" s="22" t="s">
        <v>24</v>
      </c>
      <c r="I193" s="23">
        <f>I192*0.21</f>
        <v>403724.35739999998</v>
      </c>
    </row>
    <row r="196" spans="1:12" ht="17.25" x14ac:dyDescent="0.3">
      <c r="A196" s="49" t="s">
        <v>45</v>
      </c>
      <c r="B196" s="50"/>
      <c r="C196" s="50"/>
      <c r="D196" s="50"/>
      <c r="E196" s="50"/>
      <c r="F196" s="51"/>
      <c r="G196" s="49" t="s">
        <v>51</v>
      </c>
      <c r="H196" s="49"/>
      <c r="I196" s="51"/>
      <c r="J196" s="49" t="s">
        <v>52</v>
      </c>
      <c r="K196" s="49"/>
    </row>
    <row r="197" spans="1:12" x14ac:dyDescent="0.25">
      <c r="A197" s="36" t="s">
        <v>42</v>
      </c>
      <c r="B197" s="37" t="s">
        <v>43</v>
      </c>
      <c r="C197" s="37"/>
      <c r="D197" s="38" t="s">
        <v>44</v>
      </c>
      <c r="E197" s="39"/>
      <c r="G197" s="43" t="s">
        <v>42</v>
      </c>
      <c r="H197" s="43" t="s">
        <v>48</v>
      </c>
      <c r="J197" s="43" t="s">
        <v>42</v>
      </c>
      <c r="K197" s="43" t="s">
        <v>48</v>
      </c>
    </row>
    <row r="198" spans="1:12" x14ac:dyDescent="0.25">
      <c r="A198" s="53">
        <v>45658</v>
      </c>
      <c r="B198" s="35">
        <f>$C$169*0.21</f>
        <v>90528.25529999999</v>
      </c>
      <c r="C198" s="54"/>
      <c r="D198" s="56">
        <f>I13-B198</f>
        <v>275452.56270000001</v>
      </c>
      <c r="E198" s="32"/>
      <c r="G198" s="33">
        <v>45658</v>
      </c>
      <c r="H198" s="42">
        <f>H10</f>
        <v>1771187.65</v>
      </c>
      <c r="J198" s="33">
        <v>45658</v>
      </c>
      <c r="K198" s="42">
        <f>H198-F10-B198</f>
        <v>1680659.3946999998</v>
      </c>
    </row>
    <row r="199" spans="1:12" x14ac:dyDescent="0.25">
      <c r="A199" s="53">
        <v>45689</v>
      </c>
      <c r="B199" s="35">
        <f t="shared" ref="B199:B200" si="13">$C$169*0.21</f>
        <v>90528.25529999999</v>
      </c>
      <c r="C199" s="54"/>
      <c r="D199" s="34">
        <f>I28-B198</f>
        <v>306760.1544</v>
      </c>
      <c r="E199" s="32"/>
      <c r="G199" s="33">
        <v>45689</v>
      </c>
      <c r="H199" s="42">
        <f>H25</f>
        <v>1952385.0199999998</v>
      </c>
      <c r="J199" s="33">
        <v>45689</v>
      </c>
      <c r="K199" s="42">
        <f>H199-F25-B199</f>
        <v>1834019.1646999996</v>
      </c>
    </row>
    <row r="200" spans="1:12" x14ac:dyDescent="0.25">
      <c r="A200" s="53">
        <v>45717</v>
      </c>
      <c r="B200" s="35">
        <f t="shared" si="13"/>
        <v>90528.25529999999</v>
      </c>
      <c r="C200" s="54"/>
      <c r="D200" s="34">
        <f>I43-B198</f>
        <v>313196.10210000002</v>
      </c>
      <c r="E200" s="32"/>
      <c r="G200" s="33">
        <v>45717</v>
      </c>
      <c r="H200" s="42">
        <f>H40</f>
        <v>1963424.57</v>
      </c>
      <c r="J200" s="33">
        <v>45717</v>
      </c>
      <c r="K200" s="42">
        <f>H200-F40-B200</f>
        <v>1863846.5447</v>
      </c>
      <c r="L200" s="58"/>
    </row>
    <row r="201" spans="1:12" x14ac:dyDescent="0.25">
      <c r="A201" s="33">
        <v>45748</v>
      </c>
      <c r="B201" s="35">
        <f>$C$169*0.21</f>
        <v>90528.25529999999</v>
      </c>
      <c r="C201" s="32"/>
      <c r="D201" s="34">
        <f>I58-B201</f>
        <v>313196.10210000002</v>
      </c>
      <c r="E201" s="32"/>
      <c r="G201" s="33">
        <v>45748</v>
      </c>
      <c r="H201" s="42">
        <f>H55</f>
        <v>1997661.6899999997</v>
      </c>
      <c r="J201" s="33">
        <v>45748</v>
      </c>
      <c r="K201" s="42">
        <f>H201-F55-B201</f>
        <v>1898083.6646999996</v>
      </c>
    </row>
    <row r="202" spans="1:12" x14ac:dyDescent="0.25">
      <c r="A202" s="33">
        <v>45778</v>
      </c>
      <c r="B202" s="35">
        <f t="shared" ref="B202:B209" si="14">$C$169*0.21</f>
        <v>90528.25529999999</v>
      </c>
      <c r="C202" s="32"/>
      <c r="D202" s="34">
        <f>I73-B202</f>
        <v>313196.10210000002</v>
      </c>
      <c r="E202" s="32"/>
      <c r="G202" s="33">
        <v>45778</v>
      </c>
      <c r="H202" s="42">
        <f>H70</f>
        <v>1997661.6899999997</v>
      </c>
      <c r="J202" s="33">
        <v>45778</v>
      </c>
      <c r="K202" s="42">
        <f>H202-F70-B202</f>
        <v>1898083.6646999996</v>
      </c>
    </row>
    <row r="203" spans="1:12" x14ac:dyDescent="0.25">
      <c r="A203" s="33">
        <v>45809</v>
      </c>
      <c r="B203" s="35">
        <f t="shared" si="14"/>
        <v>90528.25529999999</v>
      </c>
      <c r="C203" s="32"/>
      <c r="D203" s="34">
        <f>I88-B203</f>
        <v>313196.10210000002</v>
      </c>
      <c r="E203" s="32"/>
      <c r="G203" s="33">
        <v>45809</v>
      </c>
      <c r="H203" s="42">
        <f>H85</f>
        <v>1997661.6899999997</v>
      </c>
      <c r="J203" s="33">
        <v>45809</v>
      </c>
      <c r="K203" s="42">
        <f>H203-F85-B203</f>
        <v>1898083.6646999996</v>
      </c>
    </row>
    <row r="204" spans="1:12" x14ac:dyDescent="0.25">
      <c r="A204" s="33">
        <v>45839</v>
      </c>
      <c r="B204" s="35">
        <f t="shared" si="14"/>
        <v>90528.25529999999</v>
      </c>
      <c r="C204" s="32"/>
      <c r="D204" s="34">
        <f>I103-B204</f>
        <v>313196.10210000002</v>
      </c>
      <c r="E204" s="32"/>
      <c r="G204" s="33">
        <v>45839</v>
      </c>
      <c r="H204" s="42">
        <f>H100</f>
        <v>1997661.6899999997</v>
      </c>
      <c r="J204" s="33">
        <v>45839</v>
      </c>
      <c r="K204" s="42">
        <f>H204-F100-B204</f>
        <v>1898083.6646999996</v>
      </c>
    </row>
    <row r="205" spans="1:12" x14ac:dyDescent="0.25">
      <c r="A205" s="33">
        <v>45870</v>
      </c>
      <c r="B205" s="35">
        <f t="shared" si="14"/>
        <v>90528.25529999999</v>
      </c>
      <c r="C205" s="32"/>
      <c r="D205" s="34">
        <f>I118-B204</f>
        <v>313196.10210000002</v>
      </c>
      <c r="E205" s="32"/>
      <c r="G205" s="33">
        <v>45870</v>
      </c>
      <c r="H205" s="42">
        <f>H115</f>
        <v>1997661.6899999997</v>
      </c>
      <c r="J205" s="33">
        <v>45870</v>
      </c>
      <c r="K205" s="42">
        <f>H205-F115-B205</f>
        <v>1898083.6646999996</v>
      </c>
    </row>
    <row r="206" spans="1:12" x14ac:dyDescent="0.25">
      <c r="A206" s="33">
        <v>45901</v>
      </c>
      <c r="B206" s="35">
        <f t="shared" si="14"/>
        <v>90528.25529999999</v>
      </c>
      <c r="C206" s="32"/>
      <c r="D206" s="34">
        <f>I133-B204</f>
        <v>313196.10210000002</v>
      </c>
      <c r="E206" s="32"/>
      <c r="G206" s="33">
        <v>45901</v>
      </c>
      <c r="H206" s="42">
        <f>H130</f>
        <v>1997661.6899999997</v>
      </c>
      <c r="J206" s="33">
        <v>45901</v>
      </c>
      <c r="K206" s="42">
        <f>H206-F130-B206</f>
        <v>1898083.6646999996</v>
      </c>
    </row>
    <row r="207" spans="1:12" x14ac:dyDescent="0.25">
      <c r="A207" s="33">
        <v>45931</v>
      </c>
      <c r="B207" s="35">
        <f t="shared" si="14"/>
        <v>90528.25529999999</v>
      </c>
      <c r="C207" s="32"/>
      <c r="D207" s="34">
        <f>I148-B204</f>
        <v>313196.10210000002</v>
      </c>
      <c r="E207" s="32"/>
      <c r="G207" s="33">
        <v>45931</v>
      </c>
      <c r="H207" s="42">
        <f>H145</f>
        <v>1997661.6899999997</v>
      </c>
      <c r="J207" s="33">
        <v>45931</v>
      </c>
      <c r="K207" s="42">
        <f>H207-F145-B207</f>
        <v>1898083.6646999996</v>
      </c>
    </row>
    <row r="208" spans="1:12" x14ac:dyDescent="0.25">
      <c r="A208" s="33">
        <v>45962</v>
      </c>
      <c r="B208" s="35">
        <f t="shared" si="14"/>
        <v>90528.25529999999</v>
      </c>
      <c r="C208" s="32"/>
      <c r="D208" s="34">
        <f>I163-B204</f>
        <v>313196.10210000002</v>
      </c>
      <c r="E208" s="32"/>
      <c r="G208" s="33">
        <v>45962</v>
      </c>
      <c r="H208" s="42">
        <f>H160</f>
        <v>1997661.6899999997</v>
      </c>
      <c r="J208" s="33">
        <v>45962</v>
      </c>
      <c r="K208" s="42">
        <f>H208-F160-B208</f>
        <v>1898083.6646999996</v>
      </c>
    </row>
    <row r="209" spans="1:11" x14ac:dyDescent="0.25">
      <c r="A209" s="33">
        <v>45992</v>
      </c>
      <c r="B209" s="35">
        <f t="shared" si="14"/>
        <v>90528.25529999999</v>
      </c>
      <c r="C209" s="32"/>
      <c r="D209" s="34">
        <f>I178-B204</f>
        <v>313196.10210000002</v>
      </c>
      <c r="E209" s="32"/>
      <c r="G209" s="33">
        <v>45992</v>
      </c>
      <c r="H209" s="42">
        <f>H175</f>
        <v>1997661.6899999997</v>
      </c>
      <c r="J209" s="33">
        <v>45992</v>
      </c>
      <c r="K209" s="42">
        <f>H209-F175-B209</f>
        <v>1898083.6646999996</v>
      </c>
    </row>
    <row r="210" spans="1:11" x14ac:dyDescent="0.25">
      <c r="A210" s="57" t="s">
        <v>50</v>
      </c>
      <c r="B210" s="35">
        <f>C184*0.21</f>
        <v>90528.25529999999</v>
      </c>
      <c r="C210" s="32"/>
      <c r="D210" s="34">
        <f>I193-B210</f>
        <v>313196.10210000002</v>
      </c>
      <c r="E210" s="32"/>
      <c r="G210" s="57" t="s">
        <v>50</v>
      </c>
      <c r="H210" s="42">
        <f>H190</f>
        <v>1934148.2299999997</v>
      </c>
      <c r="J210" s="57" t="s">
        <v>50</v>
      </c>
      <c r="K210" s="42">
        <f>H210-F190-B210</f>
        <v>1843619.9746999997</v>
      </c>
    </row>
    <row r="211" spans="1:11" ht="15.75" x14ac:dyDescent="0.25">
      <c r="A211" s="44" t="s">
        <v>9</v>
      </c>
      <c r="B211" s="45">
        <f>SUM(B198:B210)</f>
        <v>1176867.3188999998</v>
      </c>
      <c r="C211" s="46"/>
      <c r="D211" s="47">
        <f>SUM(D198:D210)</f>
        <v>4027369.8401999986</v>
      </c>
      <c r="E211" s="46"/>
      <c r="F211" s="40"/>
      <c r="G211" s="44" t="s">
        <v>9</v>
      </c>
      <c r="H211" s="48">
        <f>SUM(H198:H210)</f>
        <v>25600100.680000003</v>
      </c>
      <c r="J211" s="44" t="s">
        <v>9</v>
      </c>
      <c r="K211" s="48">
        <f>SUM(K198:K210)</f>
        <v>24304898.061100002</v>
      </c>
    </row>
    <row r="214" spans="1:11" x14ac:dyDescent="0.25">
      <c r="A214" s="59"/>
      <c r="B214" s="59"/>
      <c r="C214" s="59"/>
      <c r="E214" s="74" t="s">
        <v>55</v>
      </c>
      <c r="F214" s="74"/>
      <c r="G214" s="74"/>
      <c r="H214" s="74"/>
    </row>
    <row r="215" spans="1:11" ht="15.75" x14ac:dyDescent="0.25">
      <c r="A215" s="59"/>
      <c r="B215" s="59"/>
      <c r="C215" s="59"/>
      <c r="E215" s="59" t="s">
        <v>53</v>
      </c>
      <c r="F215" s="59"/>
      <c r="G215" s="59"/>
      <c r="H215" s="47">
        <v>38123534.710000001</v>
      </c>
    </row>
    <row r="216" spans="1:11" ht="15.75" x14ac:dyDescent="0.25">
      <c r="A216" s="59"/>
      <c r="B216" s="59"/>
      <c r="C216" s="59"/>
      <c r="E216" s="59" t="s">
        <v>54</v>
      </c>
      <c r="F216" s="59"/>
      <c r="G216" s="59"/>
      <c r="H216" s="47">
        <f>$K$211</f>
        <v>24304898.061100002</v>
      </c>
    </row>
    <row r="217" spans="1:11" x14ac:dyDescent="0.25">
      <c r="E217" s="59" t="s">
        <v>52</v>
      </c>
      <c r="F217" s="59"/>
      <c r="G217" s="59"/>
      <c r="H217" s="60">
        <f>H216/H215</f>
        <v>0.63753002563859074</v>
      </c>
    </row>
    <row r="220" spans="1:11" x14ac:dyDescent="0.25">
      <c r="I220" s="71"/>
    </row>
  </sheetData>
  <mergeCells count="1">
    <mergeCell ref="E214:H214"/>
  </mergeCells>
  <printOptions horizontalCentered="1" verticalCentered="1"/>
  <pageMargins left="0.24374999999999999" right="0.47244094488188981" top="1.246875" bottom="0.78740157480314965" header="0.19685039370078741" footer="0.31496062992125984"/>
  <pageSetup paperSize="9" scale="72" orientation="landscape" r:id="rId1"/>
  <headerFooter>
    <oddHeader xml:space="preserve">&amp;L&amp;G&amp;C&amp;"Arial Rounded MT Bold,Normal"&amp;24
&amp;"Arial Rounded MT Bold,Normal Negrito"&amp;22Projeção Folha de Pagamento&amp;"Arial Rounded MT Bold,Normal"&amp;20
&amp;18Câmara Municipal de Vitória da Conquista 2025&amp;R
&amp;G
</oddHeader>
  </headerFooter>
  <legacyDrawingHF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Cálculo</vt:lpstr>
      <vt:lpstr>Projeção</vt:lpstr>
      <vt:lpstr>Projeção (2)</vt:lpstr>
      <vt:lpstr>'Projeção (2)'!Fevereiro</vt:lpstr>
      <vt:lpstr>Fevereiro</vt:lpstr>
      <vt:lpstr>'Projeção (2)'!janeiro</vt:lpstr>
      <vt:lpstr>janeiro</vt:lpstr>
      <vt:lpstr>'Projeção (2)'!março</vt:lpstr>
      <vt:lpstr>março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Usuario</cp:lastModifiedBy>
  <cp:lastPrinted>2025-04-04T14:57:11Z</cp:lastPrinted>
  <dcterms:created xsi:type="dcterms:W3CDTF">2025-04-02T23:17:21Z</dcterms:created>
  <dcterms:modified xsi:type="dcterms:W3CDTF">2025-04-22T19:21:36Z</dcterms:modified>
</cp:coreProperties>
</file>