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pes Consultoria\Downloads\"/>
    </mc:Choice>
  </mc:AlternateContent>
  <xr:revisionPtr revIDLastSave="0" documentId="13_ncr:1_{F41C4B2A-7155-43FB-AB6B-F89CDD1467AD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Receitas" sheetId="22" r:id="rId1"/>
    <sheet name="Despesas" sheetId="57" r:id="rId2"/>
    <sheet name="Pessoal 54%" sheetId="41" r:id="rId3"/>
    <sheet name="Resumo Índices" sheetId="20" r:id="rId4"/>
    <sheet name="Educação" sheetId="12" r:id="rId5"/>
    <sheet name="Saúde 15%" sheetId="13" r:id="rId6"/>
    <sheet name="VAAT" sheetId="59" r:id="rId7"/>
    <sheet name="Resposta oficio" sheetId="58" r:id="rId8"/>
    <sheet name="Sec Educação" sheetId="60" r:id="rId9"/>
    <sheet name="RREO 8" sheetId="61" r:id="rId10"/>
    <sheet name="Planilha1" sheetId="50" state="hidden" r:id="rId11"/>
  </sheets>
  <definedNames>
    <definedName name="_xlnm.Print_Area" localSheetId="4">Educação!$A$1:$T$108</definedName>
    <definedName name="_xlnm.Print_Area" localSheetId="2">'Pessoal 54%'!$A$1:$N$73</definedName>
    <definedName name="_xlnm.Print_Area" localSheetId="7">'Resposta oficio'!$A$1:$F$85</definedName>
    <definedName name="_xlnm.Print_Area" localSheetId="3">'Resumo Índices'!$A$1:$B$63</definedName>
    <definedName name="_xlnm.Print_Area" localSheetId="8">'Sec Educação'!$A$1:$C$44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2" i="20" l="1"/>
  <c r="M125" i="22"/>
  <c r="L125" i="22"/>
  <c r="K125" i="22"/>
  <c r="J125" i="22"/>
  <c r="I125" i="22"/>
  <c r="H125" i="22"/>
  <c r="G125" i="22"/>
  <c r="F125" i="22"/>
  <c r="E125" i="22"/>
  <c r="D125" i="22"/>
  <c r="C125" i="22"/>
  <c r="B125" i="22"/>
  <c r="H123" i="22"/>
  <c r="H127" i="22" s="1"/>
  <c r="F123" i="22"/>
  <c r="F127" i="22" s="1"/>
  <c r="N121" i="22"/>
  <c r="L119" i="22"/>
  <c r="L123" i="22" s="1"/>
  <c r="L127" i="22" s="1"/>
  <c r="K119" i="22"/>
  <c r="K123" i="22" s="1"/>
  <c r="K127" i="22" s="1"/>
  <c r="J119" i="22"/>
  <c r="J123" i="22" s="1"/>
  <c r="I119" i="22"/>
  <c r="I123" i="22" s="1"/>
  <c r="H119" i="22"/>
  <c r="G119" i="22"/>
  <c r="G123" i="22" s="1"/>
  <c r="G127" i="22" s="1"/>
  <c r="F119" i="22"/>
  <c r="D119" i="22"/>
  <c r="D123" i="22" s="1"/>
  <c r="D127" i="22" s="1"/>
  <c r="C119" i="22"/>
  <c r="C123" i="22" s="1"/>
  <c r="C127" i="22" s="1"/>
  <c r="B119" i="22"/>
  <c r="B123" i="22" s="1"/>
  <c r="B127" i="22" s="1"/>
  <c r="N117" i="22"/>
  <c r="M117" i="22"/>
  <c r="M119" i="22" s="1"/>
  <c r="M123" i="22" s="1"/>
  <c r="E116" i="22"/>
  <c r="E119" i="22" s="1"/>
  <c r="E123" i="22" s="1"/>
  <c r="E127" i="22" s="1"/>
  <c r="D116" i="22"/>
  <c r="C116" i="22"/>
  <c r="N116" i="22" s="1"/>
  <c r="N115" i="22"/>
  <c r="N114" i="22"/>
  <c r="N113" i="22"/>
  <c r="N119" i="22" s="1"/>
  <c r="N123" i="22" s="1"/>
  <c r="N112" i="22"/>
  <c r="B28" i="20"/>
  <c r="B27" i="20"/>
  <c r="E107" i="22"/>
  <c r="E105" i="22"/>
  <c r="B25" i="20"/>
  <c r="D24" i="57"/>
  <c r="E24" i="57" s="1"/>
  <c r="D22" i="57"/>
  <c r="E22" i="57" s="1"/>
  <c r="C22" i="57"/>
  <c r="C24" i="57" s="1"/>
  <c r="B22" i="57"/>
  <c r="B24" i="57" s="1"/>
  <c r="E18" i="57"/>
  <c r="E14" i="57"/>
  <c r="B24" i="20"/>
  <c r="B23" i="20"/>
  <c r="B22" i="20"/>
  <c r="D100" i="22"/>
  <c r="D99" i="22"/>
  <c r="D98" i="22"/>
  <c r="D97" i="22"/>
  <c r="D96" i="22"/>
  <c r="E96" i="22" s="1"/>
  <c r="D95" i="22"/>
  <c r="D88" i="22"/>
  <c r="D87" i="22"/>
  <c r="D86" i="22"/>
  <c r="D85" i="22"/>
  <c r="E87" i="22"/>
  <c r="E85" i="22"/>
  <c r="B102" i="22"/>
  <c r="E100" i="22"/>
  <c r="C100" i="22"/>
  <c r="E99" i="22"/>
  <c r="C99" i="22"/>
  <c r="E98" i="22"/>
  <c r="C98" i="22"/>
  <c r="E97" i="22"/>
  <c r="C97" i="22"/>
  <c r="C94" i="22" s="1"/>
  <c r="C96" i="22"/>
  <c r="C95" i="22"/>
  <c r="D94" i="22"/>
  <c r="E94" i="22" s="1"/>
  <c r="B94" i="22"/>
  <c r="E88" i="22"/>
  <c r="C88" i="22"/>
  <c r="C87" i="22"/>
  <c r="E86" i="22"/>
  <c r="C86" i="22"/>
  <c r="C85" i="22"/>
  <c r="C84" i="22"/>
  <c r="B84" i="22"/>
  <c r="B19" i="20"/>
  <c r="B18" i="20"/>
  <c r="B17" i="20"/>
  <c r="S61" i="22"/>
  <c r="S59" i="22"/>
  <c r="S57" i="22"/>
  <c r="S2" i="57"/>
  <c r="B12" i="20" s="1"/>
  <c r="B14" i="20"/>
  <c r="B13" i="20"/>
  <c r="O78" i="22"/>
  <c r="N78" i="22"/>
  <c r="M78" i="22"/>
  <c r="L78" i="22"/>
  <c r="K78" i="22"/>
  <c r="J78" i="22"/>
  <c r="I78" i="22"/>
  <c r="H78" i="22"/>
  <c r="G78" i="22"/>
  <c r="F78" i="22"/>
  <c r="E78" i="22"/>
  <c r="D78" i="22"/>
  <c r="C78" i="22"/>
  <c r="B78" i="22"/>
  <c r="B64" i="22"/>
  <c r="S4" i="57"/>
  <c r="S3" i="57"/>
  <c r="R4" i="57"/>
  <c r="R3" i="57"/>
  <c r="R2" i="57"/>
  <c r="O9" i="57"/>
  <c r="N8" i="57"/>
  <c r="M8" i="57"/>
  <c r="L8" i="57"/>
  <c r="K8" i="57"/>
  <c r="J8" i="57"/>
  <c r="I8" i="57"/>
  <c r="H8" i="57"/>
  <c r="G8" i="57"/>
  <c r="F8" i="57"/>
  <c r="E8" i="57"/>
  <c r="D8" i="57"/>
  <c r="C8" i="57"/>
  <c r="B8" i="57"/>
  <c r="O6" i="57"/>
  <c r="O5" i="57"/>
  <c r="P5" i="57" s="1"/>
  <c r="N4" i="57"/>
  <c r="M4" i="57"/>
  <c r="L4" i="57"/>
  <c r="L3" i="57" s="1"/>
  <c r="K4" i="57"/>
  <c r="J4" i="57"/>
  <c r="I4" i="57"/>
  <c r="H4" i="57"/>
  <c r="G4" i="57"/>
  <c r="F4" i="57"/>
  <c r="E4" i="57"/>
  <c r="D4" i="57"/>
  <c r="C4" i="57"/>
  <c r="B4" i="57"/>
  <c r="J3" i="57"/>
  <c r="B9" i="20"/>
  <c r="B8" i="20"/>
  <c r="B7" i="20"/>
  <c r="B6" i="20"/>
  <c r="B5" i="20"/>
  <c r="R50" i="22"/>
  <c r="R49" i="22"/>
  <c r="R47" i="22"/>
  <c r="R46" i="22"/>
  <c r="R44" i="22"/>
  <c r="R43" i="22"/>
  <c r="R42" i="22"/>
  <c r="N76" i="22"/>
  <c r="M76" i="22"/>
  <c r="L76" i="22"/>
  <c r="K76" i="22"/>
  <c r="J76" i="22"/>
  <c r="I76" i="22"/>
  <c r="H76" i="22"/>
  <c r="G76" i="22"/>
  <c r="N75" i="22"/>
  <c r="M75" i="22"/>
  <c r="L75" i="22"/>
  <c r="K75" i="22"/>
  <c r="J75" i="22"/>
  <c r="I75" i="22"/>
  <c r="H75" i="22"/>
  <c r="G75" i="22"/>
  <c r="F75" i="22"/>
  <c r="F74" i="22" s="1"/>
  <c r="N73" i="22"/>
  <c r="M73" i="22"/>
  <c r="L73" i="22"/>
  <c r="K73" i="22"/>
  <c r="J73" i="22"/>
  <c r="I73" i="22"/>
  <c r="H73" i="22"/>
  <c r="N70" i="22"/>
  <c r="M70" i="22"/>
  <c r="L70" i="22"/>
  <c r="K70" i="22"/>
  <c r="J70" i="22"/>
  <c r="I70" i="22"/>
  <c r="H70" i="22"/>
  <c r="G70" i="22"/>
  <c r="F70" i="22"/>
  <c r="N69" i="22"/>
  <c r="M69" i="22"/>
  <c r="L69" i="22"/>
  <c r="K69" i="22"/>
  <c r="J69" i="22"/>
  <c r="I69" i="22"/>
  <c r="H69" i="22"/>
  <c r="G69" i="22"/>
  <c r="F69" i="22"/>
  <c r="E69" i="22"/>
  <c r="D69" i="22"/>
  <c r="C69" i="22"/>
  <c r="N72" i="22"/>
  <c r="M72" i="22"/>
  <c r="L72" i="22"/>
  <c r="K72" i="22"/>
  <c r="J72" i="22"/>
  <c r="I72" i="22"/>
  <c r="H72" i="22"/>
  <c r="G72" i="22"/>
  <c r="G71" i="22" s="1"/>
  <c r="F72" i="22"/>
  <c r="E72" i="22"/>
  <c r="D72" i="22"/>
  <c r="C72" i="22"/>
  <c r="E74" i="22"/>
  <c r="D74" i="22"/>
  <c r="C74" i="22"/>
  <c r="B74" i="22"/>
  <c r="E71" i="22"/>
  <c r="B71" i="22"/>
  <c r="B68" i="22"/>
  <c r="N62" i="22"/>
  <c r="M62" i="22"/>
  <c r="L62" i="22"/>
  <c r="K62" i="22"/>
  <c r="J62" i="22"/>
  <c r="I62" i="22"/>
  <c r="H62" i="22"/>
  <c r="G62" i="22"/>
  <c r="F62" i="22"/>
  <c r="E62" i="22"/>
  <c r="C62" i="22"/>
  <c r="D62" i="22"/>
  <c r="M56" i="22"/>
  <c r="L56" i="22"/>
  <c r="K56" i="22"/>
  <c r="J56" i="22"/>
  <c r="I56" i="22"/>
  <c r="H56" i="22"/>
  <c r="G56" i="22"/>
  <c r="F56" i="22"/>
  <c r="M55" i="22"/>
  <c r="L55" i="22"/>
  <c r="K55" i="22"/>
  <c r="J55" i="22"/>
  <c r="I55" i="22"/>
  <c r="H55" i="22"/>
  <c r="G55" i="22"/>
  <c r="F55" i="22"/>
  <c r="M54" i="22"/>
  <c r="L54" i="22"/>
  <c r="K54" i="22"/>
  <c r="J54" i="22"/>
  <c r="I54" i="22"/>
  <c r="H54" i="22"/>
  <c r="G54" i="22"/>
  <c r="F54" i="22"/>
  <c r="M53" i="22"/>
  <c r="L53" i="22"/>
  <c r="K53" i="22"/>
  <c r="J53" i="22"/>
  <c r="I53" i="22"/>
  <c r="H53" i="22"/>
  <c r="G53" i="22"/>
  <c r="F53" i="22"/>
  <c r="M52" i="22"/>
  <c r="L52" i="22"/>
  <c r="K52" i="22"/>
  <c r="J52" i="22"/>
  <c r="I52" i="22"/>
  <c r="H52" i="22"/>
  <c r="G52" i="22"/>
  <c r="N51" i="22"/>
  <c r="N50" i="22" s="1"/>
  <c r="M51" i="22"/>
  <c r="L51" i="22"/>
  <c r="K51" i="22"/>
  <c r="J51" i="22"/>
  <c r="I51" i="22"/>
  <c r="H51" i="22"/>
  <c r="G51" i="22"/>
  <c r="F51" i="22"/>
  <c r="M48" i="22"/>
  <c r="L48" i="22"/>
  <c r="K48" i="22"/>
  <c r="J48" i="22"/>
  <c r="I48" i="22"/>
  <c r="H48" i="22"/>
  <c r="G48" i="22"/>
  <c r="F48" i="22"/>
  <c r="M47" i="22"/>
  <c r="L47" i="22"/>
  <c r="K47" i="22"/>
  <c r="J47" i="22"/>
  <c r="I47" i="22"/>
  <c r="H47" i="22"/>
  <c r="G47" i="22"/>
  <c r="F47" i="22"/>
  <c r="M46" i="22"/>
  <c r="L46" i="22"/>
  <c r="K46" i="22"/>
  <c r="J46" i="22"/>
  <c r="I46" i="22"/>
  <c r="H46" i="22"/>
  <c r="G46" i="22"/>
  <c r="F46" i="22"/>
  <c r="M45" i="22"/>
  <c r="L45" i="22"/>
  <c r="K45" i="22"/>
  <c r="J45" i="22"/>
  <c r="I45" i="22"/>
  <c r="H45" i="22"/>
  <c r="G45" i="22"/>
  <c r="F45" i="22"/>
  <c r="B62" i="22"/>
  <c r="O58" i="22"/>
  <c r="O57" i="22"/>
  <c r="E50" i="22"/>
  <c r="D50" i="22"/>
  <c r="C50" i="22"/>
  <c r="B50" i="22"/>
  <c r="N44" i="22"/>
  <c r="N64" i="22" s="1"/>
  <c r="E44" i="22"/>
  <c r="D44" i="22"/>
  <c r="C44" i="22"/>
  <c r="B44" i="22"/>
  <c r="R48" i="12"/>
  <c r="R45" i="12"/>
  <c r="O60" i="12"/>
  <c r="N62" i="12"/>
  <c r="H38" i="13"/>
  <c r="H37" i="13"/>
  <c r="Q11" i="59"/>
  <c r="Q14" i="59" s="1"/>
  <c r="Q18" i="59" s="1"/>
  <c r="H7" i="59"/>
  <c r="I32" i="59" s="1"/>
  <c r="E31" i="59"/>
  <c r="E30" i="59"/>
  <c r="J28" i="59" s="1"/>
  <c r="K28" i="59" s="1"/>
  <c r="F22" i="61"/>
  <c r="F26" i="61" s="1"/>
  <c r="B20" i="61"/>
  <c r="C21" i="61" s="1"/>
  <c r="B16" i="61"/>
  <c r="D12" i="61"/>
  <c r="C12" i="61"/>
  <c r="C10" i="61" s="1"/>
  <c r="B12" i="61"/>
  <c r="B10" i="61" s="1"/>
  <c r="D10" i="61"/>
  <c r="E6" i="61"/>
  <c r="D5" i="61"/>
  <c r="C5" i="61"/>
  <c r="E5" i="61" s="1"/>
  <c r="B5" i="61"/>
  <c r="E4" i="61"/>
  <c r="F3" i="61"/>
  <c r="E3" i="61"/>
  <c r="F7" i="61" s="1"/>
  <c r="F2" i="61"/>
  <c r="F4" i="61" s="1"/>
  <c r="E2" i="61"/>
  <c r="H29" i="59"/>
  <c r="E35" i="59"/>
  <c r="D28" i="59"/>
  <c r="H28" i="59" s="1"/>
  <c r="A18" i="20"/>
  <c r="M11" i="41"/>
  <c r="F29" i="12"/>
  <c r="E29" i="12"/>
  <c r="D29" i="12"/>
  <c r="C29" i="12"/>
  <c r="B31" i="12"/>
  <c r="C34" i="60"/>
  <c r="O18" i="12"/>
  <c r="O46" i="12"/>
  <c r="S19" i="12" s="1"/>
  <c r="O49" i="12"/>
  <c r="S20" i="12" s="1"/>
  <c r="C25" i="60"/>
  <c r="C18" i="60"/>
  <c r="E27" i="59"/>
  <c r="H27" i="59" s="1"/>
  <c r="J27" i="59" s="1"/>
  <c r="H30" i="59"/>
  <c r="H13" i="59"/>
  <c r="H14" i="59"/>
  <c r="H15" i="59"/>
  <c r="S79" i="12"/>
  <c r="S70" i="12"/>
  <c r="O45" i="12"/>
  <c r="H31" i="59"/>
  <c r="H21" i="59"/>
  <c r="H12" i="59"/>
  <c r="H5" i="59"/>
  <c r="I33" i="59" s="1"/>
  <c r="H3" i="59"/>
  <c r="E27" i="13"/>
  <c r="N37" i="22"/>
  <c r="N34" i="22"/>
  <c r="N32" i="22"/>
  <c r="B7" i="60" s="1"/>
  <c r="N31" i="22"/>
  <c r="B6" i="60" s="1"/>
  <c r="J48" i="12"/>
  <c r="K48" i="12"/>
  <c r="L48" i="12"/>
  <c r="M48" i="12"/>
  <c r="D32" i="12"/>
  <c r="E32" i="12"/>
  <c r="F32" i="12"/>
  <c r="G32" i="12"/>
  <c r="C32" i="12"/>
  <c r="I44" i="12"/>
  <c r="J44" i="12"/>
  <c r="K44" i="12"/>
  <c r="L44" i="12"/>
  <c r="M44" i="12"/>
  <c r="I48" i="12"/>
  <c r="I36" i="12"/>
  <c r="J36" i="12"/>
  <c r="K36" i="12"/>
  <c r="L36" i="12"/>
  <c r="M36" i="12"/>
  <c r="N36" i="12"/>
  <c r="I35" i="12"/>
  <c r="J35" i="12"/>
  <c r="K35" i="12"/>
  <c r="L35" i="12"/>
  <c r="M35" i="12"/>
  <c r="N35" i="12"/>
  <c r="I33" i="12"/>
  <c r="J33" i="12"/>
  <c r="K33" i="12"/>
  <c r="L33" i="12"/>
  <c r="M33" i="12"/>
  <c r="N33" i="12"/>
  <c r="I32" i="12"/>
  <c r="J32" i="12"/>
  <c r="K32" i="12"/>
  <c r="L32" i="12"/>
  <c r="M32" i="12"/>
  <c r="N32" i="12"/>
  <c r="I30" i="12"/>
  <c r="J30" i="12"/>
  <c r="K30" i="12"/>
  <c r="L30" i="12"/>
  <c r="M30" i="12"/>
  <c r="N30" i="12"/>
  <c r="H32" i="12"/>
  <c r="H33" i="12"/>
  <c r="H35" i="12"/>
  <c r="H36" i="12"/>
  <c r="I29" i="12"/>
  <c r="J29" i="12"/>
  <c r="K29" i="12"/>
  <c r="L29" i="12"/>
  <c r="M29" i="12"/>
  <c r="N29" i="12"/>
  <c r="O19" i="12"/>
  <c r="I23" i="12"/>
  <c r="J23" i="12"/>
  <c r="K23" i="12"/>
  <c r="L23" i="12"/>
  <c r="M23" i="12"/>
  <c r="N23" i="12"/>
  <c r="J17" i="12"/>
  <c r="K17" i="12"/>
  <c r="L17" i="12"/>
  <c r="M17" i="12"/>
  <c r="J15" i="12"/>
  <c r="K15" i="12"/>
  <c r="L15" i="12"/>
  <c r="M15" i="12"/>
  <c r="J16" i="12"/>
  <c r="K16" i="12"/>
  <c r="L16" i="12"/>
  <c r="M16" i="12"/>
  <c r="J14" i="12"/>
  <c r="K14" i="12"/>
  <c r="L14" i="12"/>
  <c r="M14" i="12"/>
  <c r="J13" i="12"/>
  <c r="K13" i="12"/>
  <c r="L13" i="12"/>
  <c r="M13" i="12"/>
  <c r="J12" i="12"/>
  <c r="K12" i="12"/>
  <c r="L12" i="12"/>
  <c r="M12" i="12"/>
  <c r="N12" i="12"/>
  <c r="K9" i="12"/>
  <c r="L9" i="12"/>
  <c r="M9" i="12"/>
  <c r="K8" i="12"/>
  <c r="L8" i="12"/>
  <c r="M8" i="12"/>
  <c r="K7" i="12"/>
  <c r="L7" i="12"/>
  <c r="M7" i="12"/>
  <c r="K6" i="12"/>
  <c r="L6" i="12"/>
  <c r="M6" i="12"/>
  <c r="J9" i="12"/>
  <c r="J8" i="12"/>
  <c r="J7" i="12"/>
  <c r="I8" i="12"/>
  <c r="I9" i="12"/>
  <c r="J6" i="12"/>
  <c r="N23" i="22"/>
  <c r="E44" i="12"/>
  <c r="F44" i="12"/>
  <c r="G44" i="12"/>
  <c r="H44" i="12"/>
  <c r="E48" i="12"/>
  <c r="F48" i="12"/>
  <c r="G48" i="12"/>
  <c r="H48" i="12"/>
  <c r="D35" i="13"/>
  <c r="H23" i="12"/>
  <c r="D23" i="12"/>
  <c r="E23" i="12"/>
  <c r="F23" i="12"/>
  <c r="G23" i="12"/>
  <c r="C23" i="12"/>
  <c r="H30" i="12"/>
  <c r="H29" i="12"/>
  <c r="I13" i="12"/>
  <c r="I14" i="12"/>
  <c r="I15" i="12"/>
  <c r="I16" i="12"/>
  <c r="I17" i="12"/>
  <c r="I12" i="12"/>
  <c r="H13" i="12"/>
  <c r="H14" i="12"/>
  <c r="H15" i="12"/>
  <c r="H16" i="12"/>
  <c r="H17" i="12"/>
  <c r="H12" i="12"/>
  <c r="I7" i="12"/>
  <c r="H7" i="12"/>
  <c r="H8" i="12"/>
  <c r="H9" i="12"/>
  <c r="I6" i="12"/>
  <c r="H6" i="12"/>
  <c r="G36" i="12"/>
  <c r="G35" i="12"/>
  <c r="G30" i="12"/>
  <c r="F30" i="12"/>
  <c r="G29" i="12"/>
  <c r="G13" i="12"/>
  <c r="G14" i="12"/>
  <c r="G15" i="12"/>
  <c r="G16" i="12"/>
  <c r="G17" i="12"/>
  <c r="F14" i="12"/>
  <c r="F15" i="12"/>
  <c r="F16" i="12"/>
  <c r="G12" i="12"/>
  <c r="G7" i="12"/>
  <c r="G8" i="12"/>
  <c r="G9" i="12"/>
  <c r="G6" i="12"/>
  <c r="N10" i="22"/>
  <c r="F12" i="22"/>
  <c r="F3" i="22"/>
  <c r="E3" i="22"/>
  <c r="G3" i="22"/>
  <c r="H3" i="22"/>
  <c r="I3" i="22"/>
  <c r="J3" i="22"/>
  <c r="K3" i="22"/>
  <c r="L3" i="22"/>
  <c r="M3" i="22"/>
  <c r="A32" i="20"/>
  <c r="A31" i="20"/>
  <c r="A27" i="20"/>
  <c r="A25" i="20"/>
  <c r="A24" i="20"/>
  <c r="A23" i="20"/>
  <c r="A22" i="20"/>
  <c r="A19" i="20"/>
  <c r="A17" i="20"/>
  <c r="C20" i="13"/>
  <c r="C19" i="13"/>
  <c r="C18" i="13"/>
  <c r="C17" i="13"/>
  <c r="C16" i="13"/>
  <c r="C15" i="13"/>
  <c r="C8" i="13"/>
  <c r="C7" i="13"/>
  <c r="C6" i="13"/>
  <c r="C5" i="13"/>
  <c r="R20" i="12"/>
  <c r="A14" i="20" s="1"/>
  <c r="R18" i="12"/>
  <c r="A12" i="20" s="1"/>
  <c r="R19" i="12"/>
  <c r="A13" i="20" s="1"/>
  <c r="R13" i="12"/>
  <c r="R12" i="12"/>
  <c r="R10" i="12"/>
  <c r="R9" i="12"/>
  <c r="R7" i="12"/>
  <c r="R6" i="12"/>
  <c r="R5" i="12"/>
  <c r="B48" i="12"/>
  <c r="C48" i="12"/>
  <c r="D48" i="12"/>
  <c r="C44" i="12"/>
  <c r="D44" i="12"/>
  <c r="B44" i="12"/>
  <c r="M127" i="22" l="1"/>
  <c r="J127" i="22"/>
  <c r="I127" i="22"/>
  <c r="N125" i="22"/>
  <c r="N127" i="22" s="1"/>
  <c r="N129" i="22" s="1"/>
  <c r="D84" i="22"/>
  <c r="D102" i="22" s="1"/>
  <c r="E102" i="22" s="1"/>
  <c r="C102" i="22"/>
  <c r="E3" i="57"/>
  <c r="M3" i="57"/>
  <c r="F3" i="57"/>
  <c r="N3" i="57"/>
  <c r="G3" i="57"/>
  <c r="I3" i="57"/>
  <c r="K3" i="57"/>
  <c r="H3" i="57"/>
  <c r="O4" i="57"/>
  <c r="O8" i="57"/>
  <c r="P8" i="57" s="1"/>
  <c r="B67" i="22"/>
  <c r="O54" i="22"/>
  <c r="D60" i="22"/>
  <c r="B60" i="22"/>
  <c r="N38" i="12"/>
  <c r="D71" i="22"/>
  <c r="C71" i="22"/>
  <c r="E68" i="22"/>
  <c r="E67" i="22" s="1"/>
  <c r="J74" i="22"/>
  <c r="C68" i="22"/>
  <c r="F68" i="22"/>
  <c r="N74" i="22"/>
  <c r="F71" i="22"/>
  <c r="M74" i="22"/>
  <c r="L68" i="22"/>
  <c r="O75" i="22"/>
  <c r="D64" i="22"/>
  <c r="C60" i="22"/>
  <c r="C64" i="22"/>
  <c r="K50" i="22"/>
  <c r="O56" i="22"/>
  <c r="K34" i="12"/>
  <c r="N60" i="22"/>
  <c r="E60" i="22"/>
  <c r="O53" i="22"/>
  <c r="L50" i="22"/>
  <c r="M50" i="22"/>
  <c r="G50" i="22"/>
  <c r="O52" i="22"/>
  <c r="O51" i="22"/>
  <c r="J50" i="22"/>
  <c r="H50" i="22"/>
  <c r="O55" i="22"/>
  <c r="E64" i="22"/>
  <c r="O45" i="22"/>
  <c r="F50" i="22"/>
  <c r="O30" i="12"/>
  <c r="L34" i="12"/>
  <c r="O29" i="12"/>
  <c r="P33" i="12" s="1"/>
  <c r="C38" i="12"/>
  <c r="K27" i="59"/>
  <c r="J26" i="59"/>
  <c r="M34" i="12"/>
  <c r="N28" i="12"/>
  <c r="N34" i="12"/>
  <c r="E38" i="12"/>
  <c r="D38" i="12"/>
  <c r="F25" i="22"/>
  <c r="F19" i="41" s="1"/>
  <c r="O36" i="12"/>
  <c r="O33" i="12"/>
  <c r="N48" i="12"/>
  <c r="O48" i="12"/>
  <c r="S18" i="12"/>
  <c r="H32" i="59"/>
  <c r="N44" i="12"/>
  <c r="O44" i="12" s="1"/>
  <c r="P28" i="12" s="1"/>
  <c r="O32" i="12"/>
  <c r="H16" i="59"/>
  <c r="C35" i="60"/>
  <c r="H22" i="59"/>
  <c r="M43" i="12"/>
  <c r="K43" i="12"/>
  <c r="I43" i="12"/>
  <c r="I38" i="12"/>
  <c r="O15" i="12"/>
  <c r="L43" i="12"/>
  <c r="L28" i="12"/>
  <c r="M38" i="12"/>
  <c r="O23" i="12"/>
  <c r="S9" i="12" s="1"/>
  <c r="J43" i="12"/>
  <c r="K38" i="12"/>
  <c r="J38" i="12"/>
  <c r="K5" i="12"/>
  <c r="K25" i="12" s="1"/>
  <c r="H34" i="12"/>
  <c r="L38" i="12"/>
  <c r="O13" i="12"/>
  <c r="I28" i="12"/>
  <c r="I34" i="12"/>
  <c r="J34" i="12"/>
  <c r="O14" i="12"/>
  <c r="G34" i="12"/>
  <c r="O16" i="12"/>
  <c r="M11" i="12"/>
  <c r="J28" i="12"/>
  <c r="M28" i="12"/>
  <c r="K28" i="12"/>
  <c r="N11" i="12"/>
  <c r="L11" i="12"/>
  <c r="K11" i="12"/>
  <c r="N5" i="12"/>
  <c r="M5" i="12"/>
  <c r="M25" i="12" s="1"/>
  <c r="L5" i="12"/>
  <c r="I11" i="12"/>
  <c r="H38" i="12"/>
  <c r="I5" i="12"/>
  <c r="I25" i="12" s="1"/>
  <c r="G43" i="12"/>
  <c r="G38" i="12"/>
  <c r="J5" i="12"/>
  <c r="H43" i="12"/>
  <c r="H28" i="12"/>
  <c r="J11" i="12"/>
  <c r="H11" i="12"/>
  <c r="H5" i="12"/>
  <c r="H25" i="12" s="1"/>
  <c r="F43" i="12"/>
  <c r="E43" i="12"/>
  <c r="F36" i="22"/>
  <c r="G36" i="22"/>
  <c r="H36" i="22"/>
  <c r="I36" i="22"/>
  <c r="J36" i="22"/>
  <c r="K36" i="22"/>
  <c r="L36" i="22"/>
  <c r="M36" i="22"/>
  <c r="F33" i="22"/>
  <c r="G33" i="22"/>
  <c r="H33" i="22"/>
  <c r="I71" i="22" s="1"/>
  <c r="I33" i="22"/>
  <c r="J33" i="22"/>
  <c r="K33" i="22"/>
  <c r="L33" i="22"/>
  <c r="M71" i="22" s="1"/>
  <c r="M33" i="22"/>
  <c r="F30" i="22"/>
  <c r="F29" i="22" s="1"/>
  <c r="G30" i="22"/>
  <c r="H30" i="22"/>
  <c r="I30" i="22"/>
  <c r="J30" i="22"/>
  <c r="K30" i="22"/>
  <c r="L30" i="22"/>
  <c r="M30" i="22"/>
  <c r="N35" i="22"/>
  <c r="N38" i="22"/>
  <c r="B36" i="22"/>
  <c r="C36" i="22"/>
  <c r="D36" i="22"/>
  <c r="B33" i="22"/>
  <c r="C33" i="22"/>
  <c r="D33" i="22"/>
  <c r="B30" i="22"/>
  <c r="C30" i="22"/>
  <c r="D30" i="22"/>
  <c r="F35" i="12"/>
  <c r="O35" i="12" s="1"/>
  <c r="E36" i="22"/>
  <c r="E33" i="22"/>
  <c r="E30" i="22"/>
  <c r="F17" i="12"/>
  <c r="O17" i="12" s="1"/>
  <c r="F12" i="12"/>
  <c r="O12" i="12" s="1"/>
  <c r="F9" i="12"/>
  <c r="O9" i="12" s="1"/>
  <c r="F8" i="12"/>
  <c r="O8" i="12" s="1"/>
  <c r="F7" i="12"/>
  <c r="O7" i="12" s="1"/>
  <c r="F6" i="12"/>
  <c r="O6" i="12" s="1"/>
  <c r="E53" i="58"/>
  <c r="D53" i="58"/>
  <c r="C53" i="58"/>
  <c r="B53" i="58"/>
  <c r="H62" i="58"/>
  <c r="I61" i="58"/>
  <c r="I62" i="58" s="1"/>
  <c r="F60" i="58"/>
  <c r="F56" i="58"/>
  <c r="E55" i="58"/>
  <c r="D55" i="58"/>
  <c r="C55" i="58"/>
  <c r="F54" i="58"/>
  <c r="F52" i="58"/>
  <c r="E51" i="58"/>
  <c r="D51" i="58"/>
  <c r="C51" i="58"/>
  <c r="B51" i="58"/>
  <c r="E100" i="58"/>
  <c r="D100" i="58"/>
  <c r="C100" i="58"/>
  <c r="B100" i="58"/>
  <c r="E98" i="58"/>
  <c r="D98" i="58"/>
  <c r="C98" i="58"/>
  <c r="B98" i="58"/>
  <c r="K104" i="58"/>
  <c r="K109" i="58" s="1"/>
  <c r="J104" i="58"/>
  <c r="J109" i="58" s="1"/>
  <c r="I104" i="58"/>
  <c r="I109" i="58" s="1"/>
  <c r="I108" i="58"/>
  <c r="B10" i="58"/>
  <c r="B15" i="58" s="1"/>
  <c r="B19" i="58" s="1"/>
  <c r="F8" i="58"/>
  <c r="F107" i="58"/>
  <c r="F103" i="58"/>
  <c r="E102" i="58"/>
  <c r="D102" i="58"/>
  <c r="C102" i="58"/>
  <c r="F101" i="58"/>
  <c r="F99" i="58"/>
  <c r="F17" i="58"/>
  <c r="F13" i="58"/>
  <c r="E12" i="58"/>
  <c r="E15" i="58" s="1"/>
  <c r="E19" i="58" s="1"/>
  <c r="D12" i="58"/>
  <c r="D15" i="58" s="1"/>
  <c r="D19" i="58" s="1"/>
  <c r="C12" i="58"/>
  <c r="C15" i="58" s="1"/>
  <c r="C19" i="58" s="1"/>
  <c r="F11" i="58"/>
  <c r="F9" i="58"/>
  <c r="N15" i="41"/>
  <c r="M13" i="41"/>
  <c r="F13" i="41"/>
  <c r="F17" i="41" s="1"/>
  <c r="G13" i="41"/>
  <c r="H13" i="41"/>
  <c r="H17" i="41" s="1"/>
  <c r="I13" i="41"/>
  <c r="I17" i="41" s="1"/>
  <c r="J13" i="41"/>
  <c r="J17" i="41" s="1"/>
  <c r="K13" i="41"/>
  <c r="K17" i="41" s="1"/>
  <c r="L13" i="41"/>
  <c r="L17" i="41" s="1"/>
  <c r="M17" i="41"/>
  <c r="N7" i="41"/>
  <c r="N8" i="41"/>
  <c r="N9" i="41"/>
  <c r="N11" i="41"/>
  <c r="N6" i="41"/>
  <c r="B13" i="41"/>
  <c r="B3" i="22"/>
  <c r="N15" i="22"/>
  <c r="D18" i="13" s="1"/>
  <c r="N16" i="22"/>
  <c r="D17" i="13" s="1"/>
  <c r="N17" i="22"/>
  <c r="D16" i="13" s="1"/>
  <c r="N18" i="22"/>
  <c r="D20" i="13" s="1"/>
  <c r="N19" i="22"/>
  <c r="D19" i="13" s="1"/>
  <c r="N20" i="22"/>
  <c r="N21" i="22"/>
  <c r="N22" i="22"/>
  <c r="N13" i="22"/>
  <c r="D15" i="13" s="1"/>
  <c r="C12" i="22"/>
  <c r="D12" i="22"/>
  <c r="E12" i="22"/>
  <c r="G12" i="22"/>
  <c r="G25" i="22" s="1"/>
  <c r="G19" i="41" s="1"/>
  <c r="H12" i="22"/>
  <c r="H25" i="22" s="1"/>
  <c r="H19" i="41" s="1"/>
  <c r="I12" i="22"/>
  <c r="J12" i="22"/>
  <c r="J25" i="22" s="1"/>
  <c r="J19" i="41" s="1"/>
  <c r="K12" i="22"/>
  <c r="K25" i="22" s="1"/>
  <c r="K19" i="41" s="1"/>
  <c r="L12" i="22"/>
  <c r="L25" i="22" s="1"/>
  <c r="L19" i="41" s="1"/>
  <c r="M12" i="22"/>
  <c r="M25" i="22" s="1"/>
  <c r="B12" i="22"/>
  <c r="C3" i="22"/>
  <c r="E10" i="41"/>
  <c r="E13" i="41" s="1"/>
  <c r="E17" i="41" s="1"/>
  <c r="D10" i="41"/>
  <c r="D13" i="41" s="1"/>
  <c r="C10" i="41"/>
  <c r="C13" i="41" s="1"/>
  <c r="C17" i="41" s="1"/>
  <c r="C31" i="12"/>
  <c r="D31" i="12"/>
  <c r="E31" i="12"/>
  <c r="F31" i="12"/>
  <c r="G31" i="12"/>
  <c r="C34" i="12"/>
  <c r="D34" i="12"/>
  <c r="E34" i="12"/>
  <c r="C28" i="12"/>
  <c r="D28" i="12"/>
  <c r="E28" i="12"/>
  <c r="G28" i="12"/>
  <c r="B34" i="12"/>
  <c r="B28" i="12"/>
  <c r="B23" i="12"/>
  <c r="B38" i="12" s="1"/>
  <c r="G5" i="12"/>
  <c r="E5" i="12"/>
  <c r="E25" i="12" s="1"/>
  <c r="D5" i="12"/>
  <c r="D25" i="12" s="1"/>
  <c r="C5" i="12"/>
  <c r="B5" i="12"/>
  <c r="B25" i="12" s="1"/>
  <c r="E11" i="12"/>
  <c r="G11" i="12"/>
  <c r="D11" i="12"/>
  <c r="C11" i="12"/>
  <c r="B11" i="12"/>
  <c r="P69" i="12"/>
  <c r="P73" i="12"/>
  <c r="P75" i="12"/>
  <c r="P76" i="12"/>
  <c r="P77" i="12"/>
  <c r="P78" i="12"/>
  <c r="P79" i="12"/>
  <c r="P81" i="12"/>
  <c r="P82" i="12"/>
  <c r="P101" i="12"/>
  <c r="P103" i="12"/>
  <c r="P104" i="12"/>
  <c r="P105" i="12"/>
  <c r="E84" i="22" l="1"/>
  <c r="O3" i="57"/>
  <c r="F67" i="22"/>
  <c r="N31" i="12"/>
  <c r="N71" i="22"/>
  <c r="K31" i="12"/>
  <c r="K71" i="22"/>
  <c r="M19" i="41"/>
  <c r="M21" i="41" s="1"/>
  <c r="J31" i="12"/>
  <c r="J27" i="12" s="1"/>
  <c r="J71" i="22"/>
  <c r="L31" i="12"/>
  <c r="L27" i="12" s="1"/>
  <c r="L71" i="22"/>
  <c r="H31" i="12"/>
  <c r="H71" i="22"/>
  <c r="O73" i="22"/>
  <c r="H74" i="22"/>
  <c r="G68" i="22"/>
  <c r="C67" i="22"/>
  <c r="H68" i="22"/>
  <c r="I74" i="22"/>
  <c r="K68" i="22" s="1"/>
  <c r="L74" i="22"/>
  <c r="N68" i="22" s="1"/>
  <c r="N67" i="22" s="1"/>
  <c r="G74" i="22"/>
  <c r="L29" i="22"/>
  <c r="G29" i="22"/>
  <c r="M29" i="22"/>
  <c r="N27" i="12"/>
  <c r="F44" i="22"/>
  <c r="O47" i="22"/>
  <c r="I50" i="22"/>
  <c r="O50" i="22" s="1"/>
  <c r="S43" i="22" s="1"/>
  <c r="F21" i="41"/>
  <c r="H35" i="59"/>
  <c r="J33" i="59"/>
  <c r="E36" i="59"/>
  <c r="J32" i="59"/>
  <c r="K29" i="22"/>
  <c r="J29" i="22"/>
  <c r="I29" i="22"/>
  <c r="N43" i="12"/>
  <c r="O43" i="12"/>
  <c r="K21" i="41"/>
  <c r="D29" i="22"/>
  <c r="C29" i="22"/>
  <c r="N36" i="22"/>
  <c r="B9" i="60" s="1"/>
  <c r="H29" i="22"/>
  <c r="J21" i="41"/>
  <c r="N30" i="22"/>
  <c r="B29" i="22"/>
  <c r="E29" i="22"/>
  <c r="N33" i="22"/>
  <c r="B8" i="60" s="1"/>
  <c r="L21" i="41"/>
  <c r="G17" i="41"/>
  <c r="K27" i="12"/>
  <c r="L21" i="12"/>
  <c r="K21" i="12"/>
  <c r="I31" i="12"/>
  <c r="I27" i="12" s="1"/>
  <c r="M31" i="12"/>
  <c r="M27" i="12" s="1"/>
  <c r="B25" i="22"/>
  <c r="B21" i="58" s="1"/>
  <c r="B111" i="58" s="1"/>
  <c r="N21" i="12"/>
  <c r="L25" i="12"/>
  <c r="M21" i="12"/>
  <c r="J21" i="12"/>
  <c r="C25" i="12"/>
  <c r="I21" i="12"/>
  <c r="J25" i="12"/>
  <c r="N25" i="12"/>
  <c r="I25" i="22"/>
  <c r="I19" i="41" s="1"/>
  <c r="I21" i="41" s="1"/>
  <c r="F38" i="12"/>
  <c r="O38" i="12" s="1"/>
  <c r="T22" i="12" s="1"/>
  <c r="F34" i="12"/>
  <c r="H21" i="41"/>
  <c r="H27" i="12"/>
  <c r="H21" i="12"/>
  <c r="G21" i="41"/>
  <c r="D14" i="13"/>
  <c r="F28" i="12"/>
  <c r="O28" i="12" s="1"/>
  <c r="S13" i="12" s="1"/>
  <c r="C25" i="22"/>
  <c r="C21" i="58" s="1"/>
  <c r="C111" i="58" s="1"/>
  <c r="E25" i="22"/>
  <c r="E19" i="41" s="1"/>
  <c r="E21" i="41" s="1"/>
  <c r="F11" i="12"/>
  <c r="F5" i="12"/>
  <c r="F25" i="12" s="1"/>
  <c r="N10" i="41"/>
  <c r="N13" i="41" s="1"/>
  <c r="N17" i="41" s="1"/>
  <c r="H104" i="58"/>
  <c r="H109" i="58" s="1"/>
  <c r="H110" i="58" s="1"/>
  <c r="F10" i="58"/>
  <c r="B105" i="58"/>
  <c r="B109" i="58" s="1"/>
  <c r="F55" i="58"/>
  <c r="I110" i="58"/>
  <c r="E58" i="58"/>
  <c r="E62" i="58" s="1"/>
  <c r="F100" i="58"/>
  <c r="F53" i="58"/>
  <c r="D58" i="58"/>
  <c r="D62" i="58" s="1"/>
  <c r="F102" i="58"/>
  <c r="B58" i="58"/>
  <c r="B62" i="58" s="1"/>
  <c r="C58" i="58"/>
  <c r="C62" i="58" s="1"/>
  <c r="J61" i="58"/>
  <c r="J62" i="58" s="1"/>
  <c r="F51" i="58"/>
  <c r="E105" i="58"/>
  <c r="E109" i="58" s="1"/>
  <c r="D105" i="58"/>
  <c r="D109" i="58" s="1"/>
  <c r="F98" i="58"/>
  <c r="J108" i="58"/>
  <c r="C105" i="58"/>
  <c r="C109" i="58" s="1"/>
  <c r="F12" i="58"/>
  <c r="N12" i="22"/>
  <c r="G27" i="12"/>
  <c r="B27" i="12"/>
  <c r="E27" i="12"/>
  <c r="D27" i="12"/>
  <c r="C27" i="12"/>
  <c r="D21" i="12"/>
  <c r="G21" i="12"/>
  <c r="G25" i="12"/>
  <c r="C21" i="12"/>
  <c r="E21" i="12"/>
  <c r="B21" i="12"/>
  <c r="N4" i="22"/>
  <c r="D5" i="13" s="1"/>
  <c r="O71" i="22" l="1"/>
  <c r="H67" i="22"/>
  <c r="L67" i="22"/>
  <c r="G67" i="22"/>
  <c r="D68" i="22"/>
  <c r="O69" i="22"/>
  <c r="J68" i="22"/>
  <c r="J67" i="22" s="1"/>
  <c r="K74" i="22"/>
  <c r="M68" i="22" s="1"/>
  <c r="M67" i="22" s="1"/>
  <c r="F60" i="22"/>
  <c r="F64" i="22"/>
  <c r="B10" i="60"/>
  <c r="C26" i="60" s="1"/>
  <c r="C19" i="60"/>
  <c r="N29" i="22"/>
  <c r="O34" i="12"/>
  <c r="O31" i="12"/>
  <c r="O25" i="12"/>
  <c r="P48" i="12" s="1"/>
  <c r="O5" i="12"/>
  <c r="O11" i="12"/>
  <c r="S6" i="12" s="1"/>
  <c r="F27" i="12"/>
  <c r="O27" i="12" s="1"/>
  <c r="C19" i="41"/>
  <c r="B19" i="41"/>
  <c r="B113" i="58"/>
  <c r="C113" i="58"/>
  <c r="C64" i="58"/>
  <c r="C66" i="58" s="1"/>
  <c r="C23" i="58"/>
  <c r="B23" i="58"/>
  <c r="B64" i="58"/>
  <c r="B66" i="58" s="1"/>
  <c r="E21" i="58"/>
  <c r="E23" i="58" s="1"/>
  <c r="F21" i="12"/>
  <c r="F58" i="58"/>
  <c r="F62" i="58" s="1"/>
  <c r="F15" i="58"/>
  <c r="F19" i="58" s="1"/>
  <c r="F105" i="58"/>
  <c r="F109" i="58" s="1"/>
  <c r="K61" i="58"/>
  <c r="K108" i="58"/>
  <c r="K110" i="58" s="1"/>
  <c r="J110" i="58"/>
  <c r="K58" i="41"/>
  <c r="F58" i="41"/>
  <c r="G58" i="41"/>
  <c r="H58" i="41"/>
  <c r="I58" i="41"/>
  <c r="J58" i="41"/>
  <c r="S51" i="22" l="1"/>
  <c r="S5" i="57"/>
  <c r="O74" i="22"/>
  <c r="K67" i="22"/>
  <c r="O72" i="22"/>
  <c r="D67" i="22"/>
  <c r="O76" i="22"/>
  <c r="G44" i="22"/>
  <c r="P27" i="12"/>
  <c r="P29" i="12" s="1"/>
  <c r="S12" i="12"/>
  <c r="S27" i="12" s="1"/>
  <c r="S14" i="12"/>
  <c r="P34" i="12"/>
  <c r="P45" i="12"/>
  <c r="O21" i="12"/>
  <c r="S7" i="12" s="1"/>
  <c r="S8" i="12" s="1"/>
  <c r="S10" i="12" s="1"/>
  <c r="S5" i="12"/>
  <c r="E111" i="58"/>
  <c r="E113" i="58" s="1"/>
  <c r="E64" i="58"/>
  <c r="E66" i="58" s="1"/>
  <c r="K62" i="58"/>
  <c r="K63" i="58" s="1"/>
  <c r="G62" i="58"/>
  <c r="G66" i="58" s="1"/>
  <c r="H66" i="58" s="1"/>
  <c r="G109" i="58"/>
  <c r="G113" i="58" s="1"/>
  <c r="H113" i="58" s="1"/>
  <c r="I68" i="22" l="1"/>
  <c r="O70" i="22"/>
  <c r="G60" i="22"/>
  <c r="G64" i="22"/>
  <c r="S21" i="12"/>
  <c r="S31" i="12" s="1"/>
  <c r="T20" i="12"/>
  <c r="S29" i="12"/>
  <c r="I67" i="22" l="1"/>
  <c r="O67" i="22" s="1"/>
  <c r="S49" i="22" s="1"/>
  <c r="O68" i="22"/>
  <c r="S50" i="22" s="1"/>
  <c r="H44" i="22"/>
  <c r="H60" i="22" l="1"/>
  <c r="H64" i="22"/>
  <c r="F73" i="41"/>
  <c r="H48" i="41"/>
  <c r="G48" i="41"/>
  <c r="O62" i="22" l="1"/>
  <c r="S46" i="22" s="1"/>
  <c r="I44" i="22"/>
  <c r="F46" i="41"/>
  <c r="F44" i="41"/>
  <c r="I60" i="22" l="1"/>
  <c r="I64" i="22"/>
  <c r="D48" i="41"/>
  <c r="D17" i="41" s="1"/>
  <c r="J44" i="22" l="1"/>
  <c r="B44" i="41"/>
  <c r="C43" i="41"/>
  <c r="B43" i="41"/>
  <c r="B46" i="41"/>
  <c r="B47" i="41"/>
  <c r="C46" i="41"/>
  <c r="C44" i="41"/>
  <c r="C42" i="41"/>
  <c r="C47" i="41"/>
  <c r="J60" i="22" l="1"/>
  <c r="J64" i="22"/>
  <c r="B60" i="41"/>
  <c r="K44" i="22" l="1"/>
  <c r="N5" i="22"/>
  <c r="D7" i="13" s="1"/>
  <c r="N6" i="22"/>
  <c r="D6" i="13" s="1"/>
  <c r="N7" i="22"/>
  <c r="D8" i="13" s="1"/>
  <c r="N8" i="22"/>
  <c r="K60" i="22" l="1"/>
  <c r="K64" i="22"/>
  <c r="D4" i="13"/>
  <c r="N3" i="22"/>
  <c r="O48" i="22" l="1"/>
  <c r="L44" i="22"/>
  <c r="N25" i="22"/>
  <c r="B31" i="20" s="1"/>
  <c r="B33" i="20" s="1"/>
  <c r="D22" i="13"/>
  <c r="L60" i="22" l="1"/>
  <c r="L64" i="22"/>
  <c r="M44" i="22" l="1"/>
  <c r="O46" i="22"/>
  <c r="L53" i="41"/>
  <c r="M60" i="22" l="1"/>
  <c r="M64" i="22"/>
  <c r="O64" i="22" s="1"/>
  <c r="O44" i="22"/>
  <c r="E48" i="41"/>
  <c r="F48" i="41"/>
  <c r="I48" i="41"/>
  <c r="J48" i="41"/>
  <c r="K48" i="41"/>
  <c r="L48" i="41"/>
  <c r="M48" i="41"/>
  <c r="N48" i="41"/>
  <c r="B48" i="41"/>
  <c r="B17" i="41" s="1"/>
  <c r="B21" i="41" s="1"/>
  <c r="C48" i="41"/>
  <c r="C21" i="41" s="1"/>
  <c r="O60" i="22" l="1"/>
  <c r="S42" i="22"/>
  <c r="C69" i="13"/>
  <c r="D69" i="13"/>
  <c r="D37" i="13" s="1"/>
  <c r="B69" i="13"/>
  <c r="D48" i="13"/>
  <c r="C48" i="13"/>
  <c r="B48" i="13"/>
  <c r="B56" i="13" s="1"/>
  <c r="C4" i="13"/>
  <c r="C14" i="13"/>
  <c r="B4" i="13"/>
  <c r="B14" i="13"/>
  <c r="S44" i="22" l="1"/>
  <c r="S45" i="22" s="1"/>
  <c r="S47" i="22" s="1"/>
  <c r="E39" i="13"/>
  <c r="E41" i="13"/>
  <c r="B22" i="13"/>
  <c r="C22" i="13"/>
  <c r="E31" i="13"/>
  <c r="D3" i="22" l="1"/>
  <c r="D25" i="22" s="1"/>
  <c r="D19" i="41" l="1"/>
  <c r="N19" i="41" s="1"/>
  <c r="N21" i="41" s="1"/>
  <c r="N23" i="41" s="1"/>
  <c r="D21" i="58"/>
  <c r="D111" i="58" l="1"/>
  <c r="F21" i="58"/>
  <c r="F23" i="58" s="1"/>
  <c r="F25" i="58" s="1"/>
  <c r="D23" i="58"/>
  <c r="D64" i="58"/>
  <c r="D21" i="41"/>
  <c r="F64" i="58" l="1"/>
  <c r="F66" i="58" s="1"/>
  <c r="F68" i="58" s="1"/>
  <c r="G68" i="58" s="1"/>
  <c r="D66" i="58"/>
  <c r="F111" i="58"/>
  <c r="F113" i="58" s="1"/>
  <c r="F115" i="58" s="1"/>
  <c r="D113" i="58"/>
  <c r="C56" i="13" l="1"/>
  <c r="D56" i="13"/>
  <c r="E5" i="13"/>
  <c r="E6" i="13"/>
  <c r="E7" i="13"/>
  <c r="E8" i="13"/>
  <c r="E14" i="13"/>
  <c r="E16" i="13"/>
  <c r="E17" i="13"/>
  <c r="E18" i="13"/>
  <c r="E19" i="13"/>
  <c r="E20" i="13"/>
  <c r="E22" i="13"/>
  <c r="C35" i="13" l="1"/>
  <c r="C37" i="13" s="1"/>
  <c r="E56" i="13"/>
  <c r="E53" i="13"/>
  <c r="E50" i="13"/>
  <c r="E49" i="13"/>
  <c r="E48" i="13"/>
  <c r="O102" i="12"/>
  <c r="P102" i="12" s="1"/>
  <c r="B102" i="12"/>
  <c r="O83" i="12"/>
  <c r="B83" i="12"/>
  <c r="P83" i="12" l="1"/>
  <c r="B35" i="13"/>
  <c r="B37" i="13" s="1"/>
  <c r="E4" i="13"/>
  <c r="E37" i="13" l="1"/>
  <c r="O95" i="12"/>
  <c r="E35" i="13"/>
  <c r="E69" i="13"/>
  <c r="E63" i="13"/>
  <c r="E62" i="13"/>
</calcChain>
</file>

<file path=xl/sharedStrings.xml><?xml version="1.0" encoding="utf-8"?>
<sst xmlns="http://schemas.openxmlformats.org/spreadsheetml/2006/main" count="616" uniqueCount="325">
  <si>
    <t>RECEITA TRIBUTÁRIA</t>
  </si>
  <si>
    <t>TRANSFERÊNCIAS CORRENTES</t>
  </si>
  <si>
    <t>TOTAL</t>
  </si>
  <si>
    <t>No Ano</t>
  </si>
  <si>
    <t>DESPESAS CORRENTES</t>
  </si>
  <si>
    <t>DESPESAS DE CAPITAL</t>
  </si>
  <si>
    <t>FUNDEB</t>
  </si>
  <si>
    <t>RECEITAS DO FUNDEB</t>
  </si>
  <si>
    <t>PREVISÃO INICIAL</t>
  </si>
  <si>
    <t>PREVISÃO ATUALIZADA</t>
  </si>
  <si>
    <t>RECEITAS REALIZADAS</t>
  </si>
  <si>
    <t>% ATINGIDO</t>
  </si>
  <si>
    <t>DOTAÇÃO ATUALIZADA</t>
  </si>
  <si>
    <t>VALOR</t>
  </si>
  <si>
    <t xml:space="preserve">DOTAÇÃO INICIAL </t>
  </si>
  <si>
    <t>EDUCAÇÃO 25%</t>
  </si>
  <si>
    <t>DESPESAS REALIZADAS</t>
  </si>
  <si>
    <t>1. RECEITA DE IMPOSTOS</t>
  </si>
  <si>
    <t>MANUTENÇÃO E DESENVOLVIMENTO DO ENSINO - DESPESAS CUSTEADAS COM A RECEITA RESULTANTE DE IMPOSTOS E RECURSOS DO FUNDEB</t>
  </si>
  <si>
    <t>RECEITAS COM AÇÕES TÍPICAS DE MDE</t>
  </si>
  <si>
    <t>IMPOSTOS E TRANSFERÊNCIAS DESTINADAS Á MDE (25% DE 3)</t>
  </si>
  <si>
    <t>DESPESAS LIQUIDADAS</t>
  </si>
  <si>
    <t>EDUCAÇÃO INFANTIL</t>
  </si>
  <si>
    <t>Despesas Custeadas com Recursos do FUNDEB</t>
  </si>
  <si>
    <t>Despesas Custeadas com Outros Recursos de Impostos</t>
  </si>
  <si>
    <t>ENSINO FUNDAMENTAL</t>
  </si>
  <si>
    <t>ENSINO MÉDIO</t>
  </si>
  <si>
    <t>ENSINO SUPERIOR</t>
  </si>
  <si>
    <t>ENSINO PROFISSIONAL NÃO INTEGRADO REGULAR</t>
  </si>
  <si>
    <t xml:space="preserve">OUTRAS </t>
  </si>
  <si>
    <t xml:space="preserve">TOTAL DAS DESPEAS COM AÇÕES TÍPICAS DE MDE </t>
  </si>
  <si>
    <t>DEDUÇÕES CONSIDERADAS PARA FINS DE LIMITE CONSTITUCIONAL</t>
  </si>
  <si>
    <t>RESULTADO LÍQUIDO DAS TRANSFERENCIAS DO FUNDEB</t>
  </si>
  <si>
    <t>DESPESAS CUSTEADAS COM A COMPLEMENTAÇÃO DO FUNDE NO EXERCICIO</t>
  </si>
  <si>
    <t>RECEITA DE APLICAÇÃO FINANCEIRA DOS RECURSOS DO FUNDEB</t>
  </si>
  <si>
    <t>DESPESAS CUSTEADAS COM O SUPERÁVIT FINANCEIRO , DO EXERCICIO ANTERIOR DO FUNDEB</t>
  </si>
  <si>
    <t>DESPESAS CUSTESDAS COM SUPERAVIT FINANCEIRO DO EXERCICIO ANTERIOR DE OUTROS RECURSO DE IMPOSTOS</t>
  </si>
  <si>
    <t>RESTOS A PAGAR INSCRITOS NO EXERCICIO SEM DISPONIBILIDADE FIN. DE RECURSOS DE IMPOSTOS VINCULADOS AO ENSINO</t>
  </si>
  <si>
    <t>CANCELAMENTO, NO EXERCICIO, DE R.P. INSCRITOS COM DISPONIBILIDAD FINANCEIRA DE REC. DE IMPSTOS VINC. AO ENSINO</t>
  </si>
  <si>
    <t xml:space="preserve">TOTAL DAS DEDUÇÕES CONSIDERADAS PARA FINS DE LIMITE CONSTITUCIONAL </t>
  </si>
  <si>
    <t>TOTAL DAS DESPESAS PARA FINS DE LIMITE</t>
  </si>
  <si>
    <t>MÍNIMO DE 25% DAS RECEITAS RESULTANTES DE IMPOSTOS EM MDE</t>
  </si>
  <si>
    <t>OUTRAS INFORMAÇÕES PARA CONTROLE</t>
  </si>
  <si>
    <t>OUTRAS DESPESAS CUSTEADAS COM RECEITAS ADICIONAIS PARA FINANCIMAENTO DO ENSINO</t>
  </si>
  <si>
    <t>DESPESAS CUSTEADAS COM A APLICAÇÃO FINANCEIRA DE OUTROS RECURSOS DE IMPOSTO</t>
  </si>
  <si>
    <t>DESPESAS CUSTEADAS COM A CONTRIBUIÇÃO SOCAIL DO SALÁRIO-EDUCAÇÃO</t>
  </si>
  <si>
    <t>DESPESAS CUSTEADAS COM OPERAÇÕES DE CRÉDITO</t>
  </si>
  <si>
    <t>DESPESAS CUSTEADAS COM OUTRAS RECEITAS PARA FINANCIAMENTO DO ENSINO</t>
  </si>
  <si>
    <t>TOTAL DAS OUTRAS DESPESAS COM RECEITAS ADICIONAIS PARA FINANCIAMENTO</t>
  </si>
  <si>
    <t>TOTAL GERAL DAS DESPESAS COM MDE</t>
  </si>
  <si>
    <t>RESTOS A PAGAR INSCRITOS COM DISPONIBILIDADE FINANCEIRA DE RECURSOS DE IMPOSTOS VINCULADOS AO ENSINO</t>
  </si>
  <si>
    <t>CANCELADO EM 2014</t>
  </si>
  <si>
    <t>RESTOS A PAGAR DE DESPESAS COM MDE</t>
  </si>
  <si>
    <t>RECEITA PARA APURAÇÃO DA APLICAÇÃO EM AÇÕES E SERVIÇOS PÚBLICOS DE SAÚDE</t>
  </si>
  <si>
    <t>RECEITA DE IMPOSTOS LÍQUIDA (I)</t>
  </si>
  <si>
    <t>Impostos Predial e Territorial - IPTU</t>
  </si>
  <si>
    <t>Imposto Sobre Transmissão de Bens Intervivos - ITBI</t>
  </si>
  <si>
    <t>Impostos Sobre Serviços de Qualquer Natureza</t>
  </si>
  <si>
    <t>Imposto de Renda Retido na Fonte - IRRF</t>
  </si>
  <si>
    <t>Imposto Territorial Rural - ITR</t>
  </si>
  <si>
    <t>Dívida Ativas dos Impostos</t>
  </si>
  <si>
    <t>Multas, Juros de Mora e Outros encargos da Dívida Ativa</t>
  </si>
  <si>
    <t>Cota-parte FPM</t>
  </si>
  <si>
    <t>Cota-Parte ITR</t>
  </si>
  <si>
    <t>Cota-Parte IPVA</t>
  </si>
  <si>
    <t>Cota-Parte ICMS</t>
  </si>
  <si>
    <t>Cota-Parte IPI -Exportação</t>
  </si>
  <si>
    <t>Desoneração ICMS (LC 87/96)</t>
  </si>
  <si>
    <t>Outras</t>
  </si>
  <si>
    <t>TOTAL DAS RECEITAS PARA APURAÇÃO EM AÇÕES E SERVIÇOS PÚBLICOS DE SAÚDE (III) = I + II</t>
  </si>
  <si>
    <t>RECEITA ADICIONAIS PARA FINANCIAMENTO DA SÁUDE</t>
  </si>
  <si>
    <t>Provenientes da União</t>
  </si>
  <si>
    <t>Provenientes dos Estados</t>
  </si>
  <si>
    <t>Provenientes de Outros Municipios</t>
  </si>
  <si>
    <t>Outras Receitas do SUS</t>
  </si>
  <si>
    <t>TRANSFERÊNCIAS DE RECURSO DO SISTEMA ÚNICO DE SAÚDE - SUSS</t>
  </si>
  <si>
    <t>RECEITA DE OPERAÇÕES DE CRÉDITO VINCULADAS A SAÚDE</t>
  </si>
  <si>
    <t>OUTRAS RECEITAS PARA FINANCIAMENTO DA SAÚDE</t>
  </si>
  <si>
    <t>TOTAL RECEITAS ADICIONAIS PARA FINANCIAMENTO DA SAUDE</t>
  </si>
  <si>
    <t xml:space="preserve">DESPESAS COM SAÚDE </t>
  </si>
  <si>
    <t>(Por grupo de Natureza da Despesa)</t>
  </si>
  <si>
    <t>Pessoal e Encargos Sociais</t>
  </si>
  <si>
    <t>Juros e Encargos da dívida</t>
  </si>
  <si>
    <t>Outras Despesas Correntes</t>
  </si>
  <si>
    <t xml:space="preserve">Investimentos </t>
  </si>
  <si>
    <t>Inversões Financeiras</t>
  </si>
  <si>
    <t>Amortização da Dívida</t>
  </si>
  <si>
    <t>TOTAL DAS DESPEAS COM SAÚDE (IV)</t>
  </si>
  <si>
    <t>DESPESAS COM SAÚDE NÃO COMPUTADAS PARA FINS DE APURAÇÃO DO PERCENTUAL MÍNIMO</t>
  </si>
  <si>
    <t>DESPESAS COM INATIVOS E PENSIONISTAS</t>
  </si>
  <si>
    <t>DESPESAS COM ASSISTÊNCIA A SAÚDE QUE NÃO ATENDE AO PRINCIPIO DE ACESSO UNIVERSAL</t>
  </si>
  <si>
    <t>DESPESAS CUSTEADAS COM OUTROS RECURSOS</t>
  </si>
  <si>
    <t>Recursos de Transferência do Sistema Único de Sapude - SUS</t>
  </si>
  <si>
    <t>Recursos de Operações de Crédito</t>
  </si>
  <si>
    <t>Outros Recursos</t>
  </si>
  <si>
    <t>OUTRAS AÇÕES E SERVIÇOS NÃO COMPUTADOS</t>
  </si>
  <si>
    <t>RESTOS A PAGAR NÃO PROCESSADOS INSCRITOS INDEVIDAMENTE NO EXERCICIO SEM DISPONIBILIDADE FINANCEIRA</t>
  </si>
  <si>
    <t>DESPESAS CUSTEADAS COM RECURSOS VINCULADOS A PARCELA DO PERCENTUAL MÍNIMO QUE NÃO FOI APLICADA EM AÇÕES E SERVIÇOS DE SAÚDE EM EXERCICIO ANTERIORES</t>
  </si>
  <si>
    <t>TOTAL DAS DESEPAS COM SAÚDE NÃO COMPUTADAS (V)</t>
  </si>
  <si>
    <t>TOTAL DAS DESPESA COM AÇÕES E SEVIÇOS PÚBLICOS EM SAÚDE (VI) = (IV) -(V)</t>
  </si>
  <si>
    <t>Receita Patrimonial</t>
  </si>
  <si>
    <t>Outras Receitas Correntes</t>
  </si>
  <si>
    <t>DEMOSTRATIVO DAS RECEITAS E DESPESAS COM EDUCAÇÃO</t>
  </si>
  <si>
    <t xml:space="preserve"> 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</si>
  <si>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</si>
  <si>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</si>
  <si>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</si>
  <si>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</si>
  <si>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</si>
  <si>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</si>
  <si>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</si>
  <si>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</si>
  <si>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</si>
  <si>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</si>
  <si>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</si>
  <si>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</si>
  <si>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ESPECIFICAÇÕES</t>
  </si>
  <si>
    <t>IPTU</t>
  </si>
  <si>
    <t>ISS</t>
  </si>
  <si>
    <t>ITBI</t>
  </si>
  <si>
    <t>IRRF</t>
  </si>
  <si>
    <t>Contribuições</t>
  </si>
  <si>
    <t>ESTADO DA BAHIA</t>
  </si>
  <si>
    <t>PERCENTUAL COM PESSOAL</t>
  </si>
  <si>
    <t>PROGRAMAS FEDERAIS - DESPESAS EXCLUIDAS EM CONFORMIDADE COM A INSTRUÇAO 03/2018 TCM/BA</t>
  </si>
  <si>
    <t>NO ANO</t>
  </si>
  <si>
    <t>EMP. 70 FONTE 29</t>
  </si>
  <si>
    <t>EMP. 68 FONTE 29</t>
  </si>
  <si>
    <t>EMP. 4 FONTE 14 (PSF)</t>
  </si>
  <si>
    <t>EMP. 5 FONTE 14 MAC</t>
  </si>
  <si>
    <t>EMP. 6 FONTE 14 CEO</t>
  </si>
  <si>
    <t>EMP. 7 FONTE 14 NASF</t>
  </si>
  <si>
    <t>Saúde da Família - SF</t>
  </si>
  <si>
    <t>Saúde Bucal</t>
  </si>
  <si>
    <t>Média e Alta Complexidade</t>
  </si>
  <si>
    <t>Assistência Social</t>
  </si>
  <si>
    <t>Atenção Psicossocial</t>
  </si>
  <si>
    <t>Núcleo de Apoio à Saúde da Família - NASF</t>
  </si>
  <si>
    <t>DESPESAS EXCLUIDAS (IN. 003/2018)</t>
  </si>
  <si>
    <t>Indireta por Preço Unitário</t>
  </si>
  <si>
    <t>EMP. 9 CAPS FONTE 14</t>
  </si>
  <si>
    <t>Os dados disponibilizados nesta consulta são declaratórios, sob a responsabilidade da respectiva entidade.</t>
  </si>
  <si>
    <t>Núm. Licitação</t>
  </si>
  <si>
    <t>Modalidade</t>
  </si>
  <si>
    <t>Data Homologação</t>
  </si>
  <si>
    <t>Execução</t>
  </si>
  <si>
    <t>Objeto</t>
  </si>
  <si>
    <t>Valor Estimado</t>
  </si>
  <si>
    <t>Valor Homologado</t>
  </si>
  <si>
    <t>PERP0003/2020</t>
  </si>
  <si>
    <t>Pregão eletrônico para registro de preço</t>
  </si>
  <si>
    <t>Não Aplicável</t>
  </si>
  <si>
    <t>Contratação de ...</t>
  </si>
  <si>
    <t>PERP0015/2019</t>
  </si>
  <si>
    <t>PERP0017/2019</t>
  </si>
  <si>
    <t>TP0001/2020</t>
  </si>
  <si>
    <t>Tomada de preço para compras e serviços</t>
  </si>
  <si>
    <t>Indireta por Preço Global</t>
  </si>
  <si>
    <t>TP0013/2019</t>
  </si>
  <si>
    <t>Tomada de preço p/obras e serviços de engenharia</t>
  </si>
  <si>
    <r>
      <t>TOTAL Estimado : </t>
    </r>
    <r>
      <rPr>
        <sz val="11"/>
        <color theme="1"/>
        <rFont val="Calibri"/>
        <family val="2"/>
        <scheme val="minor"/>
      </rPr>
      <t>R$ 6.261.823,75</t>
    </r>
  </si>
  <si>
    <r>
      <t>TOTAL Homologado : </t>
    </r>
    <r>
      <rPr>
        <sz val="11"/>
        <color theme="1"/>
        <rFont val="Calibri"/>
        <family val="2"/>
        <scheme val="minor"/>
      </rPr>
      <t>R$ 30.028.628,71</t>
    </r>
  </si>
  <si>
    <t>Caps</t>
  </si>
  <si>
    <t>Nasf</t>
  </si>
  <si>
    <t>Psf</t>
  </si>
  <si>
    <t>Samu</t>
  </si>
  <si>
    <t>COVID</t>
  </si>
  <si>
    <t>social</t>
  </si>
  <si>
    <t>RECEITA RESULTANTE DE IMPOSTOS (caput do art. 212 da CF)</t>
  </si>
  <si>
    <t>1.1- Receita Resultante do Imposto sobre a Propriedade Predial e Territorial Urbana – IPTU</t>
  </si>
  <si>
    <t>1.2- Receita Resultante do Imposto sobre Transmissão Inter Vivos – ITBI</t>
  </si>
  <si>
    <t>1.3- Receita Resultante do Imposto sobre Serviços de Qualquer Natureza – ISS</t>
  </si>
  <si>
    <t>1.4- Receita Resultante do Imposto de Renda Retido na Fonte – IRRF</t>
  </si>
  <si>
    <t>2- RECEITA DE TRANSFERÊNCIAS CONSTITUCIONAIS E LEGAIS</t>
  </si>
  <si>
    <t>2.1- Cota-Parte FPM</t>
  </si>
  <si>
    <t>2.2- Cota-Parte ICMS</t>
  </si>
  <si>
    <t>2.4- Cota-Parte ITR</t>
  </si>
  <si>
    <t>2.5- Cota-Parte IPVA</t>
  </si>
  <si>
    <t>2.6- Cota-Parte IOF-Ouro</t>
  </si>
  <si>
    <t>3- TOTAL DA RECEITA DE IMPOSTOS (1 + 2)</t>
  </si>
  <si>
    <t xml:space="preserve">   2.1.1- Cota-Parte FPM (1% julho e dezembro)</t>
  </si>
  <si>
    <t>4- TOTAL DESTINADO AO FUNDEB - 20% DE ((2.1) + (2.2) + (2.3) + (2.4) + (2.5))</t>
  </si>
  <si>
    <t>2.3- Cota-Parte IPI-Exportação (LC 61/89)</t>
  </si>
  <si>
    <t>5- VALOR MÍNIMO A SER APLICADO ALÉM DO VALOR DESTINADO AO FUNDEB - 5% DE ((2.2) + (2.3) + (2.4) + (2.5)) + 25% DE ((1.1) + (1.2) + (1.3) + (1.4) + (2.1.1) + (2.6)+ (2.7))</t>
  </si>
  <si>
    <t>ACUMULADO ANO</t>
  </si>
  <si>
    <t>2.7- Comp. Financeiras Prov. de Impostos e Transf. Constitucionais</t>
  </si>
  <si>
    <t>6- RECEITAS RECEBIDAS DO FUNDEB</t>
  </si>
  <si>
    <t>6.1- FUNDEB - Impostos e Transferências de Impostos</t>
  </si>
  <si>
    <t>6.1.1- Principal</t>
  </si>
  <si>
    <t>6.1.2- Rendimentos de Aplicação Financeira</t>
  </si>
  <si>
    <t>6.2- FUNDEB - Complementação da União - VAAF</t>
  </si>
  <si>
    <t>6.2.1- Principal</t>
  </si>
  <si>
    <t>6.2.2- Rendimentos de Aplicação Financeira</t>
  </si>
  <si>
    <t>6.3- FUNDEB - Complementação da União - VAAT</t>
  </si>
  <si>
    <t>6.3.1- Principal</t>
  </si>
  <si>
    <t>6.3.2- Rendimentos de Aplicação Financeira</t>
  </si>
  <si>
    <t>7- RESULTADO LÍQUIDO DAS TRANSFERÊNCIAS DO FUNDEB (6.1.1 – 4)</t>
  </si>
  <si>
    <t>ANO ACUMULADO</t>
  </si>
  <si>
    <t>PREFEITURA MUNICIPAL DE ITARANTIM</t>
  </si>
  <si>
    <t>EXERCÍCIO 2021</t>
  </si>
  <si>
    <t>Vencimentos e Vantagens (salarios) (ED 319011)</t>
  </si>
  <si>
    <t>Contratação tempo Determinado (ED 319004)</t>
  </si>
  <si>
    <t>INATIVOS</t>
  </si>
  <si>
    <t>Outras Despesas com Pessoal (ED 319035, 36 e 39)</t>
  </si>
  <si>
    <t>Obrigações Patronais INSS - (319013)</t>
  </si>
  <si>
    <t>DESPESA BRUTA COM PESSOAL</t>
  </si>
  <si>
    <t>Despesa Pessoal Rateio Consórcio (ED 317170)</t>
  </si>
  <si>
    <t>RECEITAS 2021</t>
  </si>
  <si>
    <t>Outros Impostos e Taxas</t>
  </si>
  <si>
    <t>FPM</t>
  </si>
  <si>
    <t>ICMS</t>
  </si>
  <si>
    <t>IPVA</t>
  </si>
  <si>
    <t>ITR</t>
  </si>
  <si>
    <t>OUTRAS Transferências Correntes</t>
  </si>
  <si>
    <t>Dedução p/ formação do FUNDEB</t>
  </si>
  <si>
    <t>RECEITA CORRENTE LÍQUIDA</t>
  </si>
  <si>
    <t>RECEITA DE CAPITAL</t>
  </si>
  <si>
    <t>DESPESA LÍQUIDA COM PESSOAL</t>
  </si>
  <si>
    <t>ESPECIFICAÇÃO</t>
  </si>
  <si>
    <t xml:space="preserve"> DEMONSTRATIVO DA DESPESA COM PESSOAL - EXERCICIO 2021 - TOTAL</t>
  </si>
  <si>
    <t xml:space="preserve"> DEMONSTRATIVO DA DESPESA COM PESSOAL - EXERCICIO 2021 - EXCLUINDO OS SERVIDORES APOSENTADOS EM ATIVIDADE - MODELO 1</t>
  </si>
  <si>
    <t xml:space="preserve"> DEMONSTRATIVO DA DESPESA COM PESSOAL - EXERCICIO 2021 - EXCLUINDO OS SERVIDORES APOSENTADOS EM ATIVIDADE - MODELO 2</t>
  </si>
  <si>
    <t>Itarantim - BA, 21 de maio de 2021.</t>
  </si>
  <si>
    <t>José Marcos Oliveira Lopes</t>
  </si>
  <si>
    <t>CRC-BA 36.449/O-0</t>
  </si>
  <si>
    <t>DESPESAS EXCLUIDAS (Instrução TCM 003/2018)</t>
  </si>
  <si>
    <r>
      <t xml:space="preserve">Notas Explicativas: </t>
    </r>
    <r>
      <rPr>
        <b/>
        <u/>
        <sz val="12"/>
        <color theme="1"/>
        <rFont val="Calibri"/>
        <family val="2"/>
        <scheme val="minor"/>
      </rPr>
      <t>a)</t>
    </r>
    <r>
      <rPr>
        <sz val="12"/>
        <color theme="1"/>
        <rFont val="Calibri"/>
        <family val="2"/>
        <scheme val="minor"/>
      </rPr>
      <t xml:space="preserve"> O valor da folha de pagamento dos aposentados pelo Regime Geral da Previdência Social, que continuam em atividade no Município de Itarantim, tem o valor mensal de R$ 93.314,80, o que deve ser acrescido o custo com a contribuição patronal sobre os vencimentos, que tem o valor de R$ 20.062,68, </t>
    </r>
    <r>
      <rPr>
        <b/>
        <sz val="12"/>
        <color theme="1"/>
        <rFont val="Calibri"/>
        <family val="2"/>
        <scheme val="minor"/>
      </rPr>
      <t>totalizando um custo mensal de R$ 113.377,48.</t>
    </r>
    <r>
      <rPr>
        <b/>
        <u/>
        <sz val="12"/>
        <color theme="1"/>
        <rFont val="Calibri"/>
        <family val="2"/>
        <scheme val="minor"/>
      </rPr>
      <t xml:space="preserve"> b)</t>
    </r>
    <r>
      <rPr>
        <sz val="12"/>
        <color theme="1"/>
        <rFont val="Calibri"/>
        <family val="2"/>
        <scheme val="minor"/>
      </rPr>
      <t xml:space="preserve"> Calculando o </t>
    </r>
    <r>
      <rPr>
        <b/>
        <sz val="12"/>
        <color theme="1"/>
        <rFont val="Calibri"/>
        <family val="2"/>
        <scheme val="minor"/>
      </rPr>
      <t>custo anual dessa despesa é R$ 1.507.920,48.</t>
    </r>
    <r>
      <rPr>
        <sz val="12"/>
        <color theme="1"/>
        <rFont val="Calibri"/>
        <family val="2"/>
        <scheme val="minor"/>
      </rPr>
      <t xml:space="preserve"> </t>
    </r>
    <r>
      <rPr>
        <b/>
        <u/>
        <sz val="12"/>
        <color theme="1"/>
        <rFont val="Calibri"/>
        <family val="2"/>
        <scheme val="minor"/>
      </rPr>
      <t>c)</t>
    </r>
    <r>
      <rPr>
        <sz val="12"/>
        <color theme="1"/>
        <rFont val="Calibri"/>
        <family val="2"/>
        <scheme val="minor"/>
      </rPr>
      <t xml:space="preserve"> Com os valores mensais e anuais, podemos estimar que a Despesa com Pessoal do Município, tenha uma redução percentual de 2,84%, diminuindo dos atuais 66,40%, passando para 63,55%.</t>
    </r>
  </si>
  <si>
    <t>LC 61/89 (IPI-Exportação)</t>
  </si>
  <si>
    <t>LC 87/96 (ICMS desoneração)</t>
  </si>
  <si>
    <t xml:space="preserve"> - Principal</t>
  </si>
  <si>
    <t xml:space="preserve"> - Rend de Aplicação Financeira</t>
  </si>
  <si>
    <t xml:space="preserve"> - FUNDEB - Comp da União - VAAF</t>
  </si>
  <si>
    <t xml:space="preserve"> - FUNDEB - Comp da União - VAAT</t>
  </si>
  <si>
    <t xml:space="preserve"> - FUNDEB - Imp. e Transferências</t>
  </si>
  <si>
    <t>DESPESAS DO MDE</t>
  </si>
  <si>
    <t>FUNDEB - FONTE 18</t>
  </si>
  <si>
    <t>FUNDEB - FONTE 19</t>
  </si>
  <si>
    <t>DESPESAS MDE</t>
  </si>
  <si>
    <t>MDE - FONTE 01</t>
  </si>
  <si>
    <t>APLICAÇÃO FUNDEB 70%</t>
  </si>
  <si>
    <t>RESUMO</t>
  </si>
  <si>
    <t>APURAÇÃO</t>
  </si>
  <si>
    <t>VALOR ACUMULADO</t>
  </si>
  <si>
    <t>3.1 - MÍNIMO A SER APLICADO (25%</t>
  </si>
  <si>
    <t>APLICAÇÃO MDE FONTE 01</t>
  </si>
  <si>
    <t>APLICAÇÃO MDE 25% (TOTAL)</t>
  </si>
  <si>
    <t>DESPESAS LIQUIDADAS DO FUNDEB</t>
  </si>
  <si>
    <t>Multas, Juros de Mora e Outros Encargos dos Impostos</t>
  </si>
  <si>
    <t>RECEITA DE TRANSFERÊNCIAS CONSTITUCIONAIS E LEGAIS (II)</t>
  </si>
  <si>
    <t>TRANSFERENCAIS DE RECURSO DO SISTEMA ÚNICO DE SÁUDE- SUS</t>
  </si>
  <si>
    <t>DEMOSTRATIVO DAS RECEITAS E DESPESAS COM SAUDE (APLICAÇÃO 15%)</t>
  </si>
  <si>
    <t>MUNICÍPIO DE ITARANTIM                                                                        RESUMO ÍNDICES</t>
  </si>
  <si>
    <t>% APURADO NO EXERCÍCIO 2021</t>
  </si>
  <si>
    <t>DESPESA TOTAL MDE</t>
  </si>
  <si>
    <t>PERCENTUAL DE APLICAÇÃO EM AÇÕES E SERVIÇOS PÚBLICOS DE SAÚDE SOBRE AS RECEITAS (VII%) = (VIh/IIIb x 100)</t>
  </si>
  <si>
    <t>VALOR REFERENTE Á DIFERENÇA ENTRE O VALOR EXECUTADO E O LIMITE MÍNIMO CONSTITUCIONAL</t>
  </si>
  <si>
    <t>Índices Constitucionais e Legais</t>
  </si>
  <si>
    <t>%</t>
  </si>
  <si>
    <t>PERCENTUAL APLICADO 2021</t>
  </si>
  <si>
    <t>TOTAL DA RECEITA PARA FINS DE APURAÇÃO DOS ÍNDICES</t>
  </si>
  <si>
    <t>RECEITAS FUNDEB</t>
  </si>
  <si>
    <t>MÍNIMO A SER APLICADO NO MDE (25%)</t>
  </si>
  <si>
    <t>CONTRIBUIÇÃO PARA FORMAÇÃO DO FUNDEB (20%)</t>
  </si>
  <si>
    <t>VALOR PARA APLICAÇÃO DIRETA NO MDE (5%)</t>
  </si>
  <si>
    <t xml:space="preserve"> DEMONSTRATIVO DO PESSOAL RELATIVO AO EXERCICIO DE 2021 - PELO PAGAMENTO</t>
  </si>
  <si>
    <t>REPASSE REALIZADO</t>
  </si>
  <si>
    <t>PORTARIA FNDE 8 (REVOGADA)</t>
  </si>
  <si>
    <t>PORTARIA FNDE 10 de 20-12-2021</t>
  </si>
  <si>
    <t>DESPESAS REALIZADAS VAAT</t>
  </si>
  <si>
    <t>FOLHA CRECHE FUNDEB 70%</t>
  </si>
  <si>
    <t>FOLHA CRECHE FUNDEB 30%</t>
  </si>
  <si>
    <t>Aquisição Imobilizado (Cleudimar)</t>
  </si>
  <si>
    <t>RECEITAS VAAT</t>
  </si>
  <si>
    <t>FOLHA 1/3 FÉRIAS CRECHE FUNDEB 70%</t>
  </si>
  <si>
    <t>APÓS EXECUÇÃO DE TODAS AS DESPESAS VAAT</t>
  </si>
  <si>
    <t>Despesa de Capital</t>
  </si>
  <si>
    <t>DESPESAS A REALIZAR - VAAT (FOLHA DO 1/3 FÉRIAS PROCESSADA LIQUIDADA EM 2021)</t>
  </si>
  <si>
    <t>CLASSIFICAÇÃO DA DESPESA</t>
  </si>
  <si>
    <t>Vencimentos e Vantagens Fixas - Pessoal</t>
  </si>
  <si>
    <t>FONTE RECURSO</t>
  </si>
  <si>
    <t>Obrigacoes Patronais - INSS</t>
  </si>
  <si>
    <t>DESPESA PAGA</t>
  </si>
  <si>
    <t>Equipamentos e Material Permanente</t>
  </si>
  <si>
    <t>PERCENTUAL APURADO (%)</t>
  </si>
  <si>
    <t>MDE - 01</t>
  </si>
  <si>
    <t>TOTAL APLICADO COM RECURSOS PRÓPRIOS (FPM, ICMS, ETC.)</t>
  </si>
  <si>
    <t>OUTRAS DESPESAS CORRENTES</t>
  </si>
  <si>
    <t>NOTAS EXPLICATIVAS:</t>
  </si>
  <si>
    <t>TOTAL RECEITAS DO FUNDEB</t>
  </si>
  <si>
    <t>RESUMO FUNDEB - MUNICÍPIO DE ITARANTIM 2021</t>
  </si>
  <si>
    <t>DESPESAS COM RECURSOS DO FUNDEB - MUNICÍPIO DE ITARANTIM 2021</t>
  </si>
  <si>
    <t>DESPESAS COM RECURSOS PRÓPRIOS NA EDUCAÇÃO</t>
  </si>
  <si>
    <t>DESPESA TOTAL EM APLICAÇÕES NA EDUCAÇÃO</t>
  </si>
  <si>
    <t>Vitória da Conquista - BA, 18/01/2022.</t>
  </si>
  <si>
    <t>VALOR APLICADO ACIMA DO LIMITE MÍNIMO</t>
  </si>
  <si>
    <t>2 - Para honrar os salários e encargos dos servidores da educação, foi necessário o Município utilizar recursos livres (FPM, ICMS, etc.), através do MDE, para cobrir as despesas com salários e encargos dos servidores da educação, no montante de R$ 2.555.915,54.</t>
  </si>
  <si>
    <t>3 - Os recursos disponíveis na conta bancária do FUNDEB, devem ser utilizados para o recolhimento dos valores retidos e consignados, como o INSS, Imposto de Renda, Pensões, Planos de Saúde, Emprestimos Consignados, Sindicato(s), etc., retidos nas competência de dezembro e do 13º salário.</t>
  </si>
  <si>
    <t>1 - Os recursos recebidos do FUNDEB durante o exercício de 2021, foram completamente revertidos para o pagamento dos salários e encargos (INSS) dos servidores vinculados à educação. Exceto o valor aplicado na forma do art. 27 da Lei Federal nº 14.113/2020, que obriga aplicação em despesa de capital, 15% dos recursos da complementação VAAT.</t>
  </si>
  <si>
    <t>RECEITAS DO FUNDEB - MUNICÍPIO DE ITARANTIM 2021</t>
  </si>
  <si>
    <t>TOTAL APLICADO NOS 70% (70% MÍNIMO OBRIGATÓRIO)</t>
  </si>
  <si>
    <t>TOTAL APLICADO NOS 30% (RESTANTE DO RECURSO)</t>
  </si>
  <si>
    <t>Saldo 2020</t>
  </si>
  <si>
    <t>Rendimento de Aplicação Financeira</t>
  </si>
  <si>
    <t>FUNDEB - Complementação da União - VAAF</t>
  </si>
  <si>
    <t>FUNDEB - Complementação da União - VAAT</t>
  </si>
  <si>
    <t>FUNDEB - Impostos e Transferências</t>
  </si>
  <si>
    <t>FPM (1% julho e dezembro)</t>
  </si>
  <si>
    <t>PAGA 21</t>
  </si>
  <si>
    <t>DESPESA MDE (APURAÇÃO 25%)</t>
  </si>
  <si>
    <t>6.3- Complementação FUNDEB</t>
  </si>
  <si>
    <t>APURAÇÃO EM SAÚDE (MÍNINO 15%)</t>
  </si>
  <si>
    <t>APURAÇÃO FUNDEB (MÍNIMO 70%) E EDUCAÇÃO (MÍNIMO 25%)</t>
  </si>
  <si>
    <t>APURAÇÃO LIMITE DESPESA COM PESSOAL (LIMITE MÁXIMO 54%)</t>
  </si>
  <si>
    <t>EMPENHADA</t>
  </si>
  <si>
    <t>LIQUIDADA</t>
  </si>
  <si>
    <t>PAGA</t>
  </si>
  <si>
    <t>13- Total das Despesas do FUNDEB com Profissionais da Educação Básica</t>
  </si>
  <si>
    <t>14- Total das Despesas custeadas com FUNDEB - Impostos e Transferências de Impostos</t>
  </si>
  <si>
    <t xml:space="preserve">15 - Total das Despesas custeadas com FUNDEB - Complementação da União - VAAF </t>
  </si>
  <si>
    <t>16- Total das Despesas custeadas com FUNDEB - Complementação da União - VAAT</t>
  </si>
  <si>
    <t>17- Total das Despesas custeadas com FUNDEB - Complementação da União - VAAT Aplicadas na Educação Infantil</t>
  </si>
  <si>
    <t>18- Total das Despesas custeadas com FUNDEB - Complementação da União - VAAT Aplicadas em Despesa de Capital</t>
  </si>
  <si>
    <t>-</t>
  </si>
  <si>
    <t xml:space="preserve">  </t>
  </si>
  <si>
    <t>TCM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</si>
</sst>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_(* #,##0.00_);_(* \(#,##0.00\);_(* &quot;-&quot;??_);_(@_)"/>
    <numFmt numFmtId="166" formatCode="[$-416]mmmm\-yy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rgb="FFFF0000"/>
      <name val="Microsoft Sans Serif"/>
      <family val="2"/>
    </font>
    <font>
      <sz val="7"/>
      <color rgb="FF000000"/>
      <name val="Microsoft Sans Serif"/>
      <family val="2"/>
    </font>
    <font>
      <b/>
      <sz val="10"/>
      <color rgb="FF0E4380"/>
      <name val="Tahoma"/>
      <family val="2"/>
    </font>
    <font>
      <sz val="12"/>
      <color rgb="FF000000"/>
      <name val="Arial"/>
      <family val="2"/>
    </font>
    <font>
      <sz val="12"/>
      <color rgb="FF080000"/>
      <name val="Arial"/>
      <family val="2"/>
    </font>
    <font>
      <sz val="12"/>
      <color rgb="FF080000"/>
      <name val="Times New Roman"/>
      <family val="1"/>
    </font>
    <font>
      <b/>
      <sz val="12"/>
      <color rgb="FF080000"/>
      <name val="Times New Roman"/>
      <family val="1"/>
    </font>
    <font>
      <sz val="12"/>
      <name val="Calibri"/>
      <family val="2"/>
      <scheme val="minor"/>
    </font>
    <font>
      <b/>
      <sz val="12"/>
      <color theme="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indexed="10"/>
      <name val="Arial"/>
      <family val="2"/>
    </font>
    <font>
      <u/>
      <sz val="12"/>
      <name val="Arial"/>
      <family val="2"/>
    </font>
    <font>
      <sz val="12"/>
      <color indexed="22"/>
      <name val="Arial"/>
      <family val="2"/>
    </font>
    <font>
      <b/>
      <sz val="12"/>
      <color indexed="22"/>
      <name val="Arial"/>
      <family val="2"/>
    </font>
    <font>
      <b/>
      <sz val="12"/>
      <color rgb="FFFF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0"/>
      <color rgb="FF080000"/>
      <name val="Arial"/>
      <family val="2"/>
    </font>
    <font>
      <b/>
      <sz val="14"/>
      <color theme="1"/>
      <name val="Arial"/>
      <family val="2"/>
    </font>
    <font>
      <b/>
      <sz val="14"/>
      <color theme="0"/>
      <name val="Arial"/>
      <family val="2"/>
    </font>
    <font>
      <b/>
      <sz val="10"/>
      <color indexed="10"/>
      <name val="Arial"/>
      <family val="2"/>
    </font>
    <font>
      <b/>
      <sz val="16"/>
      <color theme="1"/>
      <name val="Calibri"/>
      <family val="2"/>
      <scheme val="minor"/>
    </font>
    <font>
      <b/>
      <sz val="7"/>
      <color theme="1"/>
      <name val="Arial"/>
      <family val="2"/>
    </font>
    <font>
      <b/>
      <sz val="9"/>
      <name val="Calibri"/>
      <family val="2"/>
      <scheme val="minor"/>
    </font>
    <font>
      <b/>
      <sz val="14"/>
      <name val="Arial"/>
      <family val="2"/>
    </font>
    <font>
      <sz val="12"/>
      <color rgb="FF162937"/>
      <name val="Arial"/>
      <family val="2"/>
    </font>
    <font>
      <b/>
      <sz val="12"/>
      <color rgb="FF162937"/>
      <name val="Arial"/>
      <family val="2"/>
    </font>
    <font>
      <sz val="10"/>
      <color rgb="FF0000FF"/>
      <name val="Arial"/>
      <family val="2"/>
    </font>
    <font>
      <sz val="8"/>
      <color rgb="FF000000"/>
      <name val="Arial"/>
      <family val="2"/>
    </font>
    <font>
      <sz val="8"/>
      <color rgb="FF080000"/>
      <name val="Times New Roman"/>
      <family val="1"/>
    </font>
    <font>
      <sz val="8"/>
      <color rgb="FF080000"/>
      <name val="Arial"/>
      <family val="2"/>
    </font>
    <font>
      <b/>
      <sz val="8"/>
      <color rgb="FF00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3D8F7"/>
        <bgColor indexed="64"/>
      </patternFill>
    </fill>
    <fill>
      <patternFill patternType="solid">
        <fgColor rgb="FFEDF4FC"/>
        <bgColor indexed="64"/>
      </patternFill>
    </fill>
    <fill>
      <patternFill patternType="solid">
        <fgColor indexed="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9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2" fillId="0" borderId="0">
      <alignment horizontal="left" vertical="top" wrapText="1"/>
    </xf>
    <xf numFmtId="43" fontId="22" fillId="0" borderId="0" applyFont="0" applyFill="0" applyBorder="0" applyAlignment="0" applyProtection="0"/>
  </cellStyleXfs>
  <cellXfs count="577">
    <xf numFmtId="0" fontId="0" fillId="0" borderId="0" xfId="0"/>
    <xf numFmtId="0" fontId="0" fillId="0" borderId="15" xfId="0" applyBorder="1"/>
    <xf numFmtId="44" fontId="0" fillId="0" borderId="15" xfId="1" applyFont="1" applyBorder="1"/>
    <xf numFmtId="0" fontId="2" fillId="4" borderId="26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0" borderId="28" xfId="0" applyFont="1" applyBorder="1"/>
    <xf numFmtId="44" fontId="0" fillId="0" borderId="29" xfId="1" applyFont="1" applyBorder="1"/>
    <xf numFmtId="10" fontId="0" fillId="0" borderId="30" xfId="2" applyNumberFormat="1" applyFont="1" applyBorder="1"/>
    <xf numFmtId="0" fontId="0" fillId="0" borderId="16" xfId="0" applyBorder="1" applyAlignment="1">
      <alignment horizontal="left" indent="2"/>
    </xf>
    <xf numFmtId="44" fontId="0" fillId="0" borderId="31" xfId="1" applyFont="1" applyBorder="1"/>
    <xf numFmtId="0" fontId="2" fillId="0" borderId="16" xfId="0" applyFont="1" applyBorder="1"/>
    <xf numFmtId="44" fontId="2" fillId="0" borderId="15" xfId="1" applyFont="1" applyBorder="1"/>
    <xf numFmtId="0" fontId="2" fillId="5" borderId="7" xfId="0" applyFont="1" applyFill="1" applyBorder="1"/>
    <xf numFmtId="44" fontId="0" fillId="5" borderId="14" xfId="1" applyFont="1" applyFill="1" applyBorder="1"/>
    <xf numFmtId="10" fontId="0" fillId="5" borderId="14" xfId="2" applyNumberFormat="1" applyFont="1" applyFill="1" applyBorder="1"/>
    <xf numFmtId="0" fontId="2" fillId="0" borderId="19" xfId="0" applyFont="1" applyBorder="1"/>
    <xf numFmtId="44" fontId="2" fillId="0" borderId="19" xfId="1" applyFont="1" applyBorder="1"/>
    <xf numFmtId="10" fontId="0" fillId="0" borderId="19" xfId="2" applyNumberFormat="1" applyFont="1" applyBorder="1"/>
    <xf numFmtId="0" fontId="0" fillId="0" borderId="15" xfId="0" applyBorder="1" applyAlignment="1">
      <alignment horizontal="left" indent="1"/>
    </xf>
    <xf numFmtId="0" fontId="2" fillId="0" borderId="15" xfId="0" applyFont="1" applyBorder="1" applyAlignment="1">
      <alignment horizontal="left"/>
    </xf>
    <xf numFmtId="0" fontId="6" fillId="4" borderId="24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44" fontId="4" fillId="0" borderId="19" xfId="1" applyFont="1" applyBorder="1"/>
    <xf numFmtId="10" fontId="4" fillId="0" borderId="15" xfId="2" applyNumberFormat="1" applyFont="1" applyBorder="1"/>
    <xf numFmtId="44" fontId="4" fillId="0" borderId="15" xfId="1" applyFont="1" applyBorder="1"/>
    <xf numFmtId="0" fontId="6" fillId="0" borderId="15" xfId="0" applyFont="1" applyBorder="1"/>
    <xf numFmtId="0" fontId="4" fillId="0" borderId="15" xfId="0" applyFont="1" applyBorder="1" applyAlignment="1">
      <alignment horizontal="left" indent="2"/>
    </xf>
    <xf numFmtId="0" fontId="6" fillId="0" borderId="15" xfId="0" applyFont="1" applyBorder="1" applyAlignment="1">
      <alignment horizontal="left" wrapText="1"/>
    </xf>
    <xf numFmtId="0" fontId="2" fillId="0" borderId="49" xfId="0" applyFont="1" applyBorder="1"/>
    <xf numFmtId="44" fontId="0" fillId="0" borderId="50" xfId="1" applyFont="1" applyBorder="1"/>
    <xf numFmtId="0" fontId="6" fillId="0" borderId="19" xfId="0" applyFont="1" applyBorder="1"/>
    <xf numFmtId="0" fontId="6" fillId="0" borderId="15" xfId="0" applyFont="1" applyBorder="1" applyAlignment="1">
      <alignment wrapText="1"/>
    </xf>
    <xf numFmtId="0" fontId="6" fillId="0" borderId="15" xfId="0" applyFont="1" applyBorder="1" applyAlignment="1">
      <alignment horizontal="left"/>
    </xf>
    <xf numFmtId="0" fontId="6" fillId="0" borderId="18" xfId="0" applyFont="1" applyBorder="1" applyAlignment="1">
      <alignment wrapText="1"/>
    </xf>
    <xf numFmtId="44" fontId="4" fillId="0" borderId="18" xfId="1" applyFont="1" applyBorder="1"/>
    <xf numFmtId="0" fontId="6" fillId="5" borderId="26" xfId="0" applyFont="1" applyFill="1" applyBorder="1"/>
    <xf numFmtId="44" fontId="6" fillId="5" borderId="32" xfId="1" applyFont="1" applyFill="1" applyBorder="1"/>
    <xf numFmtId="10" fontId="8" fillId="3" borderId="27" xfId="2" applyNumberFormat="1" applyFont="1" applyFill="1" applyBorder="1"/>
    <xf numFmtId="10" fontId="0" fillId="0" borderId="12" xfId="2" applyNumberFormat="1" applyFont="1" applyBorder="1"/>
    <xf numFmtId="4" fontId="0" fillId="0" borderId="0" xfId="0" applyNumberFormat="1"/>
    <xf numFmtId="44" fontId="12" fillId="0" borderId="15" xfId="1" applyFont="1" applyBorder="1"/>
    <xf numFmtId="44" fontId="14" fillId="0" borderId="15" xfId="1" applyFont="1" applyBorder="1"/>
    <xf numFmtId="0" fontId="13" fillId="0" borderId="0" xfId="0" applyFont="1"/>
    <xf numFmtId="165" fontId="13" fillId="0" borderId="0" xfId="0" applyNumberFormat="1" applyFont="1"/>
    <xf numFmtId="43" fontId="13" fillId="0" borderId="0" xfId="3" applyFont="1"/>
    <xf numFmtId="17" fontId="13" fillId="8" borderId="15" xfId="0" applyNumberFormat="1" applyFont="1" applyFill="1" applyBorder="1" applyAlignment="1">
      <alignment horizontal="center"/>
    </xf>
    <xf numFmtId="0" fontId="13" fillId="8" borderId="15" xfId="0" applyFont="1" applyFill="1" applyBorder="1" applyAlignment="1">
      <alignment horizontal="center"/>
    </xf>
    <xf numFmtId="0" fontId="13" fillId="0" borderId="15" xfId="0" applyFont="1" applyBorder="1"/>
    <xf numFmtId="43" fontId="12" fillId="0" borderId="15" xfId="3" applyFont="1" applyBorder="1" applyAlignment="1">
      <alignment horizontal="center"/>
    </xf>
    <xf numFmtId="43" fontId="13" fillId="0" borderId="15" xfId="3" applyFont="1" applyBorder="1" applyAlignment="1">
      <alignment horizontal="center"/>
    </xf>
    <xf numFmtId="43" fontId="12" fillId="0" borderId="45" xfId="3" applyFont="1" applyBorder="1" applyAlignment="1">
      <alignment horizontal="center"/>
    </xf>
    <xf numFmtId="43" fontId="13" fillId="0" borderId="15" xfId="3" applyFont="1" applyBorder="1"/>
    <xf numFmtId="43" fontId="12" fillId="0" borderId="15" xfId="3" applyFont="1" applyBorder="1"/>
    <xf numFmtId="165" fontId="13" fillId="0" borderId="15" xfId="0" applyNumberFormat="1" applyFont="1" applyBorder="1"/>
    <xf numFmtId="43" fontId="12" fillId="0" borderId="0" xfId="3" applyFont="1"/>
    <xf numFmtId="43" fontId="12" fillId="0" borderId="0" xfId="3" applyFont="1" applyAlignment="1">
      <alignment horizontal="center"/>
    </xf>
    <xf numFmtId="10" fontId="13" fillId="0" borderId="15" xfId="7" applyNumberFormat="1" applyFont="1" applyBorder="1"/>
    <xf numFmtId="0" fontId="13" fillId="0" borderId="15" xfId="0" applyFont="1" applyBorder="1" applyAlignment="1">
      <alignment wrapText="1"/>
    </xf>
    <xf numFmtId="43" fontId="13" fillId="0" borderId="15" xfId="3" applyFont="1" applyFill="1" applyBorder="1"/>
    <xf numFmtId="165" fontId="13" fillId="0" borderId="15" xfId="0" applyNumberFormat="1" applyFont="1" applyFill="1" applyBorder="1"/>
    <xf numFmtId="8" fontId="12" fillId="0" borderId="15" xfId="3" applyNumberFormat="1" applyFont="1" applyFill="1" applyBorder="1"/>
    <xf numFmtId="0" fontId="0" fillId="0" borderId="0" xfId="0"/>
    <xf numFmtId="44" fontId="12" fillId="0" borderId="18" xfId="1" applyFont="1" applyBorder="1"/>
    <xf numFmtId="17" fontId="13" fillId="8" borderId="15" xfId="0" applyNumberFormat="1" applyFont="1" applyFill="1" applyBorder="1" applyAlignment="1">
      <alignment horizontal="center" vertical="center"/>
    </xf>
    <xf numFmtId="17" fontId="13" fillId="8" borderId="17" xfId="0" applyNumberFormat="1" applyFont="1" applyFill="1" applyBorder="1" applyAlignment="1">
      <alignment horizontal="center" vertical="center"/>
    </xf>
    <xf numFmtId="0" fontId="13" fillId="8" borderId="15" xfId="0" applyFont="1" applyFill="1" applyBorder="1" applyAlignment="1">
      <alignment horizontal="center" vertical="center"/>
    </xf>
    <xf numFmtId="8" fontId="12" fillId="0" borderId="15" xfId="3" applyNumberFormat="1" applyFont="1" applyBorder="1"/>
    <xf numFmtId="0" fontId="9" fillId="12" borderId="0" xfId="4" applyFill="1" applyAlignment="1">
      <alignment vertical="center" wrapText="1"/>
    </xf>
    <xf numFmtId="0" fontId="20" fillId="12" borderId="0" xfId="0" applyFont="1" applyFill="1" applyAlignment="1">
      <alignment vertical="center" wrapText="1"/>
    </xf>
    <xf numFmtId="14" fontId="20" fillId="12" borderId="0" xfId="0" applyNumberFormat="1" applyFont="1" applyFill="1" applyAlignment="1">
      <alignment horizontal="center" vertical="center" wrapText="1"/>
    </xf>
    <xf numFmtId="8" fontId="20" fillId="12" borderId="0" xfId="0" applyNumberFormat="1" applyFont="1" applyFill="1" applyAlignment="1">
      <alignment horizontal="right" vertical="center" wrapText="1"/>
    </xf>
    <xf numFmtId="0" fontId="9" fillId="2" borderId="0" xfId="4" applyFill="1" applyAlignment="1">
      <alignment vertical="center" wrapText="1"/>
    </xf>
    <xf numFmtId="0" fontId="20" fillId="2" borderId="0" xfId="0" applyFont="1" applyFill="1" applyAlignment="1">
      <alignment vertical="center" wrapText="1"/>
    </xf>
    <xf numFmtId="14" fontId="20" fillId="2" borderId="0" xfId="0" applyNumberFormat="1" applyFont="1" applyFill="1" applyAlignment="1">
      <alignment horizontal="center" vertical="center" wrapText="1"/>
    </xf>
    <xf numFmtId="8" fontId="20" fillId="2" borderId="0" xfId="0" applyNumberFormat="1" applyFont="1" applyFill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21" fillId="11" borderId="0" xfId="0" applyFont="1" applyFill="1" applyAlignment="1">
      <alignment horizontal="center" vertical="center" wrapText="1"/>
    </xf>
    <xf numFmtId="0" fontId="14" fillId="0" borderId="0" xfId="0" applyFont="1"/>
    <xf numFmtId="0" fontId="16" fillId="4" borderId="24" xfId="0" applyFont="1" applyFill="1" applyBorder="1" applyAlignment="1">
      <alignment horizontal="center" vertical="center"/>
    </xf>
    <xf numFmtId="0" fontId="16" fillId="4" borderId="25" xfId="0" applyFont="1" applyFill="1" applyBorder="1" applyAlignment="1">
      <alignment horizontal="center" vertical="center"/>
    </xf>
    <xf numFmtId="0" fontId="14" fillId="0" borderId="5" xfId="0" applyFont="1" applyBorder="1" applyAlignment="1">
      <alignment horizontal="left" indent="2"/>
    </xf>
    <xf numFmtId="44" fontId="14" fillId="0" borderId="0" xfId="1" applyFont="1"/>
    <xf numFmtId="0" fontId="16" fillId="0" borderId="19" xfId="0" applyFont="1" applyBorder="1"/>
    <xf numFmtId="44" fontId="16" fillId="0" borderId="19" xfId="1" applyFont="1" applyBorder="1"/>
    <xf numFmtId="10" fontId="14" fillId="0" borderId="19" xfId="2" applyNumberFormat="1" applyFont="1" applyBorder="1"/>
    <xf numFmtId="0" fontId="16" fillId="0" borderId="15" xfId="0" applyFont="1" applyBorder="1" applyAlignment="1">
      <alignment horizontal="left" indent="1"/>
    </xf>
    <xf numFmtId="44" fontId="16" fillId="0" borderId="15" xfId="1" applyFont="1" applyBorder="1"/>
    <xf numFmtId="10" fontId="14" fillId="0" borderId="15" xfId="2" applyNumberFormat="1" applyFont="1" applyBorder="1"/>
    <xf numFmtId="0" fontId="14" fillId="0" borderId="15" xfId="0" applyFont="1" applyBorder="1" applyAlignment="1">
      <alignment horizontal="left" indent="1"/>
    </xf>
    <xf numFmtId="0" fontId="16" fillId="0" borderId="15" xfId="0" applyFont="1" applyBorder="1" applyAlignment="1">
      <alignment horizontal="left"/>
    </xf>
    <xf numFmtId="0" fontId="16" fillId="5" borderId="15" xfId="0" applyFont="1" applyFill="1" applyBorder="1" applyAlignment="1">
      <alignment horizontal="left" indent="1"/>
    </xf>
    <xf numFmtId="44" fontId="16" fillId="5" borderId="15" xfId="1" applyFont="1" applyFill="1" applyBorder="1"/>
    <xf numFmtId="10" fontId="16" fillId="5" borderId="15" xfId="2" applyNumberFormat="1" applyFont="1" applyFill="1" applyBorder="1"/>
    <xf numFmtId="0" fontId="13" fillId="4" borderId="24" xfId="0" applyFont="1" applyFill="1" applyBorder="1" applyAlignment="1">
      <alignment horizontal="center" vertical="center"/>
    </xf>
    <xf numFmtId="0" fontId="13" fillId="4" borderId="25" xfId="0" applyFont="1" applyFill="1" applyBorder="1" applyAlignment="1">
      <alignment horizontal="center" vertical="center"/>
    </xf>
    <xf numFmtId="0" fontId="12" fillId="0" borderId="19" xfId="0" applyFont="1" applyBorder="1" applyAlignment="1">
      <alignment wrapText="1"/>
    </xf>
    <xf numFmtId="44" fontId="12" fillId="0" borderId="19" xfId="1" applyFont="1" applyBorder="1"/>
    <xf numFmtId="10" fontId="12" fillId="0" borderId="15" xfId="2" applyNumberFormat="1" applyFont="1" applyBorder="1"/>
    <xf numFmtId="0" fontId="12" fillId="0" borderId="15" xfId="0" applyFont="1" applyBorder="1" applyAlignment="1">
      <alignment wrapText="1"/>
    </xf>
    <xf numFmtId="0" fontId="12" fillId="0" borderId="15" xfId="0" applyFont="1" applyBorder="1" applyAlignment="1">
      <alignment horizontal="left" indent="2"/>
    </xf>
    <xf numFmtId="0" fontId="13" fillId="0" borderId="15" xfId="0" applyFont="1" applyBorder="1" applyAlignment="1">
      <alignment horizontal="left" wrapText="1"/>
    </xf>
    <xf numFmtId="44" fontId="14" fillId="0" borderId="0" xfId="1" applyFont="1" applyBorder="1"/>
    <xf numFmtId="44" fontId="13" fillId="0" borderId="17" xfId="1" applyFont="1" applyBorder="1" applyAlignment="1">
      <alignment horizontal="center" vertical="center"/>
    </xf>
    <xf numFmtId="44" fontId="12" fillId="0" borderId="17" xfId="1" applyFont="1" applyBorder="1" applyAlignment="1">
      <alignment horizontal="center"/>
    </xf>
    <xf numFmtId="0" fontId="16" fillId="4" borderId="54" xfId="0" applyFont="1" applyFill="1" applyBorder="1" applyAlignment="1">
      <alignment horizontal="center" vertical="center"/>
    </xf>
    <xf numFmtId="0" fontId="16" fillId="5" borderId="13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6" fillId="0" borderId="0" xfId="0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13" fillId="4" borderId="54" xfId="0" applyFont="1" applyFill="1" applyBorder="1" applyAlignment="1">
      <alignment horizontal="center" vertical="center"/>
    </xf>
    <xf numFmtId="44" fontId="13" fillId="0" borderId="20" xfId="1" applyFont="1" applyBorder="1" applyAlignment="1">
      <alignment horizontal="center" vertical="center"/>
    </xf>
    <xf numFmtId="44" fontId="12" fillId="0" borderId="20" xfId="1" applyFont="1" applyBorder="1" applyAlignment="1">
      <alignment horizontal="center"/>
    </xf>
    <xf numFmtId="0" fontId="16" fillId="0" borderId="15" xfId="0" applyFont="1" applyBorder="1"/>
    <xf numFmtId="0" fontId="14" fillId="0" borderId="15" xfId="0" applyFont="1" applyBorder="1" applyAlignment="1">
      <alignment horizontal="left" indent="2"/>
    </xf>
    <xf numFmtId="0" fontId="16" fillId="4" borderId="18" xfId="0" applyFont="1" applyFill="1" applyBorder="1" applyAlignment="1">
      <alignment horizontal="center" vertical="center"/>
    </xf>
    <xf numFmtId="0" fontId="16" fillId="0" borderId="0" xfId="0" applyFont="1" applyBorder="1"/>
    <xf numFmtId="44" fontId="16" fillId="0" borderId="0" xfId="1" applyFont="1" applyBorder="1"/>
    <xf numFmtId="10" fontId="16" fillId="0" borderId="6" xfId="2" applyNumberFormat="1" applyFont="1" applyBorder="1"/>
    <xf numFmtId="0" fontId="16" fillId="0" borderId="0" xfId="0" applyFont="1" applyBorder="1" applyAlignment="1">
      <alignment wrapText="1"/>
    </xf>
    <xf numFmtId="44" fontId="16" fillId="0" borderId="15" xfId="1" applyNumberFormat="1" applyFont="1" applyBorder="1"/>
    <xf numFmtId="44" fontId="14" fillId="0" borderId="15" xfId="1" applyNumberFormat="1" applyFont="1" applyBorder="1"/>
    <xf numFmtId="43" fontId="23" fillId="13" borderId="15" xfId="3" applyNumberFormat="1" applyFont="1" applyFill="1" applyBorder="1" applyAlignment="1">
      <alignment horizontal="right" vertical="center" wrapText="1" readingOrder="1"/>
    </xf>
    <xf numFmtId="43" fontId="24" fillId="13" borderId="15" xfId="0" applyNumberFormat="1" applyFont="1" applyFill="1" applyBorder="1" applyAlignment="1">
      <alignment horizontal="right" vertical="center" wrapText="1" readingOrder="1"/>
    </xf>
    <xf numFmtId="43" fontId="14" fillId="0" borderId="15" xfId="3" applyNumberFormat="1" applyFont="1" applyBorder="1" applyAlignment="1" applyProtection="1">
      <alignment vertical="center" wrapText="1"/>
      <protection locked="0"/>
    </xf>
    <xf numFmtId="43" fontId="14" fillId="0" borderId="15" xfId="1" applyNumberFormat="1" applyFont="1" applyBorder="1" applyAlignment="1">
      <alignment vertical="center" wrapText="1"/>
    </xf>
    <xf numFmtId="43" fontId="23" fillId="13" borderId="15" xfId="0" applyNumberFormat="1" applyFont="1" applyFill="1" applyBorder="1" applyAlignment="1">
      <alignment horizontal="right" vertical="center" wrapText="1" readingOrder="1"/>
    </xf>
    <xf numFmtId="44" fontId="16" fillId="0" borderId="15" xfId="1" applyNumberFormat="1" applyFont="1" applyBorder="1" applyAlignment="1">
      <alignment vertical="center" wrapText="1"/>
    </xf>
    <xf numFmtId="43" fontId="24" fillId="13" borderId="15" xfId="0" applyNumberFormat="1" applyFont="1" applyFill="1" applyBorder="1" applyAlignment="1">
      <alignment horizontal="right" vertical="top" wrapText="1" readingOrder="1"/>
    </xf>
    <xf numFmtId="43" fontId="14" fillId="0" borderId="15" xfId="0" applyNumberFormat="1" applyFont="1" applyBorder="1"/>
    <xf numFmtId="44" fontId="16" fillId="0" borderId="18" xfId="1" applyNumberFormat="1" applyFont="1" applyBorder="1"/>
    <xf numFmtId="43" fontId="14" fillId="0" borderId="15" xfId="1" applyNumberFormat="1" applyFont="1" applyBorder="1"/>
    <xf numFmtId="43" fontId="14" fillId="0" borderId="15" xfId="0" applyNumberFormat="1" applyFont="1" applyFill="1" applyBorder="1"/>
    <xf numFmtId="43" fontId="0" fillId="0" borderId="15" xfId="3" applyFont="1" applyBorder="1"/>
    <xf numFmtId="10" fontId="16" fillId="0" borderId="15" xfId="2" applyNumberFormat="1" applyFont="1" applyBorder="1"/>
    <xf numFmtId="10" fontId="16" fillId="0" borderId="0" xfId="2" applyNumberFormat="1" applyFont="1" applyBorder="1"/>
    <xf numFmtId="43" fontId="14" fillId="0" borderId="18" xfId="1" applyNumberFormat="1" applyFont="1" applyBorder="1" applyAlignment="1" applyProtection="1">
      <alignment vertical="center" wrapText="1"/>
      <protection locked="0"/>
    </xf>
    <xf numFmtId="0" fontId="16" fillId="0" borderId="0" xfId="0" applyFont="1"/>
    <xf numFmtId="44" fontId="13" fillId="0" borderId="19" xfId="1" applyFont="1" applyBorder="1"/>
    <xf numFmtId="44" fontId="13" fillId="0" borderId="15" xfId="1" applyFont="1" applyBorder="1"/>
    <xf numFmtId="44" fontId="16" fillId="0" borderId="0" xfId="1" applyNumberFormat="1" applyFont="1" applyBorder="1"/>
    <xf numFmtId="44" fontId="16" fillId="0" borderId="28" xfId="1" applyFont="1" applyBorder="1"/>
    <xf numFmtId="0" fontId="16" fillId="0" borderId="15" xfId="0" applyFont="1" applyBorder="1" applyAlignment="1">
      <alignment wrapText="1"/>
    </xf>
    <xf numFmtId="0" fontId="14" fillId="0" borderId="0" xfId="0" applyFont="1" applyBorder="1" applyAlignment="1">
      <alignment horizontal="left" indent="2"/>
    </xf>
    <xf numFmtId="4" fontId="24" fillId="13" borderId="15" xfId="0" applyNumberFormat="1" applyFont="1" applyFill="1" applyBorder="1" applyAlignment="1">
      <alignment horizontal="right" vertical="center" wrapText="1" readingOrder="1"/>
    </xf>
    <xf numFmtId="0" fontId="14" fillId="0" borderId="15" xfId="0" applyFont="1" applyBorder="1"/>
    <xf numFmtId="0" fontId="14" fillId="0" borderId="15" xfId="0" applyFont="1" applyBorder="1" applyAlignment="1">
      <alignment wrapText="1"/>
    </xf>
    <xf numFmtId="4" fontId="14" fillId="0" borderId="15" xfId="1" applyNumberFormat="1" applyFont="1" applyBorder="1"/>
    <xf numFmtId="4" fontId="16" fillId="0" borderId="15" xfId="1" applyNumberFormat="1" applyFont="1" applyBorder="1"/>
    <xf numFmtId="4" fontId="14" fillId="0" borderId="15" xfId="0" applyNumberFormat="1" applyFont="1" applyBorder="1"/>
    <xf numFmtId="4" fontId="14" fillId="0" borderId="0" xfId="0" applyNumberFormat="1" applyFont="1"/>
    <xf numFmtId="43" fontId="25" fillId="13" borderId="15" xfId="0" applyNumberFormat="1" applyFont="1" applyFill="1" applyBorder="1" applyAlignment="1">
      <alignment horizontal="right" vertical="center" wrapText="1" readingOrder="1"/>
    </xf>
    <xf numFmtId="4" fontId="25" fillId="13" borderId="15" xfId="0" applyNumberFormat="1" applyFont="1" applyFill="1" applyBorder="1" applyAlignment="1">
      <alignment horizontal="right" vertical="center" wrapText="1" readingOrder="1"/>
    </xf>
    <xf numFmtId="4" fontId="16" fillId="0" borderId="15" xfId="1" applyNumberFormat="1" applyFont="1" applyFill="1" applyBorder="1"/>
    <xf numFmtId="4" fontId="14" fillId="0" borderId="15" xfId="1" applyNumberFormat="1" applyFont="1" applyFill="1" applyBorder="1"/>
    <xf numFmtId="4" fontId="25" fillId="13" borderId="0" xfId="0" applyNumberFormat="1" applyFont="1" applyFill="1" applyBorder="1" applyAlignment="1">
      <alignment horizontal="right" vertical="center" wrapText="1" readingOrder="1"/>
    </xf>
    <xf numFmtId="4" fontId="16" fillId="0" borderId="0" xfId="1" applyNumberFormat="1" applyFont="1" applyFill="1" applyBorder="1"/>
    <xf numFmtId="0" fontId="16" fillId="0" borderId="44" xfId="0" applyFont="1" applyBorder="1"/>
    <xf numFmtId="10" fontId="14" fillId="0" borderId="51" xfId="2" applyNumberFormat="1" applyFont="1" applyBorder="1"/>
    <xf numFmtId="43" fontId="12" fillId="0" borderId="0" xfId="3" applyFont="1" applyBorder="1" applyAlignment="1">
      <alignment horizontal="center"/>
    </xf>
    <xf numFmtId="10" fontId="13" fillId="0" borderId="0" xfId="7" applyNumberFormat="1" applyFont="1" applyBorder="1"/>
    <xf numFmtId="0" fontId="12" fillId="10" borderId="15" xfId="0" applyFont="1" applyFill="1" applyBorder="1" applyAlignment="1">
      <alignment horizontal="center"/>
    </xf>
    <xf numFmtId="0" fontId="28" fillId="10" borderId="15" xfId="0" applyFont="1" applyFill="1" applyBorder="1"/>
    <xf numFmtId="4" fontId="15" fillId="0" borderId="0" xfId="0" applyNumberFormat="1" applyFont="1"/>
    <xf numFmtId="0" fontId="29" fillId="0" borderId="0" xfId="0" applyFont="1"/>
    <xf numFmtId="4" fontId="29" fillId="0" borderId="15" xfId="0" applyNumberFormat="1" applyFont="1" applyBorder="1"/>
    <xf numFmtId="44" fontId="29" fillId="0" borderId="0" xfId="0" applyNumberFormat="1" applyFont="1"/>
    <xf numFmtId="4" fontId="29" fillId="0" borderId="0" xfId="0" applyNumberFormat="1" applyFont="1"/>
    <xf numFmtId="0" fontId="29" fillId="0" borderId="15" xfId="0" applyFont="1" applyBorder="1"/>
    <xf numFmtId="0" fontId="29" fillId="0" borderId="15" xfId="0" applyFont="1" applyFill="1" applyBorder="1"/>
    <xf numFmtId="0" fontId="29" fillId="14" borderId="15" xfId="0" applyFont="1" applyFill="1" applyBorder="1"/>
    <xf numFmtId="0" fontId="12" fillId="0" borderId="0" xfId="0" applyFont="1" applyAlignment="1">
      <alignment horizontal="center"/>
    </xf>
    <xf numFmtId="0" fontId="16" fillId="15" borderId="15" xfId="0" applyFont="1" applyFill="1" applyBorder="1"/>
    <xf numFmtId="164" fontId="16" fillId="15" borderId="15" xfId="0" applyNumberFormat="1" applyFont="1" applyFill="1" applyBorder="1"/>
    <xf numFmtId="0" fontId="29" fillId="0" borderId="15" xfId="0" applyFont="1" applyBorder="1" applyAlignment="1">
      <alignment horizontal="left" vertical="top"/>
    </xf>
    <xf numFmtId="0" fontId="29" fillId="0" borderId="15" xfId="0" applyFont="1" applyBorder="1" applyAlignment="1">
      <alignment horizontal="left" vertical="top" wrapText="1"/>
    </xf>
    <xf numFmtId="0" fontId="29" fillId="0" borderId="15" xfId="0" applyFont="1" applyFill="1" applyBorder="1" applyAlignment="1">
      <alignment horizontal="left" vertical="top"/>
    </xf>
    <xf numFmtId="43" fontId="12" fillId="0" borderId="15" xfId="3" applyFont="1" applyFill="1" applyBorder="1"/>
    <xf numFmtId="0" fontId="12" fillId="0" borderId="15" xfId="0" applyFont="1" applyBorder="1"/>
    <xf numFmtId="0" fontId="5" fillId="0" borderId="0" xfId="0" applyFont="1"/>
    <xf numFmtId="0" fontId="12" fillId="0" borderId="0" xfId="0" applyFont="1"/>
    <xf numFmtId="0" fontId="13" fillId="0" borderId="0" xfId="0" applyFont="1" applyAlignment="1">
      <alignment horizontal="center"/>
    </xf>
    <xf numFmtId="0" fontId="13" fillId="0" borderId="15" xfId="0" applyFont="1" applyBorder="1" applyAlignment="1">
      <alignment horizontal="center"/>
    </xf>
    <xf numFmtId="43" fontId="5" fillId="0" borderId="0" xfId="0" applyNumberFormat="1" applyFont="1"/>
    <xf numFmtId="43" fontId="5" fillId="0" borderId="0" xfId="3" applyFont="1"/>
    <xf numFmtId="4" fontId="5" fillId="0" borderId="0" xfId="0" applyNumberFormat="1" applyFont="1"/>
    <xf numFmtId="8" fontId="13" fillId="0" borderId="0" xfId="3" applyNumberFormat="1" applyFont="1"/>
    <xf numFmtId="0" fontId="32" fillId="0" borderId="0" xfId="0" applyFont="1"/>
    <xf numFmtId="0" fontId="13" fillId="0" borderId="0" xfId="0" applyFont="1" applyAlignment="1"/>
    <xf numFmtId="43" fontId="13" fillId="0" borderId="0" xfId="3" applyFont="1" applyAlignment="1">
      <alignment horizontal="center"/>
    </xf>
    <xf numFmtId="43" fontId="33" fillId="0" borderId="0" xfId="3" applyFont="1" applyAlignment="1">
      <alignment horizontal="center"/>
    </xf>
    <xf numFmtId="43" fontId="34" fillId="0" borderId="0" xfId="3" applyFont="1" applyAlignment="1">
      <alignment horizontal="center"/>
    </xf>
    <xf numFmtId="44" fontId="13" fillId="0" borderId="15" xfId="1" applyFont="1" applyBorder="1" applyAlignment="1">
      <alignment horizontal="center"/>
    </xf>
    <xf numFmtId="0" fontId="12" fillId="0" borderId="18" xfId="0" applyFont="1" applyBorder="1"/>
    <xf numFmtId="0" fontId="12" fillId="0" borderId="15" xfId="0" applyFont="1" applyFill="1" applyBorder="1"/>
    <xf numFmtId="10" fontId="13" fillId="0" borderId="0" xfId="7" applyNumberFormat="1" applyFont="1"/>
    <xf numFmtId="44" fontId="12" fillId="0" borderId="0" xfId="1" applyFont="1" applyAlignment="1">
      <alignment horizontal="left"/>
    </xf>
    <xf numFmtId="44" fontId="12" fillId="0" borderId="0" xfId="1" applyFont="1"/>
    <xf numFmtId="44" fontId="12" fillId="0" borderId="0" xfId="0" applyNumberFormat="1" applyFont="1"/>
    <xf numFmtId="0" fontId="30" fillId="0" borderId="0" xfId="0" applyFont="1"/>
    <xf numFmtId="0" fontId="26" fillId="0" borderId="0" xfId="0" applyFont="1"/>
    <xf numFmtId="44" fontId="26" fillId="0" borderId="0" xfId="0" applyNumberFormat="1" applyFont="1"/>
    <xf numFmtId="44" fontId="35" fillId="0" borderId="0" xfId="1" applyFont="1"/>
    <xf numFmtId="43" fontId="13" fillId="0" borderId="0" xfId="3" applyFont="1" applyBorder="1" applyAlignment="1">
      <alignment horizontal="center"/>
    </xf>
    <xf numFmtId="0" fontId="7" fillId="0" borderId="0" xfId="0" applyFont="1"/>
    <xf numFmtId="165" fontId="12" fillId="0" borderId="15" xfId="0" applyNumberFormat="1" applyFont="1" applyBorder="1"/>
    <xf numFmtId="0" fontId="5" fillId="0" borderId="0" xfId="0" applyFont="1" applyAlignment="1">
      <alignment horizontal="center"/>
    </xf>
    <xf numFmtId="10" fontId="12" fillId="0" borderId="0" xfId="2" applyNumberFormat="1" applyFont="1"/>
    <xf numFmtId="10" fontId="10" fillId="15" borderId="15" xfId="0" applyNumberFormat="1" applyFont="1" applyFill="1" applyBorder="1"/>
    <xf numFmtId="10" fontId="12" fillId="0" borderId="15" xfId="2" applyNumberFormat="1" applyFont="1" applyBorder="1" applyAlignment="1">
      <alignment horizontal="center"/>
    </xf>
    <xf numFmtId="10" fontId="12" fillId="0" borderId="0" xfId="3" applyNumberFormat="1" applyFont="1"/>
    <xf numFmtId="4" fontId="12" fillId="0" borderId="0" xfId="0" applyNumberFormat="1" applyFont="1"/>
    <xf numFmtId="10" fontId="5" fillId="0" borderId="0" xfId="0" applyNumberFormat="1" applyFont="1"/>
    <xf numFmtId="0" fontId="14" fillId="0" borderId="0" xfId="0" applyFont="1" applyAlignment="1">
      <alignment horizontal="center"/>
    </xf>
    <xf numFmtId="0" fontId="5" fillId="0" borderId="0" xfId="0" applyFont="1" applyAlignment="1">
      <alignment vertical="justify" wrapText="1"/>
    </xf>
    <xf numFmtId="43" fontId="29" fillId="0" borderId="0" xfId="3" applyFont="1"/>
    <xf numFmtId="43" fontId="29" fillId="0" borderId="0" xfId="0" applyNumberFormat="1" applyFont="1"/>
    <xf numFmtId="44" fontId="29" fillId="0" borderId="15" xfId="0" applyNumberFormat="1" applyFont="1" applyBorder="1"/>
    <xf numFmtId="0" fontId="28" fillId="0" borderId="15" xfId="0" applyFont="1" applyBorder="1" applyAlignment="1">
      <alignment wrapText="1"/>
    </xf>
    <xf numFmtId="0" fontId="29" fillId="0" borderId="15" xfId="0" applyFont="1" applyBorder="1" applyAlignment="1">
      <alignment wrapText="1"/>
    </xf>
    <xf numFmtId="43" fontId="38" fillId="13" borderId="15" xfId="3" applyFont="1" applyFill="1" applyBorder="1" applyAlignment="1">
      <alignment horizontal="right" vertical="center" wrapText="1" readingOrder="1"/>
    </xf>
    <xf numFmtId="43" fontId="29" fillId="0" borderId="15" xfId="3" applyFont="1" applyBorder="1"/>
    <xf numFmtId="43" fontId="28" fillId="0" borderId="15" xfId="3" applyFont="1" applyBorder="1"/>
    <xf numFmtId="0" fontId="28" fillId="0" borderId="0" xfId="0" applyFont="1"/>
    <xf numFmtId="10" fontId="29" fillId="0" borderId="0" xfId="2" applyNumberFormat="1" applyFont="1"/>
    <xf numFmtId="0" fontId="16" fillId="16" borderId="15" xfId="0" applyFont="1" applyFill="1" applyBorder="1" applyAlignment="1">
      <alignment horizontal="center" wrapText="1"/>
    </xf>
    <xf numFmtId="43" fontId="25" fillId="13" borderId="15" xfId="3" applyFont="1" applyFill="1" applyBorder="1" applyAlignment="1">
      <alignment horizontal="right" vertical="center" wrapText="1" readingOrder="1"/>
    </xf>
    <xf numFmtId="2" fontId="24" fillId="13" borderId="15" xfId="3" applyNumberFormat="1" applyFont="1" applyFill="1" applyBorder="1" applyAlignment="1">
      <alignment horizontal="right" vertical="center" wrapText="1" readingOrder="1"/>
    </xf>
    <xf numFmtId="43" fontId="25" fillId="13" borderId="0" xfId="3" applyFont="1" applyFill="1" applyBorder="1" applyAlignment="1">
      <alignment horizontal="right" vertical="center" wrapText="1" readingOrder="1"/>
    </xf>
    <xf numFmtId="43" fontId="16" fillId="16" borderId="15" xfId="0" applyNumberFormat="1" applyFont="1" applyFill="1" applyBorder="1" applyAlignment="1">
      <alignment horizontal="center" wrapText="1"/>
    </xf>
    <xf numFmtId="0" fontId="14" fillId="0" borderId="0" xfId="0" applyFont="1" applyBorder="1" applyAlignment="1">
      <alignment wrapText="1"/>
    </xf>
    <xf numFmtId="43" fontId="24" fillId="13" borderId="0" xfId="3" applyFont="1" applyFill="1" applyBorder="1" applyAlignment="1">
      <alignment horizontal="right" vertical="center" wrapText="1" readingOrder="1"/>
    </xf>
    <xf numFmtId="4" fontId="24" fillId="13" borderId="0" xfId="0" applyNumberFormat="1" applyFont="1" applyFill="1" applyBorder="1" applyAlignment="1">
      <alignment horizontal="right" vertical="center" wrapText="1" readingOrder="1"/>
    </xf>
    <xf numFmtId="4" fontId="14" fillId="0" borderId="0" xfId="1" applyNumberFormat="1" applyFont="1" applyFill="1" applyBorder="1"/>
    <xf numFmtId="10" fontId="14" fillId="0" borderId="0" xfId="2" applyNumberFormat="1" applyFont="1" applyBorder="1"/>
    <xf numFmtId="2" fontId="24" fillId="13" borderId="15" xfId="0" applyNumberFormat="1" applyFont="1" applyFill="1" applyBorder="1" applyAlignment="1">
      <alignment horizontal="right" vertical="center" wrapText="1" readingOrder="1"/>
    </xf>
    <xf numFmtId="2" fontId="25" fillId="13" borderId="15" xfId="3" applyNumberFormat="1" applyFont="1" applyFill="1" applyBorder="1" applyAlignment="1">
      <alignment horizontal="right" vertical="center" wrapText="1" readingOrder="1"/>
    </xf>
    <xf numFmtId="0" fontId="16" fillId="16" borderId="15" xfId="0" applyFont="1" applyFill="1" applyBorder="1" applyAlignment="1">
      <alignment wrapText="1"/>
    </xf>
    <xf numFmtId="0" fontId="39" fillId="16" borderId="33" xfId="0" applyFont="1" applyFill="1" applyBorder="1" applyAlignment="1">
      <alignment horizontal="center" vertical="center" wrapText="1"/>
    </xf>
    <xf numFmtId="0" fontId="39" fillId="16" borderId="52" xfId="0" applyFont="1" applyFill="1" applyBorder="1" applyAlignment="1">
      <alignment horizontal="center" vertical="center" wrapText="1"/>
    </xf>
    <xf numFmtId="0" fontId="22" fillId="0" borderId="15" xfId="0" applyFont="1" applyBorder="1"/>
    <xf numFmtId="44" fontId="22" fillId="0" borderId="15" xfId="1" applyNumberFormat="1" applyFont="1" applyBorder="1"/>
    <xf numFmtId="44" fontId="14" fillId="0" borderId="15" xfId="0" applyNumberFormat="1" applyFont="1" applyBorder="1"/>
    <xf numFmtId="44" fontId="39" fillId="16" borderId="15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/>
    <xf numFmtId="0" fontId="39" fillId="16" borderId="15" xfId="0" applyFont="1" applyFill="1" applyBorder="1" applyAlignment="1">
      <alignment horizontal="center" vertical="center"/>
    </xf>
    <xf numFmtId="0" fontId="14" fillId="0" borderId="15" xfId="0" applyFont="1" applyFill="1" applyBorder="1"/>
    <xf numFmtId="44" fontId="22" fillId="0" borderId="15" xfId="1" applyNumberFormat="1" applyFont="1" applyFill="1" applyBorder="1"/>
    <xf numFmtId="44" fontId="14" fillId="0" borderId="15" xfId="1" applyNumberFormat="1" applyFont="1" applyFill="1" applyBorder="1"/>
    <xf numFmtId="44" fontId="14" fillId="0" borderId="0" xfId="0" applyNumberFormat="1" applyFont="1"/>
    <xf numFmtId="44" fontId="14" fillId="16" borderId="15" xfId="0" applyNumberFormat="1" applyFont="1" applyFill="1" applyBorder="1"/>
    <xf numFmtId="0" fontId="16" fillId="18" borderId="15" xfId="0" applyFont="1" applyFill="1" applyBorder="1"/>
    <xf numFmtId="10" fontId="16" fillId="18" borderId="15" xfId="2" applyNumberFormat="1" applyFont="1" applyFill="1" applyBorder="1"/>
    <xf numFmtId="0" fontId="14" fillId="0" borderId="0" xfId="0" applyFont="1" applyFill="1" applyBorder="1"/>
    <xf numFmtId="44" fontId="0" fillId="19" borderId="29" xfId="1" applyFont="1" applyFill="1" applyBorder="1"/>
    <xf numFmtId="44" fontId="0" fillId="19" borderId="31" xfId="1" applyFont="1" applyFill="1" applyBorder="1"/>
    <xf numFmtId="44" fontId="0" fillId="19" borderId="50" xfId="1" applyFont="1" applyFill="1" applyBorder="1"/>
    <xf numFmtId="44" fontId="0" fillId="19" borderId="14" xfId="1" applyFont="1" applyFill="1" applyBorder="1"/>
    <xf numFmtId="44" fontId="4" fillId="19" borderId="19" xfId="1" applyFont="1" applyFill="1" applyBorder="1"/>
    <xf numFmtId="44" fontId="4" fillId="19" borderId="15" xfId="1" applyFont="1" applyFill="1" applyBorder="1"/>
    <xf numFmtId="44" fontId="4" fillId="19" borderId="18" xfId="1" applyFont="1" applyFill="1" applyBorder="1"/>
    <xf numFmtId="44" fontId="6" fillId="19" borderId="32" xfId="1" applyFont="1" applyFill="1" applyBorder="1"/>
    <xf numFmtId="44" fontId="2" fillId="0" borderId="27" xfId="2" applyNumberFormat="1" applyFont="1" applyFill="1" applyBorder="1"/>
    <xf numFmtId="0" fontId="0" fillId="0" borderId="0" xfId="0" applyFill="1"/>
    <xf numFmtId="44" fontId="2" fillId="0" borderId="19" xfId="1" applyFont="1" applyFill="1" applyBorder="1"/>
    <xf numFmtId="44" fontId="0" fillId="0" borderId="15" xfId="1" applyFont="1" applyFill="1" applyBorder="1"/>
    <xf numFmtId="44" fontId="2" fillId="0" borderId="15" xfId="1" applyFont="1" applyFill="1" applyBorder="1"/>
    <xf numFmtId="0" fontId="2" fillId="0" borderId="15" xfId="0" applyFont="1" applyFill="1" applyBorder="1" applyAlignment="1">
      <alignment horizontal="left" indent="1"/>
    </xf>
    <xf numFmtId="10" fontId="2" fillId="0" borderId="15" xfId="2" applyNumberFormat="1" applyFont="1" applyFill="1" applyBorder="1"/>
    <xf numFmtId="0" fontId="2" fillId="5" borderId="33" xfId="0" applyFont="1" applyFill="1" applyBorder="1" applyAlignment="1">
      <alignment horizontal="center" vertical="center"/>
    </xf>
    <xf numFmtId="0" fontId="2" fillId="5" borderId="37" xfId="0" applyFont="1" applyFill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0" fontId="2" fillId="5" borderId="25" xfId="0" applyFont="1" applyFill="1" applyBorder="1" applyAlignment="1">
      <alignment horizontal="center" vertical="center"/>
    </xf>
    <xf numFmtId="0" fontId="28" fillId="5" borderId="24" xfId="0" applyFont="1" applyFill="1" applyBorder="1" applyAlignment="1">
      <alignment horizontal="center" vertical="center"/>
    </xf>
    <xf numFmtId="0" fontId="28" fillId="5" borderId="25" xfId="0" applyFont="1" applyFill="1" applyBorder="1" applyAlignment="1">
      <alignment horizontal="center" vertical="center"/>
    </xf>
    <xf numFmtId="0" fontId="29" fillId="0" borderId="12" xfId="0" applyFont="1" applyBorder="1"/>
    <xf numFmtId="44" fontId="28" fillId="0" borderId="5" xfId="1" applyFont="1" applyFill="1" applyBorder="1"/>
    <xf numFmtId="44" fontId="28" fillId="0" borderId="5" xfId="1" applyFont="1" applyBorder="1"/>
    <xf numFmtId="10" fontId="28" fillId="0" borderId="5" xfId="2" applyNumberFormat="1" applyFont="1" applyBorder="1"/>
    <xf numFmtId="0" fontId="29" fillId="0" borderId="5" xfId="0" applyFont="1" applyBorder="1" applyAlignment="1">
      <alignment horizontal="left" indent="2"/>
    </xf>
    <xf numFmtId="44" fontId="29" fillId="0" borderId="5" xfId="1" applyFont="1" applyFill="1" applyBorder="1"/>
    <xf numFmtId="44" fontId="29" fillId="0" borderId="5" xfId="1" applyFont="1" applyBorder="1"/>
    <xf numFmtId="0" fontId="28" fillId="0" borderId="5" xfId="0" applyFont="1" applyBorder="1"/>
    <xf numFmtId="44" fontId="28" fillId="0" borderId="24" xfId="1" applyFont="1" applyFill="1" applyBorder="1"/>
    <xf numFmtId="44" fontId="28" fillId="0" borderId="24" xfId="1" applyFont="1" applyBorder="1"/>
    <xf numFmtId="10" fontId="28" fillId="0" borderId="24" xfId="2" applyNumberFormat="1" applyFont="1" applyBorder="1"/>
    <xf numFmtId="0" fontId="43" fillId="0" borderId="24" xfId="0" applyFont="1" applyBorder="1"/>
    <xf numFmtId="10" fontId="42" fillId="5" borderId="27" xfId="2" applyNumberFormat="1" applyFont="1" applyFill="1" applyBorder="1"/>
    <xf numFmtId="0" fontId="6" fillId="7" borderId="26" xfId="0" applyFont="1" applyFill="1" applyBorder="1"/>
    <xf numFmtId="44" fontId="2" fillId="7" borderId="32" xfId="0" applyNumberFormat="1" applyFont="1" applyFill="1" applyBorder="1"/>
    <xf numFmtId="10" fontId="2" fillId="7" borderId="27" xfId="2" applyNumberFormat="1" applyFont="1" applyFill="1" applyBorder="1"/>
    <xf numFmtId="4" fontId="11" fillId="7" borderId="28" xfId="3" applyNumberFormat="1" applyFont="1" applyFill="1" applyBorder="1" applyAlignment="1" applyProtection="1">
      <alignment vertical="center" wrapText="1"/>
      <protection locked="0"/>
    </xf>
    <xf numFmtId="4" fontId="11" fillId="7" borderId="51" xfId="3" applyNumberFormat="1" applyFont="1" applyFill="1" applyBorder="1" applyAlignment="1" applyProtection="1">
      <alignment vertical="center" wrapText="1"/>
      <protection locked="0"/>
    </xf>
    <xf numFmtId="4" fontId="29" fillId="0" borderId="15" xfId="3" applyNumberFormat="1" applyFont="1" applyBorder="1" applyProtection="1">
      <protection locked="0"/>
    </xf>
    <xf numFmtId="44" fontId="29" fillId="0" borderId="15" xfId="1" applyFont="1" applyBorder="1" applyProtection="1">
      <protection locked="0"/>
    </xf>
    <xf numFmtId="0" fontId="28" fillId="0" borderId="15" xfId="0" applyFont="1" applyBorder="1"/>
    <xf numFmtId="0" fontId="29" fillId="0" borderId="15" xfId="0" applyFont="1" applyBorder="1" applyAlignment="1">
      <alignment horizontal="left" indent="1"/>
    </xf>
    <xf numFmtId="0" fontId="28" fillId="0" borderId="15" xfId="0" applyFont="1" applyBorder="1" applyAlignment="1">
      <alignment horizontal="center"/>
    </xf>
    <xf numFmtId="0" fontId="28" fillId="4" borderId="15" xfId="0" applyFont="1" applyFill="1" applyBorder="1"/>
    <xf numFmtId="166" fontId="13" fillId="4" borderId="18" xfId="0" applyNumberFormat="1" applyFont="1" applyFill="1" applyBorder="1" applyAlignment="1" applyProtection="1">
      <alignment horizontal="center" vertical="center"/>
      <protection locked="0"/>
    </xf>
    <xf numFmtId="0" fontId="13" fillId="4" borderId="19" xfId="0" applyNumberFormat="1" applyFont="1" applyFill="1" applyBorder="1" applyAlignment="1" applyProtection="1">
      <alignment horizontal="center" vertical="center"/>
      <protection locked="0"/>
    </xf>
    <xf numFmtId="43" fontId="29" fillId="0" borderId="15" xfId="0" applyNumberFormat="1" applyFont="1" applyBorder="1" applyAlignment="1">
      <alignment horizontal="left" indent="1"/>
    </xf>
    <xf numFmtId="43" fontId="29" fillId="0" borderId="15" xfId="0" applyNumberFormat="1" applyFont="1" applyBorder="1"/>
    <xf numFmtId="10" fontId="28" fillId="0" borderId="15" xfId="2" applyNumberFormat="1" applyFont="1" applyBorder="1" applyAlignment="1">
      <alignment horizontal="center"/>
    </xf>
    <xf numFmtId="4" fontId="10" fillId="4" borderId="7" xfId="3" applyNumberFormat="1" applyFont="1" applyFill="1" applyBorder="1" applyAlignment="1" applyProtection="1">
      <alignment horizontal="center" vertical="center" wrapText="1"/>
      <protection locked="0"/>
    </xf>
    <xf numFmtId="4" fontId="10" fillId="4" borderId="8" xfId="3" applyNumberFormat="1" applyFont="1" applyFill="1" applyBorder="1" applyAlignment="1" applyProtection="1">
      <alignment vertical="center" wrapText="1"/>
      <protection locked="0"/>
    </xf>
    <xf numFmtId="0" fontId="16" fillId="4" borderId="54" xfId="0" applyFont="1" applyFill="1" applyBorder="1" applyAlignment="1">
      <alignment horizontal="center" vertical="center"/>
    </xf>
    <xf numFmtId="0" fontId="16" fillId="4" borderId="18" xfId="0" applyFont="1" applyFill="1" applyBorder="1" applyAlignment="1">
      <alignment horizontal="center" vertical="center"/>
    </xf>
    <xf numFmtId="0" fontId="16" fillId="4" borderId="24" xfId="0" applyFont="1" applyFill="1" applyBorder="1" applyAlignment="1">
      <alignment horizontal="center" vertical="center"/>
    </xf>
    <xf numFmtId="0" fontId="13" fillId="4" borderId="24" xfId="0" applyFont="1" applyFill="1" applyBorder="1" applyAlignment="1">
      <alignment horizontal="center" vertical="center"/>
    </xf>
    <xf numFmtId="0" fontId="13" fillId="4" borderId="54" xfId="0" applyFont="1" applyFill="1" applyBorder="1" applyAlignment="1">
      <alignment horizontal="center" vertical="center"/>
    </xf>
    <xf numFmtId="10" fontId="16" fillId="4" borderId="15" xfId="0" applyNumberFormat="1" applyFont="1" applyFill="1" applyBorder="1" applyAlignment="1">
      <alignment horizontal="center"/>
    </xf>
    <xf numFmtId="10" fontId="16" fillId="0" borderId="15" xfId="2" applyNumberFormat="1" applyFont="1" applyBorder="1" applyAlignment="1">
      <alignment horizontal="center"/>
    </xf>
    <xf numFmtId="0" fontId="29" fillId="0" borderId="0" xfId="0" applyFont="1" applyBorder="1"/>
    <xf numFmtId="4" fontId="11" fillId="0" borderId="0" xfId="3" applyNumberFormat="1" applyFont="1" applyBorder="1" applyAlignment="1" applyProtection="1">
      <alignment horizontal="center"/>
      <protection locked="0"/>
    </xf>
    <xf numFmtId="4" fontId="41" fillId="0" borderId="0" xfId="3" applyNumberFormat="1" applyFont="1" applyBorder="1" applyProtection="1">
      <protection locked="0"/>
    </xf>
    <xf numFmtId="0" fontId="29" fillId="0" borderId="0" xfId="0" applyFont="1" applyFill="1" applyBorder="1"/>
    <xf numFmtId="4" fontId="11" fillId="0" borderId="0" xfId="3" applyNumberFormat="1" applyFont="1" applyFill="1" applyBorder="1" applyAlignment="1" applyProtection="1">
      <alignment horizontal="center"/>
      <protection locked="0"/>
    </xf>
    <xf numFmtId="44" fontId="29" fillId="0" borderId="0" xfId="1" applyFont="1" applyFill="1" applyBorder="1" applyProtection="1">
      <protection locked="0"/>
    </xf>
    <xf numFmtId="4" fontId="11" fillId="0" borderId="0" xfId="3" applyNumberFormat="1" applyFont="1" applyFill="1" applyBorder="1" applyProtection="1">
      <protection locked="0"/>
    </xf>
    <xf numFmtId="44" fontId="11" fillId="0" borderId="0" xfId="1" applyFont="1" applyFill="1" applyBorder="1" applyProtection="1">
      <protection locked="0"/>
    </xf>
    <xf numFmtId="10" fontId="11" fillId="0" borderId="0" xfId="2" applyNumberFormat="1" applyFont="1" applyFill="1" applyBorder="1" applyProtection="1">
      <protection locked="0"/>
    </xf>
    <xf numFmtId="4" fontId="41" fillId="0" borderId="0" xfId="3" applyNumberFormat="1" applyFont="1" applyFill="1" applyBorder="1" applyProtection="1">
      <protection locked="0"/>
    </xf>
    <xf numFmtId="43" fontId="14" fillId="0" borderId="0" xfId="3" applyFont="1"/>
    <xf numFmtId="44" fontId="16" fillId="0" borderId="15" xfId="2" applyNumberFormat="1" applyFont="1" applyBorder="1"/>
    <xf numFmtId="4" fontId="17" fillId="0" borderId="15" xfId="3" applyNumberFormat="1" applyFont="1" applyBorder="1" applyProtection="1">
      <protection locked="0"/>
    </xf>
    <xf numFmtId="44" fontId="17" fillId="0" borderId="15" xfId="1" applyFont="1" applyBorder="1" applyProtection="1">
      <protection locked="0"/>
    </xf>
    <xf numFmtId="43" fontId="28" fillId="10" borderId="15" xfId="3" applyFont="1" applyFill="1" applyBorder="1"/>
    <xf numFmtId="43" fontId="29" fillId="0" borderId="15" xfId="3" applyFont="1" applyFill="1" applyBorder="1"/>
    <xf numFmtId="43" fontId="29" fillId="14" borderId="15" xfId="3" applyFont="1" applyFill="1" applyBorder="1"/>
    <xf numFmtId="43" fontId="3" fillId="10" borderId="15" xfId="3" applyFont="1" applyFill="1" applyBorder="1"/>
    <xf numFmtId="43" fontId="15" fillId="0" borderId="0" xfId="3" applyFont="1"/>
    <xf numFmtId="43" fontId="24" fillId="13" borderId="15" xfId="3" applyFont="1" applyFill="1" applyBorder="1" applyAlignment="1">
      <alignment horizontal="right" vertical="center" wrapText="1" readingOrder="1"/>
    </xf>
    <xf numFmtId="0" fontId="13" fillId="4" borderId="24" xfId="0" applyFont="1" applyFill="1" applyBorder="1" applyAlignment="1">
      <alignment horizontal="center" vertical="center"/>
    </xf>
    <xf numFmtId="0" fontId="13" fillId="4" borderId="54" xfId="0" applyFont="1" applyFill="1" applyBorder="1" applyAlignment="1">
      <alignment horizontal="center" vertical="center"/>
    </xf>
    <xf numFmtId="0" fontId="16" fillId="4" borderId="54" xfId="0" applyFont="1" applyFill="1" applyBorder="1" applyAlignment="1">
      <alignment horizontal="center" vertical="center"/>
    </xf>
    <xf numFmtId="0" fontId="16" fillId="4" borderId="18" xfId="0" applyFont="1" applyFill="1" applyBorder="1" applyAlignment="1">
      <alignment horizontal="center" vertical="center"/>
    </xf>
    <xf numFmtId="0" fontId="16" fillId="4" borderId="24" xfId="0" applyFont="1" applyFill="1" applyBorder="1" applyAlignment="1">
      <alignment horizontal="center" vertical="center"/>
    </xf>
    <xf numFmtId="0" fontId="16" fillId="16" borderId="17" xfId="0" applyFont="1" applyFill="1" applyBorder="1" applyAlignment="1">
      <alignment horizontal="center" wrapText="1"/>
    </xf>
    <xf numFmtId="0" fontId="16" fillId="16" borderId="16" xfId="0" applyFont="1" applyFill="1" applyBorder="1" applyAlignment="1">
      <alignment horizontal="center" wrapText="1"/>
    </xf>
    <xf numFmtId="0" fontId="16" fillId="16" borderId="20" xfId="0" applyFont="1" applyFill="1" applyBorder="1" applyAlignment="1">
      <alignment horizontal="center" wrapText="1"/>
    </xf>
    <xf numFmtId="0" fontId="16" fillId="16" borderId="18" xfId="0" applyFont="1" applyFill="1" applyBorder="1" applyAlignment="1">
      <alignment horizontal="center" vertical="center"/>
    </xf>
    <xf numFmtId="43" fontId="46" fillId="0" borderId="0" xfId="3" applyFont="1"/>
    <xf numFmtId="17" fontId="14" fillId="0" borderId="0" xfId="0" applyNumberFormat="1" applyFont="1"/>
    <xf numFmtId="43" fontId="14" fillId="0" borderId="0" xfId="0" applyNumberFormat="1" applyFont="1"/>
    <xf numFmtId="0" fontId="14" fillId="5" borderId="15" xfId="0" applyFont="1" applyFill="1" applyBorder="1"/>
    <xf numFmtId="43" fontId="14" fillId="5" borderId="15" xfId="3" applyFont="1" applyFill="1" applyBorder="1"/>
    <xf numFmtId="43" fontId="14" fillId="5" borderId="15" xfId="0" applyNumberFormat="1" applyFont="1" applyFill="1" applyBorder="1"/>
    <xf numFmtId="43" fontId="46" fillId="0" borderId="15" xfId="3" applyFont="1" applyBorder="1"/>
    <xf numFmtId="0" fontId="14" fillId="0" borderId="0" xfId="0" applyFont="1" applyAlignment="1">
      <alignment horizontal="center" vertical="center"/>
    </xf>
    <xf numFmtId="17" fontId="14" fillId="0" borderId="15" xfId="0" applyNumberFormat="1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43" fontId="14" fillId="0" borderId="15" xfId="3" applyFont="1" applyBorder="1"/>
    <xf numFmtId="43" fontId="16" fillId="0" borderId="15" xfId="0" applyNumberFormat="1" applyFont="1" applyBorder="1"/>
    <xf numFmtId="43" fontId="14" fillId="0" borderId="19" xfId="3" applyFont="1" applyBorder="1"/>
    <xf numFmtId="0" fontId="16" fillId="5" borderId="15" xfId="0" applyFont="1" applyFill="1" applyBorder="1"/>
    <xf numFmtId="43" fontId="47" fillId="5" borderId="15" xfId="3" applyFont="1" applyFill="1" applyBorder="1"/>
    <xf numFmtId="43" fontId="16" fillId="5" borderId="15" xfId="0" applyNumberFormat="1" applyFont="1" applyFill="1" applyBorder="1"/>
    <xf numFmtId="17" fontId="14" fillId="0" borderId="18" xfId="0" applyNumberFormat="1" applyFont="1" applyBorder="1" applyAlignment="1">
      <alignment horizontal="center" vertical="center"/>
    </xf>
    <xf numFmtId="43" fontId="16" fillId="0" borderId="0" xfId="3" applyFont="1" applyBorder="1"/>
    <xf numFmtId="17" fontId="14" fillId="0" borderId="20" xfId="0" applyNumberFormat="1" applyFont="1" applyBorder="1" applyAlignment="1">
      <alignment horizontal="center" vertical="center"/>
    </xf>
    <xf numFmtId="43" fontId="48" fillId="0" borderId="0" xfId="3" applyFont="1"/>
    <xf numFmtId="164" fontId="29" fillId="0" borderId="0" xfId="0" applyNumberFormat="1" applyFont="1"/>
    <xf numFmtId="0" fontId="28" fillId="0" borderId="0" xfId="0" applyFont="1" applyBorder="1" applyAlignment="1"/>
    <xf numFmtId="10" fontId="29" fillId="0" borderId="0" xfId="0" applyNumberFormat="1" applyFont="1"/>
    <xf numFmtId="43" fontId="29" fillId="0" borderId="0" xfId="3" applyFont="1" applyBorder="1"/>
    <xf numFmtId="43" fontId="38" fillId="13" borderId="0" xfId="3" applyFont="1" applyFill="1" applyBorder="1" applyAlignment="1">
      <alignment horizontal="right" vertical="center" wrapText="1" readingOrder="1"/>
    </xf>
    <xf numFmtId="43" fontId="29" fillId="0" borderId="0" xfId="3" applyFont="1" applyFill="1" applyBorder="1"/>
    <xf numFmtId="0" fontId="29" fillId="15" borderId="15" xfId="0" applyFont="1" applyFill="1" applyBorder="1" applyAlignment="1">
      <alignment wrapText="1"/>
    </xf>
    <xf numFmtId="0" fontId="28" fillId="15" borderId="15" xfId="0" applyFont="1" applyFill="1" applyBorder="1" applyAlignment="1">
      <alignment horizontal="center" vertical="center" wrapText="1"/>
    </xf>
    <xf numFmtId="0" fontId="29" fillId="20" borderId="15" xfId="0" applyFont="1" applyFill="1" applyBorder="1"/>
    <xf numFmtId="9" fontId="29" fillId="20" borderId="15" xfId="0" applyNumberFormat="1" applyFont="1" applyFill="1" applyBorder="1" applyAlignment="1">
      <alignment horizontal="center" vertical="center"/>
    </xf>
    <xf numFmtId="44" fontId="29" fillId="20" borderId="15" xfId="1" applyFont="1" applyFill="1" applyBorder="1" applyAlignment="1">
      <alignment vertical="center"/>
    </xf>
    <xf numFmtId="44" fontId="28" fillId="20" borderId="15" xfId="1" applyFont="1" applyFill="1" applyBorder="1" applyAlignment="1">
      <alignment horizontal="center" vertical="center"/>
    </xf>
    <xf numFmtId="10" fontId="28" fillId="20" borderId="15" xfId="2" applyNumberFormat="1" applyFont="1" applyFill="1" applyBorder="1" applyAlignment="1">
      <alignment horizontal="center" vertical="center"/>
    </xf>
    <xf numFmtId="44" fontId="29" fillId="20" borderId="15" xfId="1" applyFont="1" applyFill="1" applyBorder="1" applyAlignment="1"/>
    <xf numFmtId="0" fontId="28" fillId="0" borderId="0" xfId="0" applyFont="1" applyFill="1" applyBorder="1" applyAlignment="1">
      <alignment horizontal="center"/>
    </xf>
    <xf numFmtId="0" fontId="28" fillId="0" borderId="0" xfId="0" applyFont="1" applyFill="1" applyBorder="1" applyAlignment="1"/>
    <xf numFmtId="0" fontId="29" fillId="0" borderId="0" xfId="0" applyFont="1" applyFill="1"/>
    <xf numFmtId="43" fontId="48" fillId="0" borderId="0" xfId="3" applyFont="1" applyFill="1"/>
    <xf numFmtId="0" fontId="28" fillId="4" borderId="15" xfId="0" applyFont="1" applyFill="1" applyBorder="1" applyAlignment="1"/>
    <xf numFmtId="0" fontId="29" fillId="4" borderId="15" xfId="0" applyFont="1" applyFill="1" applyBorder="1"/>
    <xf numFmtId="9" fontId="29" fillId="4" borderId="15" xfId="0" applyNumberFormat="1" applyFont="1" applyFill="1" applyBorder="1" applyAlignment="1">
      <alignment horizontal="center" vertical="center"/>
    </xf>
    <xf numFmtId="44" fontId="29" fillId="4" borderId="15" xfId="1" applyFont="1" applyFill="1" applyBorder="1" applyAlignment="1"/>
    <xf numFmtId="44" fontId="28" fillId="4" borderId="15" xfId="1" applyFont="1" applyFill="1" applyBorder="1" applyAlignment="1">
      <alignment vertical="center"/>
    </xf>
    <xf numFmtId="4" fontId="24" fillId="0" borderId="15" xfId="0" applyNumberFormat="1" applyFont="1" applyFill="1" applyBorder="1" applyAlignment="1">
      <alignment horizontal="right" vertical="center" wrapText="1" readingOrder="1"/>
    </xf>
    <xf numFmtId="164" fontId="29" fillId="0" borderId="0" xfId="0" applyNumberFormat="1" applyFont="1" applyBorder="1"/>
    <xf numFmtId="10" fontId="14" fillId="0" borderId="0" xfId="0" applyNumberFormat="1" applyFont="1"/>
    <xf numFmtId="0" fontId="16" fillId="16" borderId="15" xfId="0" applyFont="1" applyFill="1" applyBorder="1" applyAlignment="1">
      <alignment horizontal="center"/>
    </xf>
    <xf numFmtId="4" fontId="5" fillId="0" borderId="0" xfId="0" applyNumberFormat="1" applyFont="1" applyFill="1" applyBorder="1"/>
    <xf numFmtId="43" fontId="12" fillId="0" borderId="0" xfId="3" applyFont="1" applyFill="1" applyBorder="1"/>
    <xf numFmtId="0" fontId="5" fillId="0" borderId="0" xfId="0" applyFont="1" applyFill="1" applyBorder="1"/>
    <xf numFmtId="4" fontId="5" fillId="0" borderId="0" xfId="0" applyNumberFormat="1" applyFont="1" applyFill="1" applyBorder="1" applyAlignment="1"/>
    <xf numFmtId="17" fontId="12" fillId="0" borderId="0" xfId="3" applyNumberFormat="1" applyFont="1" applyFill="1" applyBorder="1"/>
    <xf numFmtId="43" fontId="13" fillId="0" borderId="0" xfId="3" applyFont="1" applyFill="1" applyBorder="1"/>
    <xf numFmtId="43" fontId="16" fillId="0" borderId="0" xfId="0" applyNumberFormat="1" applyFont="1" applyFill="1" applyBorder="1"/>
    <xf numFmtId="8" fontId="13" fillId="0" borderId="0" xfId="3" applyNumberFormat="1" applyFont="1" applyFill="1" applyBorder="1"/>
    <xf numFmtId="0" fontId="12" fillId="0" borderId="0" xfId="0" applyFont="1" applyFill="1" applyBorder="1"/>
    <xf numFmtId="43" fontId="14" fillId="0" borderId="0" xfId="3" applyFont="1" applyFill="1" applyBorder="1"/>
    <xf numFmtId="43" fontId="13" fillId="0" borderId="0" xfId="3" applyFont="1" applyFill="1" applyBorder="1" applyAlignment="1"/>
    <xf numFmtId="0" fontId="29" fillId="20" borderId="15" xfId="0" applyFont="1" applyFill="1" applyBorder="1" applyAlignment="1">
      <alignment horizontal="center"/>
    </xf>
    <xf numFmtId="0" fontId="29" fillId="15" borderId="15" xfId="0" applyFont="1" applyFill="1" applyBorder="1" applyAlignment="1">
      <alignment horizontal="left" wrapText="1"/>
    </xf>
    <xf numFmtId="0" fontId="29" fillId="0" borderId="28" xfId="0" applyFont="1" applyFill="1" applyBorder="1"/>
    <xf numFmtId="0" fontId="29" fillId="0" borderId="51" xfId="0" applyFont="1" applyFill="1" applyBorder="1"/>
    <xf numFmtId="0" fontId="29" fillId="0" borderId="57" xfId="0" applyFont="1" applyFill="1" applyBorder="1"/>
    <xf numFmtId="0" fontId="28" fillId="0" borderId="45" xfId="0" applyFont="1" applyFill="1" applyBorder="1" applyAlignment="1">
      <alignment horizontal="center"/>
    </xf>
    <xf numFmtId="10" fontId="28" fillId="0" borderId="44" xfId="2" applyNumberFormat="1" applyFont="1" applyFill="1" applyBorder="1" applyAlignment="1">
      <alignment horizontal="center" vertical="center"/>
    </xf>
    <xf numFmtId="0" fontId="29" fillId="0" borderId="45" xfId="0" applyFont="1" applyFill="1" applyBorder="1"/>
    <xf numFmtId="0" fontId="29" fillId="0" borderId="44" xfId="0" applyFont="1" applyFill="1" applyBorder="1"/>
    <xf numFmtId="0" fontId="29" fillId="0" borderId="45" xfId="0" applyFont="1" applyBorder="1"/>
    <xf numFmtId="0" fontId="29" fillId="0" borderId="44" xfId="0" applyFont="1" applyBorder="1"/>
    <xf numFmtId="43" fontId="0" fillId="0" borderId="0" xfId="3" applyFont="1"/>
    <xf numFmtId="44" fontId="29" fillId="0" borderId="0" xfId="0" applyNumberFormat="1" applyFont="1" applyBorder="1"/>
    <xf numFmtId="0" fontId="14" fillId="0" borderId="0" xfId="0" applyFont="1" applyBorder="1"/>
    <xf numFmtId="44" fontId="14" fillId="0" borderId="0" xfId="0" applyNumberFormat="1" applyFont="1" applyBorder="1"/>
    <xf numFmtId="4" fontId="16" fillId="16" borderId="15" xfId="0" applyNumberFormat="1" applyFont="1" applyFill="1" applyBorder="1" applyAlignment="1">
      <alignment horizontal="center"/>
    </xf>
    <xf numFmtId="0" fontId="49" fillId="0" borderId="15" xfId="11" applyFont="1" applyBorder="1">
      <alignment horizontal="left" vertical="top" wrapText="1"/>
    </xf>
    <xf numFmtId="0" fontId="49" fillId="0" borderId="15" xfId="11" applyFont="1" applyBorder="1" applyAlignment="1">
      <alignment horizontal="center" vertical="top" wrapText="1"/>
    </xf>
    <xf numFmtId="0" fontId="22" fillId="0" borderId="0" xfId="11">
      <alignment horizontal="left" vertical="top" wrapText="1"/>
    </xf>
    <xf numFmtId="49" fontId="50" fillId="13" borderId="15" xfId="11" applyNumberFormat="1" applyFont="1" applyFill="1" applyBorder="1" applyAlignment="1">
      <alignment vertical="center" wrapText="1" readingOrder="1"/>
    </xf>
    <xf numFmtId="43" fontId="49" fillId="0" borderId="0" xfId="12" applyFont="1" applyAlignment="1">
      <alignment horizontal="left" vertical="top" wrapText="1"/>
    </xf>
    <xf numFmtId="43" fontId="51" fillId="0" borderId="15" xfId="12" applyFont="1" applyFill="1" applyBorder="1" applyAlignment="1" applyProtection="1">
      <alignment vertical="center" wrapText="1" readingOrder="1"/>
    </xf>
    <xf numFmtId="43" fontId="22" fillId="0" borderId="0" xfId="11" applyNumberFormat="1">
      <alignment horizontal="left" vertical="top" wrapText="1"/>
    </xf>
    <xf numFmtId="43" fontId="51" fillId="13" borderId="15" xfId="12" applyFont="1" applyFill="1" applyBorder="1" applyAlignment="1" applyProtection="1">
      <alignment vertical="center" wrapText="1" readingOrder="1"/>
    </xf>
    <xf numFmtId="43" fontId="49" fillId="0" borderId="15" xfId="12" applyFont="1" applyBorder="1" applyAlignment="1">
      <alignment horizontal="left" vertical="top" wrapText="1"/>
    </xf>
    <xf numFmtId="0" fontId="49" fillId="0" borderId="0" xfId="11" applyFont="1">
      <alignment horizontal="left" vertical="top" wrapText="1"/>
    </xf>
    <xf numFmtId="9" fontId="49" fillId="0" borderId="0" xfId="11" applyNumberFormat="1" applyFont="1" applyAlignment="1">
      <alignment horizontal="right" vertical="top" wrapText="1"/>
    </xf>
    <xf numFmtId="43" fontId="52" fillId="0" borderId="0" xfId="11" applyNumberFormat="1" applyFont="1">
      <alignment horizontal="left" vertical="top" wrapText="1"/>
    </xf>
    <xf numFmtId="43" fontId="0" fillId="0" borderId="0" xfId="12" applyFont="1" applyAlignment="1">
      <alignment horizontal="left" vertical="top" wrapText="1"/>
    </xf>
    <xf numFmtId="4" fontId="22" fillId="0" borderId="0" xfId="11" applyNumberFormat="1">
      <alignment horizontal="left" vertical="top" wrapText="1"/>
    </xf>
    <xf numFmtId="43" fontId="52" fillId="0" borderId="0" xfId="12" applyFont="1" applyAlignment="1">
      <alignment horizontal="left" vertical="top" wrapText="1"/>
    </xf>
    <xf numFmtId="9" fontId="49" fillId="0" borderId="0" xfId="12" applyNumberFormat="1" applyFont="1" applyAlignment="1">
      <alignment horizontal="left" vertical="top" wrapText="1"/>
    </xf>
    <xf numFmtId="43" fontId="49" fillId="0" borderId="0" xfId="11" applyNumberFormat="1" applyFont="1">
      <alignment horizontal="left" vertical="top" wrapText="1"/>
    </xf>
    <xf numFmtId="9" fontId="22" fillId="0" borderId="0" xfId="11" applyNumberFormat="1">
      <alignment horizontal="left" vertical="top" wrapText="1"/>
    </xf>
    <xf numFmtId="10" fontId="14" fillId="0" borderId="0" xfId="2" applyNumberFormat="1" applyFont="1"/>
    <xf numFmtId="0" fontId="16" fillId="4" borderId="18" xfId="0" applyFont="1" applyFill="1" applyBorder="1" applyAlignment="1">
      <alignment horizontal="center" vertical="center"/>
    </xf>
    <xf numFmtId="44" fontId="0" fillId="0" borderId="0" xfId="0" applyNumberFormat="1"/>
    <xf numFmtId="43" fontId="16" fillId="0" borderId="0" xfId="3" applyFont="1"/>
    <xf numFmtId="0" fontId="16" fillId="16" borderId="16" xfId="0" applyFont="1" applyFill="1" applyBorder="1" applyAlignment="1">
      <alignment horizontal="center" wrapText="1"/>
    </xf>
    <xf numFmtId="0" fontId="16" fillId="16" borderId="20" xfId="0" applyFont="1" applyFill="1" applyBorder="1" applyAlignment="1">
      <alignment horizontal="center" wrapText="1"/>
    </xf>
    <xf numFmtId="0" fontId="16" fillId="16" borderId="17" xfId="0" applyFont="1" applyFill="1" applyBorder="1" applyAlignment="1">
      <alignment horizontal="center" wrapText="1"/>
    </xf>
    <xf numFmtId="0" fontId="28" fillId="5" borderId="24" xfId="0" applyFont="1" applyFill="1" applyBorder="1" applyAlignment="1">
      <alignment horizontal="center" vertical="center"/>
    </xf>
    <xf numFmtId="0" fontId="16" fillId="0" borderId="0" xfId="0" applyFont="1" applyAlignment="1"/>
    <xf numFmtId="0" fontId="28" fillId="0" borderId="15" xfId="0" applyFont="1" applyBorder="1" applyAlignment="1"/>
    <xf numFmtId="0" fontId="44" fillId="5" borderId="26" xfId="0" applyFont="1" applyFill="1" applyBorder="1" applyAlignment="1">
      <alignment horizontal="center"/>
    </xf>
    <xf numFmtId="0" fontId="44" fillId="5" borderId="32" xfId="0" applyFont="1" applyFill="1" applyBorder="1" applyAlignment="1">
      <alignment horizontal="center"/>
    </xf>
    <xf numFmtId="0" fontId="2" fillId="0" borderId="26" xfId="0" applyFont="1" applyFill="1" applyBorder="1" applyAlignment="1">
      <alignment horizontal="left"/>
    </xf>
    <xf numFmtId="0" fontId="2" fillId="0" borderId="32" xfId="0" applyFont="1" applyFill="1" applyBorder="1" applyAlignment="1">
      <alignment horizontal="left"/>
    </xf>
    <xf numFmtId="0" fontId="13" fillId="8" borderId="16" xfId="0" applyFont="1" applyFill="1" applyBorder="1" applyAlignment="1">
      <alignment horizontal="center"/>
    </xf>
    <xf numFmtId="0" fontId="13" fillId="8" borderId="20" xfId="0" applyFont="1" applyFill="1" applyBorder="1" applyAlignment="1">
      <alignment horizontal="center"/>
    </xf>
    <xf numFmtId="0" fontId="13" fillId="8" borderId="17" xfId="0" applyFont="1" applyFill="1" applyBorder="1" applyAlignment="1">
      <alignment horizontal="center"/>
    </xf>
    <xf numFmtId="0" fontId="45" fillId="15" borderId="15" xfId="0" applyFont="1" applyFill="1" applyBorder="1" applyAlignment="1">
      <alignment horizontal="center"/>
    </xf>
    <xf numFmtId="0" fontId="39" fillId="18" borderId="7" xfId="0" applyFont="1" applyFill="1" applyBorder="1" applyAlignment="1">
      <alignment horizontal="center" vertical="center"/>
    </xf>
    <xf numFmtId="0" fontId="39" fillId="18" borderId="13" xfId="0" applyFont="1" applyFill="1" applyBorder="1" applyAlignment="1">
      <alignment horizontal="center" vertical="center"/>
    </xf>
    <xf numFmtId="0" fontId="39" fillId="18" borderId="8" xfId="0" applyFont="1" applyFill="1" applyBorder="1" applyAlignment="1">
      <alignment horizontal="center" vertical="center"/>
    </xf>
    <xf numFmtId="0" fontId="37" fillId="5" borderId="21" xfId="0" applyFont="1" applyFill="1" applyBorder="1" applyAlignment="1">
      <alignment horizontal="center" vertical="center"/>
    </xf>
    <xf numFmtId="0" fontId="37" fillId="5" borderId="23" xfId="0" applyFont="1" applyFill="1" applyBorder="1" applyAlignment="1">
      <alignment horizontal="center" vertical="center"/>
    </xf>
    <xf numFmtId="0" fontId="28" fillId="5" borderId="19" xfId="0" applyFont="1" applyFill="1" applyBorder="1" applyAlignment="1">
      <alignment horizontal="center" vertical="center"/>
    </xf>
    <xf numFmtId="0" fontId="28" fillId="5" borderId="24" xfId="0" applyFont="1" applyFill="1" applyBorder="1" applyAlignment="1">
      <alignment horizontal="center" vertical="center"/>
    </xf>
    <xf numFmtId="0" fontId="28" fillId="5" borderId="19" xfId="0" applyFont="1" applyFill="1" applyBorder="1" applyAlignment="1">
      <alignment horizontal="center" vertical="center" wrapText="1"/>
    </xf>
    <xf numFmtId="0" fontId="28" fillId="5" borderId="24" xfId="0" applyFont="1" applyFill="1" applyBorder="1" applyAlignment="1">
      <alignment horizontal="center" vertical="center" wrapText="1"/>
    </xf>
    <xf numFmtId="0" fontId="28" fillId="5" borderId="22" xfId="0" applyFont="1" applyFill="1" applyBorder="1" applyAlignment="1">
      <alignment horizontal="center" vertical="center"/>
    </xf>
    <xf numFmtId="0" fontId="27" fillId="9" borderId="15" xfId="0" applyFont="1" applyFill="1" applyBorder="1" applyAlignment="1">
      <alignment horizontal="center"/>
    </xf>
    <xf numFmtId="0" fontId="16" fillId="6" borderId="7" xfId="0" applyFont="1" applyFill="1" applyBorder="1" applyAlignment="1">
      <alignment horizontal="center" vertical="center"/>
    </xf>
    <xf numFmtId="0" fontId="16" fillId="6" borderId="13" xfId="0" applyFont="1" applyFill="1" applyBorder="1" applyAlignment="1">
      <alignment horizontal="center" vertical="center"/>
    </xf>
    <xf numFmtId="0" fontId="16" fillId="6" borderId="8" xfId="0" applyFont="1" applyFill="1" applyBorder="1" applyAlignment="1">
      <alignment horizontal="center" vertical="center"/>
    </xf>
    <xf numFmtId="0" fontId="16" fillId="4" borderId="21" xfId="0" applyFont="1" applyFill="1" applyBorder="1" applyAlignment="1">
      <alignment horizontal="center" vertical="center"/>
    </xf>
    <xf numFmtId="0" fontId="16" fillId="4" borderId="53" xfId="0" applyFont="1" applyFill="1" applyBorder="1" applyAlignment="1">
      <alignment horizontal="center" vertical="center"/>
    </xf>
    <xf numFmtId="0" fontId="16" fillId="4" borderId="19" xfId="0" applyFont="1" applyFill="1" applyBorder="1" applyAlignment="1">
      <alignment horizontal="center" vertical="center"/>
    </xf>
    <xf numFmtId="0" fontId="16" fillId="4" borderId="18" xfId="0" applyFont="1" applyFill="1" applyBorder="1" applyAlignment="1">
      <alignment horizontal="center" vertical="center"/>
    </xf>
    <xf numFmtId="0" fontId="16" fillId="4" borderId="54" xfId="0" applyFont="1" applyFill="1" applyBorder="1" applyAlignment="1">
      <alignment horizontal="center" vertical="center"/>
    </xf>
    <xf numFmtId="0" fontId="16" fillId="4" borderId="55" xfId="0" applyFont="1" applyFill="1" applyBorder="1" applyAlignment="1">
      <alignment horizontal="center" vertical="center"/>
    </xf>
    <xf numFmtId="0" fontId="16" fillId="4" borderId="56" xfId="0" applyFont="1" applyFill="1" applyBorder="1" applyAlignment="1">
      <alignment horizontal="center" vertical="center"/>
    </xf>
    <xf numFmtId="0" fontId="16" fillId="16" borderId="16" xfId="0" applyFont="1" applyFill="1" applyBorder="1" applyAlignment="1">
      <alignment horizontal="center" wrapText="1"/>
    </xf>
    <xf numFmtId="0" fontId="16" fillId="16" borderId="20" xfId="0" applyFont="1" applyFill="1" applyBorder="1" applyAlignment="1">
      <alignment horizontal="center" wrapText="1"/>
    </xf>
    <xf numFmtId="0" fontId="16" fillId="16" borderId="17" xfId="0" applyFont="1" applyFill="1" applyBorder="1" applyAlignment="1">
      <alignment horizontal="center" wrapText="1"/>
    </xf>
    <xf numFmtId="0" fontId="16" fillId="16" borderId="16" xfId="0" applyFont="1" applyFill="1" applyBorder="1" applyAlignment="1">
      <alignment horizontal="center"/>
    </xf>
    <xf numFmtId="0" fontId="16" fillId="16" borderId="17" xfId="0" applyFont="1" applyFill="1" applyBorder="1" applyAlignment="1">
      <alignment horizontal="center"/>
    </xf>
    <xf numFmtId="0" fontId="2" fillId="5" borderId="34" xfId="0" applyFont="1" applyFill="1" applyBorder="1" applyAlignment="1">
      <alignment horizontal="center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35" xfId="0" applyFont="1" applyFill="1" applyBorder="1" applyAlignment="1">
      <alignment horizontal="center" vertical="center" wrapText="1"/>
    </xf>
    <xf numFmtId="0" fontId="2" fillId="5" borderId="24" xfId="0" applyFont="1" applyFill="1" applyBorder="1" applyAlignment="1">
      <alignment horizontal="center" vertical="center" wrapText="1"/>
    </xf>
    <xf numFmtId="0" fontId="2" fillId="5" borderId="35" xfId="0" applyFont="1" applyFill="1" applyBorder="1" applyAlignment="1">
      <alignment horizontal="center" vertical="center"/>
    </xf>
    <xf numFmtId="0" fontId="2" fillId="5" borderId="36" xfId="0" applyFont="1" applyFill="1" applyBorder="1" applyAlignment="1">
      <alignment horizontal="center" vertical="center"/>
    </xf>
    <xf numFmtId="43" fontId="31" fillId="0" borderId="51" xfId="3" applyFont="1" applyBorder="1" applyAlignment="1">
      <alignment horizontal="center"/>
    </xf>
    <xf numFmtId="0" fontId="0" fillId="0" borderId="0" xfId="0" applyFont="1" applyAlignment="1">
      <alignment horizontal="center"/>
    </xf>
    <xf numFmtId="4" fontId="13" fillId="4" borderId="18" xfId="3" applyNumberFormat="1" applyFont="1" applyFill="1" applyBorder="1" applyAlignment="1" applyProtection="1">
      <alignment horizontal="center" vertical="center"/>
      <protection locked="0"/>
    </xf>
    <xf numFmtId="4" fontId="13" fillId="4" borderId="19" xfId="3" applyNumberFormat="1" applyFont="1" applyFill="1" applyBorder="1" applyAlignment="1" applyProtection="1">
      <alignment horizontal="center" vertical="center"/>
      <protection locked="0"/>
    </xf>
    <xf numFmtId="0" fontId="28" fillId="4" borderId="15" xfId="0" applyFont="1" applyFill="1" applyBorder="1" applyAlignment="1">
      <alignment horizontal="center"/>
    </xf>
    <xf numFmtId="0" fontId="28" fillId="4" borderId="16" xfId="0" applyFont="1" applyFill="1" applyBorder="1" applyAlignment="1">
      <alignment horizontal="center"/>
    </xf>
    <xf numFmtId="0" fontId="28" fillId="4" borderId="17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40" fillId="17" borderId="48" xfId="0" applyFont="1" applyFill="1" applyBorder="1" applyAlignment="1">
      <alignment horizontal="center" vertical="center"/>
    </xf>
    <xf numFmtId="0" fontId="40" fillId="17" borderId="35" xfId="0" applyFont="1" applyFill="1" applyBorder="1" applyAlignment="1">
      <alignment horizontal="center" vertical="center"/>
    </xf>
    <xf numFmtId="0" fontId="16" fillId="0" borderId="53" xfId="0" applyFont="1" applyBorder="1" applyAlignment="1">
      <alignment horizontal="left"/>
    </xf>
    <xf numFmtId="0" fontId="16" fillId="0" borderId="18" xfId="0" applyFont="1" applyBorder="1" applyAlignment="1">
      <alignment horizontal="left"/>
    </xf>
    <xf numFmtId="0" fontId="14" fillId="0" borderId="9" xfId="0" applyFont="1" applyBorder="1" applyAlignment="1">
      <alignment horizontal="left"/>
    </xf>
    <xf numFmtId="0" fontId="14" fillId="0" borderId="41" xfId="0" applyFont="1" applyBorder="1" applyAlignment="1">
      <alignment horizontal="left"/>
    </xf>
    <xf numFmtId="0" fontId="14" fillId="0" borderId="43" xfId="0" applyFont="1" applyBorder="1" applyAlignment="1">
      <alignment horizontal="left"/>
    </xf>
    <xf numFmtId="0" fontId="14" fillId="0" borderId="44" xfId="0" applyFont="1" applyBorder="1" applyAlignment="1">
      <alignment horizontal="left"/>
    </xf>
    <xf numFmtId="0" fontId="16" fillId="4" borderId="35" xfId="0" applyFont="1" applyFill="1" applyBorder="1" applyAlignment="1">
      <alignment horizontal="center" vertical="center"/>
    </xf>
    <xf numFmtId="0" fontId="16" fillId="4" borderId="24" xfId="0" applyFont="1" applyFill="1" applyBorder="1" applyAlignment="1">
      <alignment horizontal="center" vertical="center"/>
    </xf>
    <xf numFmtId="0" fontId="16" fillId="4" borderId="33" xfId="0" applyFont="1" applyFill="1" applyBorder="1" applyAlignment="1">
      <alignment horizontal="center" vertical="center"/>
    </xf>
    <xf numFmtId="0" fontId="16" fillId="4" borderId="37" xfId="0" applyFont="1" applyFill="1" applyBorder="1" applyAlignment="1">
      <alignment horizontal="center" vertic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6" fillId="0" borderId="38" xfId="0" applyFont="1" applyBorder="1" applyAlignment="1">
      <alignment horizontal="center"/>
    </xf>
    <xf numFmtId="44" fontId="14" fillId="0" borderId="45" xfId="1" applyFont="1" applyBorder="1" applyAlignment="1">
      <alignment horizontal="center"/>
    </xf>
    <xf numFmtId="44" fontId="14" fillId="0" borderId="6" xfId="1" applyFont="1" applyBorder="1" applyAlignment="1">
      <alignment horizontal="center"/>
    </xf>
    <xf numFmtId="44" fontId="14" fillId="0" borderId="42" xfId="1" applyFont="1" applyBorder="1" applyAlignment="1">
      <alignment horizontal="center"/>
    </xf>
    <xf numFmtId="44" fontId="14" fillId="0" borderId="11" xfId="1" applyFont="1" applyBorder="1" applyAlignment="1">
      <alignment horizontal="center"/>
    </xf>
    <xf numFmtId="0" fontId="16" fillId="5" borderId="7" xfId="0" applyFont="1" applyFill="1" applyBorder="1" applyAlignment="1">
      <alignment horizontal="center" vertical="center"/>
    </xf>
    <xf numFmtId="0" fontId="16" fillId="5" borderId="8" xfId="0" applyFont="1" applyFill="1" applyBorder="1" applyAlignment="1">
      <alignment horizontal="center" vertical="center"/>
    </xf>
    <xf numFmtId="44" fontId="16" fillId="5" borderId="7" xfId="1" applyFont="1" applyFill="1" applyBorder="1" applyAlignment="1">
      <alignment horizontal="center" vertical="center"/>
    </xf>
    <xf numFmtId="44" fontId="16" fillId="5" borderId="8" xfId="1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/>
    </xf>
    <xf numFmtId="0" fontId="16" fillId="6" borderId="3" xfId="0" applyFont="1" applyFill="1" applyBorder="1" applyAlignment="1">
      <alignment horizontal="center" wrapText="1"/>
    </xf>
    <xf numFmtId="0" fontId="16" fillId="0" borderId="4" xfId="0" applyFont="1" applyBorder="1" applyAlignment="1">
      <alignment horizontal="left"/>
    </xf>
    <xf numFmtId="0" fontId="16" fillId="0" borderId="46" xfId="0" applyFont="1" applyBorder="1" applyAlignment="1">
      <alignment horizontal="left"/>
    </xf>
    <xf numFmtId="10" fontId="16" fillId="0" borderId="47" xfId="2" applyNumberFormat="1" applyFont="1" applyBorder="1" applyAlignment="1">
      <alignment horizontal="right" indent="2"/>
    </xf>
    <xf numFmtId="10" fontId="16" fillId="0" borderId="2" xfId="2" applyNumberFormat="1" applyFont="1" applyBorder="1" applyAlignment="1">
      <alignment horizontal="right" indent="2"/>
    </xf>
    <xf numFmtId="0" fontId="16" fillId="0" borderId="43" xfId="0" applyFont="1" applyBorder="1" applyAlignment="1">
      <alignment horizontal="left"/>
    </xf>
    <xf numFmtId="0" fontId="16" fillId="0" borderId="44" xfId="0" applyFont="1" applyBorder="1" applyAlignment="1">
      <alignment horizontal="left"/>
    </xf>
    <xf numFmtId="44" fontId="16" fillId="0" borderId="45" xfId="1" applyFont="1" applyBorder="1" applyAlignment="1">
      <alignment horizontal="center"/>
    </xf>
    <xf numFmtId="44" fontId="16" fillId="0" borderId="6" xfId="1" applyFont="1" applyBorder="1" applyAlignment="1">
      <alignment horizontal="center"/>
    </xf>
    <xf numFmtId="44" fontId="12" fillId="0" borderId="39" xfId="1" applyFont="1" applyBorder="1" applyAlignment="1">
      <alignment horizontal="center"/>
    </xf>
    <xf numFmtId="44" fontId="12" fillId="0" borderId="40" xfId="1" applyFont="1" applyBorder="1" applyAlignment="1">
      <alignment horizontal="center"/>
    </xf>
    <xf numFmtId="44" fontId="12" fillId="0" borderId="38" xfId="1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5" borderId="7" xfId="0" applyFont="1" applyFill="1" applyBorder="1" applyAlignment="1">
      <alignment horizontal="center"/>
    </xf>
    <xf numFmtId="0" fontId="16" fillId="5" borderId="13" xfId="0" applyFont="1" applyFill="1" applyBorder="1" applyAlignment="1">
      <alignment horizontal="center"/>
    </xf>
    <xf numFmtId="0" fontId="16" fillId="5" borderId="8" xfId="0" applyFont="1" applyFill="1" applyBorder="1" applyAlignment="1">
      <alignment horizontal="center"/>
    </xf>
    <xf numFmtId="0" fontId="13" fillId="4" borderId="48" xfId="0" applyFont="1" applyFill="1" applyBorder="1" applyAlignment="1">
      <alignment horizontal="center" vertical="center" wrapText="1"/>
    </xf>
    <xf numFmtId="0" fontId="13" fillId="4" borderId="23" xfId="0" applyFont="1" applyFill="1" applyBorder="1" applyAlignment="1">
      <alignment horizontal="center" vertical="center" wrapText="1"/>
    </xf>
    <xf numFmtId="0" fontId="13" fillId="4" borderId="35" xfId="0" applyFont="1" applyFill="1" applyBorder="1" applyAlignment="1">
      <alignment horizontal="center" vertical="center"/>
    </xf>
    <xf numFmtId="0" fontId="13" fillId="4" borderId="24" xfId="0" applyFont="1" applyFill="1" applyBorder="1" applyAlignment="1">
      <alignment horizontal="center" vertical="center"/>
    </xf>
    <xf numFmtId="0" fontId="13" fillId="4" borderId="54" xfId="0" applyFont="1" applyFill="1" applyBorder="1" applyAlignment="1">
      <alignment horizontal="center" vertical="center"/>
    </xf>
    <xf numFmtId="0" fontId="13" fillId="4" borderId="56" xfId="0" applyFont="1" applyFill="1" applyBorder="1" applyAlignment="1">
      <alignment horizontal="center" vertical="center"/>
    </xf>
    <xf numFmtId="44" fontId="13" fillId="0" borderId="16" xfId="1" applyFont="1" applyBorder="1" applyAlignment="1">
      <alignment horizontal="center" vertical="center"/>
    </xf>
    <xf numFmtId="44" fontId="13" fillId="0" borderId="17" xfId="1" applyFont="1" applyBorder="1" applyAlignment="1">
      <alignment horizontal="center" vertical="center"/>
    </xf>
    <xf numFmtId="44" fontId="12" fillId="0" borderId="16" xfId="1" applyFont="1" applyBorder="1" applyAlignment="1">
      <alignment horizontal="center"/>
    </xf>
    <xf numFmtId="44" fontId="12" fillId="0" borderId="17" xfId="1" applyFont="1" applyBorder="1" applyAlignment="1">
      <alignment horizontal="center"/>
    </xf>
    <xf numFmtId="0" fontId="6" fillId="4" borderId="48" xfId="0" applyFont="1" applyFill="1" applyBorder="1" applyAlignment="1">
      <alignment horizontal="center" vertical="center" wrapText="1"/>
    </xf>
    <xf numFmtId="0" fontId="6" fillId="4" borderId="23" xfId="0" applyFont="1" applyFill="1" applyBorder="1" applyAlignment="1">
      <alignment horizontal="center" vertical="center" wrapText="1"/>
    </xf>
    <xf numFmtId="0" fontId="6" fillId="19" borderId="35" xfId="0" applyFont="1" applyFill="1" applyBorder="1" applyAlignment="1">
      <alignment horizontal="center" vertical="center"/>
    </xf>
    <xf numFmtId="0" fontId="6" fillId="19" borderId="24" xfId="0" applyFont="1" applyFill="1" applyBorder="1" applyAlignment="1">
      <alignment horizontal="center" vertical="center"/>
    </xf>
    <xf numFmtId="0" fontId="6" fillId="4" borderId="35" xfId="0" applyFont="1" applyFill="1" applyBorder="1" applyAlignment="1">
      <alignment horizontal="center" vertical="center"/>
    </xf>
    <xf numFmtId="0" fontId="6" fillId="4" borderId="36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2" fontId="2" fillId="19" borderId="12" xfId="0" applyNumberFormat="1" applyFont="1" applyFill="1" applyBorder="1" applyAlignment="1">
      <alignment horizontal="center" vertical="center"/>
    </xf>
    <xf numFmtId="2" fontId="2" fillId="19" borderId="1" xfId="0" applyNumberFormat="1" applyFont="1" applyFill="1" applyBorder="1" applyAlignment="1">
      <alignment horizontal="center" vertical="center"/>
    </xf>
    <xf numFmtId="2" fontId="2" fillId="4" borderId="26" xfId="0" applyNumberFormat="1" applyFont="1" applyFill="1" applyBorder="1" applyAlignment="1">
      <alignment horizontal="center"/>
    </xf>
    <xf numFmtId="2" fontId="2" fillId="4" borderId="27" xfId="0" applyNumberFormat="1" applyFont="1" applyFill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3" borderId="15" xfId="0" applyFont="1" applyFill="1" applyBorder="1" applyAlignment="1">
      <alignment horizontal="center"/>
    </xf>
    <xf numFmtId="0" fontId="16" fillId="3" borderId="18" xfId="0" applyFont="1" applyFill="1" applyBorder="1" applyAlignment="1">
      <alignment horizontal="center"/>
    </xf>
    <xf numFmtId="0" fontId="16" fillId="10" borderId="15" xfId="0" applyFont="1" applyFill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4" fillId="0" borderId="57" xfId="0" applyFont="1" applyBorder="1" applyAlignment="1">
      <alignment horizontal="center"/>
    </xf>
    <xf numFmtId="0" fontId="5" fillId="0" borderId="0" xfId="0" applyFont="1" applyAlignment="1">
      <alignment horizontal="left" vertical="justify" wrapText="1"/>
    </xf>
    <xf numFmtId="0" fontId="29" fillId="0" borderId="15" xfId="0" applyFont="1" applyBorder="1" applyAlignment="1">
      <alignment horizontal="left" vertical="top" wrapText="1"/>
    </xf>
    <xf numFmtId="0" fontId="28" fillId="15" borderId="16" xfId="0" applyFont="1" applyFill="1" applyBorder="1" applyAlignment="1">
      <alignment horizontal="center"/>
    </xf>
    <xf numFmtId="0" fontId="28" fillId="15" borderId="20" xfId="0" applyFont="1" applyFill="1" applyBorder="1" applyAlignment="1">
      <alignment horizontal="center"/>
    </xf>
    <xf numFmtId="0" fontId="28" fillId="20" borderId="16" xfId="0" applyFont="1" applyFill="1" applyBorder="1" applyAlignment="1">
      <alignment horizontal="center"/>
    </xf>
    <xf numFmtId="0" fontId="28" fillId="20" borderId="17" xfId="0" applyFont="1" applyFill="1" applyBorder="1" applyAlignment="1">
      <alignment horizontal="center"/>
    </xf>
    <xf numFmtId="0" fontId="28" fillId="20" borderId="15" xfId="0" applyFont="1" applyFill="1" applyBorder="1" applyAlignment="1">
      <alignment horizontal="center"/>
    </xf>
    <xf numFmtId="44" fontId="29" fillId="15" borderId="15" xfId="1" applyFont="1" applyFill="1" applyBorder="1" applyAlignment="1">
      <alignment horizontal="left"/>
    </xf>
    <xf numFmtId="0" fontId="28" fillId="15" borderId="16" xfId="0" applyFont="1" applyFill="1" applyBorder="1" applyAlignment="1">
      <alignment horizontal="center" wrapText="1"/>
    </xf>
    <xf numFmtId="0" fontId="28" fillId="15" borderId="20" xfId="0" applyFont="1" applyFill="1" applyBorder="1" applyAlignment="1">
      <alignment horizontal="center" wrapText="1"/>
    </xf>
    <xf numFmtId="0" fontId="28" fillId="15" borderId="17" xfId="0" applyFont="1" applyFill="1" applyBorder="1" applyAlignment="1">
      <alignment horizontal="center" wrapText="1"/>
    </xf>
    <xf numFmtId="44" fontId="29" fillId="15" borderId="15" xfId="1" applyFont="1" applyFill="1" applyBorder="1" applyAlignment="1">
      <alignment horizontal="left" wrapText="1"/>
    </xf>
    <xf numFmtId="44" fontId="28" fillId="15" borderId="15" xfId="1" applyFont="1" applyFill="1" applyBorder="1" applyAlignment="1">
      <alignment horizontal="left"/>
    </xf>
    <xf numFmtId="0" fontId="28" fillId="0" borderId="15" xfId="0" applyFont="1" applyBorder="1" applyAlignment="1">
      <alignment horizontal="center"/>
    </xf>
    <xf numFmtId="0" fontId="19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3">
    <cellStyle name="Hiperlink" xfId="4" builtinId="8"/>
    <cellStyle name="Moeda" xfId="1" builtinId="4"/>
    <cellStyle name="Normal" xfId="0" builtinId="0"/>
    <cellStyle name="Normal 2" xfId="5" xr:uid="{00000000-0005-0000-0000-000003000000}"/>
    <cellStyle name="Normal 3" xfId="11" xr:uid="{FEA4D435-4B88-49A6-AB8E-401CFE0EF770}"/>
    <cellStyle name="Porcentagem" xfId="2" builtinId="5"/>
    <cellStyle name="Porcentagem 2" xfId="7" xr:uid="{00000000-0005-0000-0000-000005000000}"/>
    <cellStyle name="Porcentagem 3" xfId="6" xr:uid="{00000000-0005-0000-0000-000006000000}"/>
    <cellStyle name="Vírgula" xfId="3" builtinId="3"/>
    <cellStyle name="Vírgula 2" xfId="9" xr:uid="{00000000-0005-0000-0000-000008000000}"/>
    <cellStyle name="Vírgula 3" xfId="8" xr:uid="{00000000-0005-0000-0000-000009000000}"/>
    <cellStyle name="Vírgula 4" xfId="10" xr:uid="{00000000-0005-0000-0000-00000A000000}"/>
    <cellStyle name="Vírgula 5" xfId="12" xr:uid="{7AA433E1-C8EE-409C-81EF-75D2B217C053}"/>
  </cellStyles>
  <dxfs count="2">
    <dxf>
      <font>
        <b/>
        <i val="0"/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mruColors>
      <color rgb="FF006600"/>
      <color rgb="FFCCFF33"/>
      <color rgb="FF00CC99"/>
      <color rgb="FFEF01EF"/>
      <color rgb="FFEA1C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1137309</xdr:colOff>
      <xdr:row>0</xdr:row>
      <xdr:rowOff>184816</xdr:rowOff>
    </xdr:from>
    <xdr:to>
      <xdr:col>13</xdr:col>
      <xdr:colOff>641204</xdr:colOff>
      <xdr:row>0</xdr:row>
      <xdr:rowOff>1475372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9746CD5-EEA0-4DD8-9A36-6E2447429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38540" y="184816"/>
          <a:ext cx="3171731" cy="1290556"/>
        </a:xfrm>
        <a:prstGeom prst="rect">
          <a:avLst/>
        </a:prstGeom>
      </xdr:spPr>
    </xdr:pic>
    <xdr:clientData/>
  </xdr:twoCellAnchor>
  <xdr:twoCellAnchor editAs="oneCell">
    <xdr:from>
      <xdr:col>0</xdr:col>
      <xdr:colOff>85296</xdr:colOff>
      <xdr:row>0</xdr:row>
      <xdr:rowOff>99515</xdr:rowOff>
    </xdr:from>
    <xdr:to>
      <xdr:col>1</xdr:col>
      <xdr:colOff>966713</xdr:colOff>
      <xdr:row>0</xdr:row>
      <xdr:rowOff>1450075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2BCD8D7-6113-4C02-AD47-91D6B67BDE36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871" t="36043" r="17637" b="37398"/>
        <a:stretch/>
      </xdr:blipFill>
      <xdr:spPr bwMode="auto">
        <a:xfrm>
          <a:off x="85296" y="99515"/>
          <a:ext cx="4620335" cy="135056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3228975</xdr:colOff>
      <xdr:row>36</xdr:row>
      <xdr:rowOff>112211</xdr:rowOff>
    </xdr:from>
    <xdr:to>
      <xdr:col>0</xdr:col>
      <xdr:colOff>4722067</xdr:colOff>
      <xdr:row>48</xdr:row>
      <xdr:rowOff>114300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4D7EB400-9F63-4CA2-866B-221741A57D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7389311"/>
          <a:ext cx="1493092" cy="19928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6010275</xdr:colOff>
      <xdr:row>0</xdr:row>
      <xdr:rowOff>28575</xdr:rowOff>
    </xdr:from>
    <xdr:to>
      <xdr:col>1</xdr:col>
      <xdr:colOff>1209676</xdr:colOff>
      <xdr:row>0</xdr:row>
      <xdr:rowOff>660308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2149C9B-69F0-4047-8F33-33F25BCF36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10275" y="28575"/>
          <a:ext cx="1552576" cy="6317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91</xdr:row>
      <xdr:rowOff>161925</xdr:rowOff>
    </xdr:from>
    <xdr:to>
      <xdr:col>1</xdr:col>
      <xdr:colOff>800100</xdr:colOff>
      <xdr:row>92</xdr:row>
      <xdr:rowOff>95250</xdr:rowOff>
    </xdr:to>
    <xdr:sp macro="" textlink="">
      <xdr:nvSpPr>
        <xdr:cNvPr id="8205" name="Rectangle 13">
          <a:extLst>
            <a:ext uri="{FF2B5EF4-FFF2-40B4-BE49-F238E27FC236}">
              <a16:creationId xmlns:a16="http://schemas.microsoft.com/office/drawing/2014/main" id="{00000000-0008-0000-0200-00000D200000}"/>
            </a:ext>
          </a:extLst>
        </xdr:cNvPr>
        <xdr:cNvSpPr>
          <a:spLocks noChangeArrowheads="1"/>
        </xdr:cNvSpPr>
      </xdr:nvSpPr>
      <xdr:spPr bwMode="auto">
        <a:xfrm>
          <a:off x="180975" y="11258550"/>
          <a:ext cx="671512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201083</xdr:colOff>
      <xdr:row>0</xdr:row>
      <xdr:rowOff>42334</xdr:rowOff>
    </xdr:from>
    <xdr:to>
      <xdr:col>0</xdr:col>
      <xdr:colOff>857250</xdr:colOff>
      <xdr:row>3</xdr:row>
      <xdr:rowOff>96523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5A9BD76-8830-462D-ADE8-D2C2630D68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83" y="42334"/>
          <a:ext cx="656167" cy="657439"/>
        </a:xfrm>
        <a:prstGeom prst="rect">
          <a:avLst/>
        </a:prstGeom>
      </xdr:spPr>
    </xdr:pic>
    <xdr:clientData/>
  </xdr:twoCellAnchor>
  <xdr:oneCellAnchor>
    <xdr:from>
      <xdr:col>0</xdr:col>
      <xdr:colOff>201083</xdr:colOff>
      <xdr:row>90</xdr:row>
      <xdr:rowOff>42334</xdr:rowOff>
    </xdr:from>
    <xdr:ext cx="656167" cy="657439"/>
    <xdr:pic>
      <xdr:nvPicPr>
        <xdr:cNvPr id="4" name="Imagem 3">
          <a:extLst>
            <a:ext uri="{FF2B5EF4-FFF2-40B4-BE49-F238E27FC236}">
              <a16:creationId xmlns:a16="http://schemas.microsoft.com/office/drawing/2014/main" id="{7270B224-6DCD-4FF4-BFC2-DA8648CA97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83" y="42334"/>
          <a:ext cx="656167" cy="657439"/>
        </a:xfrm>
        <a:prstGeom prst="rect">
          <a:avLst/>
        </a:prstGeom>
      </xdr:spPr>
    </xdr:pic>
    <xdr:clientData/>
  </xdr:oneCellAnchor>
  <xdr:oneCellAnchor>
    <xdr:from>
      <xdr:col>0</xdr:col>
      <xdr:colOff>201083</xdr:colOff>
      <xdr:row>43</xdr:row>
      <xdr:rowOff>42334</xdr:rowOff>
    </xdr:from>
    <xdr:ext cx="656167" cy="657439"/>
    <xdr:pic>
      <xdr:nvPicPr>
        <xdr:cNvPr id="5" name="Imagem 4">
          <a:extLst>
            <a:ext uri="{FF2B5EF4-FFF2-40B4-BE49-F238E27FC236}">
              <a16:creationId xmlns:a16="http://schemas.microsoft.com/office/drawing/2014/main" id="{B294FED6-1BAA-4F9E-9AA0-60D34A5FEA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83" y="9122834"/>
          <a:ext cx="656167" cy="657439"/>
        </a:xfrm>
        <a:prstGeom prst="rect">
          <a:avLst/>
        </a:prstGeom>
      </xdr:spPr>
    </xdr:pic>
    <xdr:clientData/>
  </xdr:oneCellAnchor>
  <xdr:twoCellAnchor>
    <xdr:from>
      <xdr:col>0</xdr:col>
      <xdr:colOff>1185333</xdr:colOff>
      <xdr:row>63</xdr:row>
      <xdr:rowOff>95251</xdr:rowOff>
    </xdr:from>
    <xdr:to>
      <xdr:col>0</xdr:col>
      <xdr:colOff>3139666</xdr:colOff>
      <xdr:row>78</xdr:row>
      <xdr:rowOff>95250</xdr:rowOff>
    </xdr:to>
    <xdr:pic>
      <xdr:nvPicPr>
        <xdr:cNvPr id="6" name="Imagem 2">
          <a:extLst>
            <a:ext uri="{FF2B5EF4-FFF2-40B4-BE49-F238E27FC236}">
              <a16:creationId xmlns:a16="http://schemas.microsoft.com/office/drawing/2014/main" id="{EA0FFAD5-F58C-47BD-8DF2-3C336D009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5333" y="13197418"/>
          <a:ext cx="1954333" cy="30374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1428750</xdr:colOff>
      <xdr:row>21</xdr:row>
      <xdr:rowOff>105834</xdr:rowOff>
    </xdr:from>
    <xdr:to>
      <xdr:col>0</xdr:col>
      <xdr:colOff>3438525</xdr:colOff>
      <xdr:row>34</xdr:row>
      <xdr:rowOff>43393</xdr:rowOff>
    </xdr:to>
    <xdr:pic>
      <xdr:nvPicPr>
        <xdr:cNvPr id="7" name="Imagem 2">
          <a:extLst>
            <a:ext uri="{FF2B5EF4-FFF2-40B4-BE49-F238E27FC236}">
              <a16:creationId xmlns:a16="http://schemas.microsoft.com/office/drawing/2014/main" id="{B42AEFC6-02C4-4A8F-80AB-44CFCC2143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635501"/>
          <a:ext cx="2009775" cy="2678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javascript:WebForm_DoPostBackWithOptions(new%20WebForm_PostBackOptions(%22ctl00$ContentPlaceHolder1$gdvLicitacao$ctl04$lbkProcessoLicitatorio%22,%20%22%22,%20true,%20%22%22,%20%22%22,%20false,%20true))" TargetMode="External"/><Relationship Id="rId2" Type="http://schemas.openxmlformats.org/officeDocument/2006/relationships/hyperlink" Target="javascript:WebForm_DoPostBackWithOptions(new%20WebForm_PostBackOptions(%22ctl00$ContentPlaceHolder1$gdvLicitacao$ctl03$lbkProcessoLicitatorio%22,%20%22%22,%20true,%20%22%22,%20%22%22,%20false,%20true))" TargetMode="External"/><Relationship Id="rId1" Type="http://schemas.openxmlformats.org/officeDocument/2006/relationships/hyperlink" Target="javascript:WebForm_DoPostBackWithOptions(new%20WebForm_PostBackOptions(%22ctl00$ContentPlaceHolder1$gdvLicitacao$ctl02$lbkProcessoLicitatorio%22,%20%22%22,%20true,%20%22%22,%20%22%22,%20false,%20true))" TargetMode="External"/><Relationship Id="rId6" Type="http://schemas.openxmlformats.org/officeDocument/2006/relationships/printerSettings" Target="../printerSettings/printerSettings9.bin"/><Relationship Id="rId5" Type="http://schemas.openxmlformats.org/officeDocument/2006/relationships/hyperlink" Target="javascript:WebForm_DoPostBackWithOptions(new%20WebForm_PostBackOptions(%22ctl00$ContentPlaceHolder1$gdvLicitacao$ctl06$lbkProcessoLicitatorio%22,%20%22%22,%20true,%20%22%22,%20%22%22,%20false,%20true))" TargetMode="External"/><Relationship Id="rId4" Type="http://schemas.openxmlformats.org/officeDocument/2006/relationships/hyperlink" Target="javascript:WebForm_DoPostBackWithOptions(new%20WebForm_PostBackOptions(%22ctl00$ContentPlaceHolder1$gdvLicitacao$ctl05$lbkProcessoLicitatorio%22,%20%22%22,%20true,%20%22%22,%20%22%22,%20false,%20true))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29"/>
  <sheetViews>
    <sheetView tabSelected="1" zoomScale="70" zoomScaleNormal="70" workbookViewId="0">
      <selection activeCell="N125" sqref="N125"/>
    </sheetView>
  </sheetViews>
  <sheetFormatPr defaultColWidth="13.42578125" defaultRowHeight="12.75" x14ac:dyDescent="0.2"/>
  <cols>
    <col min="1" max="1" width="86.5703125" style="164" customWidth="1"/>
    <col min="2" max="16" width="20.28515625" style="164" customWidth="1"/>
    <col min="17" max="17" width="21.5703125" style="164" customWidth="1"/>
    <col min="18" max="18" width="81" style="164" customWidth="1"/>
    <col min="19" max="19" width="21.5703125" style="164" customWidth="1"/>
    <col min="20" max="16384" width="13.42578125" style="164"/>
  </cols>
  <sheetData>
    <row r="1" spans="1:14" s="77" customFormat="1" ht="15.75" x14ac:dyDescent="0.25">
      <c r="A1" s="462" t="s">
        <v>207</v>
      </c>
      <c r="B1" s="462"/>
      <c r="C1" s="462"/>
      <c r="D1" s="462"/>
      <c r="E1" s="462"/>
      <c r="F1" s="462"/>
      <c r="G1" s="462"/>
      <c r="H1" s="462"/>
      <c r="I1" s="462"/>
      <c r="J1" s="462"/>
      <c r="K1" s="462"/>
      <c r="L1" s="462"/>
      <c r="M1" s="462"/>
      <c r="N1" s="462"/>
    </row>
    <row r="2" spans="1:14" s="171" customFormat="1" ht="15" x14ac:dyDescent="0.2">
      <c r="A2" s="161" t="s">
        <v>116</v>
      </c>
      <c r="B2" s="161" t="s">
        <v>104</v>
      </c>
      <c r="C2" s="161" t="s">
        <v>105</v>
      </c>
      <c r="D2" s="161" t="s">
        <v>106</v>
      </c>
      <c r="E2" s="161" t="s">
        <v>107</v>
      </c>
      <c r="F2" s="161" t="s">
        <v>108</v>
      </c>
      <c r="G2" s="161" t="s">
        <v>109</v>
      </c>
      <c r="H2" s="161" t="s">
        <v>110</v>
      </c>
      <c r="I2" s="161" t="s">
        <v>111</v>
      </c>
      <c r="J2" s="161" t="s">
        <v>112</v>
      </c>
      <c r="K2" s="161" t="s">
        <v>113</v>
      </c>
      <c r="L2" s="161" t="s">
        <v>114</v>
      </c>
      <c r="M2" s="161" t="s">
        <v>115</v>
      </c>
      <c r="N2" s="161" t="s">
        <v>125</v>
      </c>
    </row>
    <row r="3" spans="1:14" x14ac:dyDescent="0.2">
      <c r="A3" s="162" t="s">
        <v>0</v>
      </c>
      <c r="B3" s="327">
        <f>SUM(B4:B8)</f>
        <v>45595.94</v>
      </c>
      <c r="C3" s="327">
        <f>SUM(C4:C8)</f>
        <v>170571.42</v>
      </c>
      <c r="D3" s="327">
        <f>SUM(D4:D8)</f>
        <v>78548.56</v>
      </c>
      <c r="E3" s="327">
        <f>SUM(E4:E8)</f>
        <v>87624.41</v>
      </c>
      <c r="F3" s="327">
        <f>SUM(F4:F8)</f>
        <v>57461.16</v>
      </c>
      <c r="G3" s="327">
        <f t="shared" ref="G3:M3" si="0">SUM(G4:G8)</f>
        <v>584362.15999999992</v>
      </c>
      <c r="H3" s="327">
        <f t="shared" si="0"/>
        <v>131383.99</v>
      </c>
      <c r="I3" s="327">
        <f t="shared" si="0"/>
        <v>127205.92000000001</v>
      </c>
      <c r="J3" s="327">
        <f t="shared" si="0"/>
        <v>137915.71</v>
      </c>
      <c r="K3" s="327">
        <f t="shared" si="0"/>
        <v>144856.07</v>
      </c>
      <c r="L3" s="327">
        <f t="shared" si="0"/>
        <v>874573.83000000007</v>
      </c>
      <c r="M3" s="327">
        <f t="shared" si="0"/>
        <v>395251.14999999997</v>
      </c>
      <c r="N3" s="327">
        <f>SUM(N4:N8)</f>
        <v>2835350.32</v>
      </c>
    </row>
    <row r="4" spans="1:14" x14ac:dyDescent="0.2">
      <c r="A4" s="174" t="s">
        <v>117</v>
      </c>
      <c r="B4" s="221">
        <v>6509</v>
      </c>
      <c r="C4" s="221">
        <v>17112.64</v>
      </c>
      <c r="D4" s="221">
        <v>9046.89</v>
      </c>
      <c r="E4" s="221">
        <v>6658.91</v>
      </c>
      <c r="F4" s="221">
        <v>8118.39</v>
      </c>
      <c r="G4" s="221">
        <v>8402.33</v>
      </c>
      <c r="H4" s="221">
        <v>11054.76</v>
      </c>
      <c r="I4" s="221">
        <v>16577.240000000002</v>
      </c>
      <c r="J4" s="221">
        <v>11343.8</v>
      </c>
      <c r="K4" s="221">
        <v>17936.61</v>
      </c>
      <c r="L4" s="221">
        <v>19723.02</v>
      </c>
      <c r="M4" s="328">
        <v>34320.870000000003</v>
      </c>
      <c r="N4" s="221">
        <f>SUM(B4:M4)</f>
        <v>166804.46</v>
      </c>
    </row>
    <row r="5" spans="1:14" x14ac:dyDescent="0.2">
      <c r="A5" s="174" t="s">
        <v>118</v>
      </c>
      <c r="B5" s="221">
        <v>33162.21</v>
      </c>
      <c r="C5" s="221">
        <v>63232.67</v>
      </c>
      <c r="D5" s="221">
        <v>16511.900000000001</v>
      </c>
      <c r="E5" s="221">
        <v>18544.18</v>
      </c>
      <c r="F5" s="221">
        <v>13004.62</v>
      </c>
      <c r="G5" s="221">
        <v>20127.169999999998</v>
      </c>
      <c r="H5" s="221">
        <v>14422.75</v>
      </c>
      <c r="I5" s="221">
        <v>22188.880000000001</v>
      </c>
      <c r="J5" s="221">
        <v>19364.32</v>
      </c>
      <c r="K5" s="221">
        <v>21053.56</v>
      </c>
      <c r="L5" s="221">
        <v>24582.11</v>
      </c>
      <c r="M5" s="221">
        <v>39795.96</v>
      </c>
      <c r="N5" s="221">
        <f t="shared" ref="N5:N10" si="1">SUM(B5:M5)</f>
        <v>305990.33</v>
      </c>
    </row>
    <row r="6" spans="1:14" x14ac:dyDescent="0.2">
      <c r="A6" s="174" t="s">
        <v>119</v>
      </c>
      <c r="B6" s="221">
        <v>3320.36</v>
      </c>
      <c r="C6" s="221">
        <v>56137.599999999999</v>
      </c>
      <c r="D6" s="221">
        <v>16198.22</v>
      </c>
      <c r="E6" s="221">
        <v>26647.61</v>
      </c>
      <c r="F6" s="221">
        <v>14975.08</v>
      </c>
      <c r="G6" s="221">
        <v>461991.35</v>
      </c>
      <c r="H6" s="221">
        <v>35394.36</v>
      </c>
      <c r="I6" s="221">
        <v>21192.639999999999</v>
      </c>
      <c r="J6" s="221">
        <v>9807.2800000000007</v>
      </c>
      <c r="K6" s="221">
        <v>7069.95</v>
      </c>
      <c r="L6" s="221">
        <v>18201.22</v>
      </c>
      <c r="M6" s="221">
        <v>13410.77</v>
      </c>
      <c r="N6" s="221">
        <f t="shared" si="1"/>
        <v>684346.44</v>
      </c>
    </row>
    <row r="7" spans="1:14" x14ac:dyDescent="0.2">
      <c r="A7" s="174" t="s">
        <v>120</v>
      </c>
      <c r="B7" s="221">
        <v>0</v>
      </c>
      <c r="C7" s="221">
        <v>18426.86</v>
      </c>
      <c r="D7" s="221">
        <v>8613.4599999999991</v>
      </c>
      <c r="E7" s="221">
        <v>8613.4599999999991</v>
      </c>
      <c r="F7" s="221">
        <v>8613.4599999999991</v>
      </c>
      <c r="G7" s="221">
        <v>0</v>
      </c>
      <c r="H7" s="221">
        <v>8622.0499999999993</v>
      </c>
      <c r="I7" s="221">
        <v>8979.4</v>
      </c>
      <c r="J7" s="221">
        <v>8622.0499999999993</v>
      </c>
      <c r="K7" s="221">
        <v>9879.61</v>
      </c>
      <c r="L7" s="221">
        <v>753397.67</v>
      </c>
      <c r="M7" s="328">
        <v>247259.63</v>
      </c>
      <c r="N7" s="221">
        <f t="shared" si="1"/>
        <v>1081027.6499999999</v>
      </c>
    </row>
    <row r="8" spans="1:14" x14ac:dyDescent="0.2">
      <c r="A8" s="175" t="s">
        <v>208</v>
      </c>
      <c r="B8" s="221">
        <v>2604.37</v>
      </c>
      <c r="C8" s="221">
        <v>15661.65</v>
      </c>
      <c r="D8" s="221">
        <v>28178.09</v>
      </c>
      <c r="E8" s="221">
        <v>27160.25</v>
      </c>
      <c r="F8" s="221">
        <v>12749.61</v>
      </c>
      <c r="G8" s="221">
        <v>93841.31</v>
      </c>
      <c r="H8" s="221">
        <v>61890.07</v>
      </c>
      <c r="I8" s="221">
        <v>58267.76</v>
      </c>
      <c r="J8" s="221">
        <v>88778.26</v>
      </c>
      <c r="K8" s="221">
        <v>88916.34</v>
      </c>
      <c r="L8" s="221">
        <v>58669.81</v>
      </c>
      <c r="M8" s="221">
        <v>60463.92</v>
      </c>
      <c r="N8" s="221">
        <f t="shared" si="1"/>
        <v>597181.44000000006</v>
      </c>
    </row>
    <row r="9" spans="1:14" ht="12.75" customHeight="1" x14ac:dyDescent="0.2">
      <c r="A9" s="164" t="s">
        <v>121</v>
      </c>
      <c r="B9" s="221">
        <v>0</v>
      </c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1:14" x14ac:dyDescent="0.2">
      <c r="A10" s="176" t="s">
        <v>100</v>
      </c>
      <c r="B10" s="328">
        <v>252.56</v>
      </c>
      <c r="C10" s="328">
        <v>357.33</v>
      </c>
      <c r="D10" s="328">
        <v>2004.52</v>
      </c>
      <c r="E10" s="328">
        <v>3128.98</v>
      </c>
      <c r="F10" s="221">
        <v>6178.3</v>
      </c>
      <c r="G10" s="221">
        <v>6817.09</v>
      </c>
      <c r="H10" s="221">
        <v>9357.0300000000007</v>
      </c>
      <c r="I10" s="221">
        <v>12832.14</v>
      </c>
      <c r="J10" s="221">
        <v>15317.83</v>
      </c>
      <c r="K10" s="221">
        <v>17558.759999999998</v>
      </c>
      <c r="L10" s="221">
        <v>25537.21</v>
      </c>
      <c r="M10" s="221">
        <v>36486.980000000003</v>
      </c>
      <c r="N10" s="221">
        <f t="shared" si="1"/>
        <v>135828.73000000001</v>
      </c>
    </row>
    <row r="11" spans="1:14" ht="6.75" customHeight="1" x14ac:dyDescent="0.2">
      <c r="B11" s="215"/>
      <c r="C11" s="215"/>
      <c r="D11" s="215"/>
      <c r="E11" s="215"/>
      <c r="F11" s="215"/>
      <c r="G11" s="215"/>
      <c r="H11" s="215"/>
      <c r="I11" s="215"/>
      <c r="J11" s="215"/>
      <c r="K11" s="215"/>
      <c r="L11" s="215"/>
      <c r="M11" s="215"/>
      <c r="N11" s="215"/>
    </row>
    <row r="12" spans="1:14" x14ac:dyDescent="0.2">
      <c r="A12" s="162" t="s">
        <v>1</v>
      </c>
      <c r="B12" s="327">
        <f t="shared" ref="B12:N12" si="2">SUM(B13:B22)</f>
        <v>4272413.9400000004</v>
      </c>
      <c r="C12" s="327">
        <f t="shared" si="2"/>
        <v>5134553.59</v>
      </c>
      <c r="D12" s="327">
        <f t="shared" si="2"/>
        <v>4280176.49</v>
      </c>
      <c r="E12" s="327">
        <f t="shared" si="2"/>
        <v>3992449.1199999996</v>
      </c>
      <c r="F12" s="327">
        <f>SUM(F13:F22)</f>
        <v>4605842.2999999989</v>
      </c>
      <c r="G12" s="327">
        <f t="shared" si="2"/>
        <v>4338811.38</v>
      </c>
      <c r="H12" s="327">
        <f t="shared" si="2"/>
        <v>5040777.7299999995</v>
      </c>
      <c r="I12" s="327">
        <f t="shared" si="2"/>
        <v>5374290.4500000002</v>
      </c>
      <c r="J12" s="327">
        <f t="shared" si="2"/>
        <v>4199494.1000000006</v>
      </c>
      <c r="K12" s="327">
        <f t="shared" si="2"/>
        <v>4508431.3900000006</v>
      </c>
      <c r="L12" s="327">
        <f t="shared" si="2"/>
        <v>5228688.18</v>
      </c>
      <c r="M12" s="327">
        <f t="shared" si="2"/>
        <v>8203619.2199999997</v>
      </c>
      <c r="N12" s="327">
        <f t="shared" si="2"/>
        <v>59179547.890000001</v>
      </c>
    </row>
    <row r="13" spans="1:14" x14ac:dyDescent="0.2">
      <c r="A13" s="168" t="s">
        <v>209</v>
      </c>
      <c r="B13" s="221">
        <v>1935290.93</v>
      </c>
      <c r="C13" s="221">
        <v>2536675.73</v>
      </c>
      <c r="D13" s="221">
        <v>1700280.46</v>
      </c>
      <c r="E13" s="221">
        <v>1777514.38</v>
      </c>
      <c r="F13" s="221">
        <v>2136327.5099999998</v>
      </c>
      <c r="G13" s="221">
        <v>1847591.58</v>
      </c>
      <c r="H13" s="221">
        <v>2524514.7599999998</v>
      </c>
      <c r="I13" s="221">
        <v>2018430.1</v>
      </c>
      <c r="J13" s="221">
        <v>1585148.65</v>
      </c>
      <c r="K13" s="221">
        <v>1766384.57</v>
      </c>
      <c r="L13" s="221">
        <v>2294050.71</v>
      </c>
      <c r="M13" s="221">
        <v>3415142.5</v>
      </c>
      <c r="N13" s="221">
        <f>SUM(B13:M13)</f>
        <v>25537351.879999999</v>
      </c>
    </row>
    <row r="14" spans="1:14" x14ac:dyDescent="0.2">
      <c r="A14" s="168" t="s">
        <v>306</v>
      </c>
      <c r="B14" s="221"/>
      <c r="C14" s="221"/>
      <c r="D14" s="221"/>
      <c r="E14" s="221"/>
      <c r="F14" s="221"/>
      <c r="G14" s="221"/>
      <c r="H14" s="221"/>
      <c r="I14" s="221"/>
      <c r="J14" s="221"/>
      <c r="K14" s="221"/>
      <c r="L14" s="221"/>
      <c r="M14" s="221"/>
      <c r="N14" s="221"/>
    </row>
    <row r="15" spans="1:14" x14ac:dyDescent="0.2">
      <c r="A15" s="169" t="s">
        <v>210</v>
      </c>
      <c r="B15" s="221">
        <v>526366.56000000006</v>
      </c>
      <c r="C15" s="221">
        <v>674408.62</v>
      </c>
      <c r="D15" s="221">
        <v>775420.52</v>
      </c>
      <c r="E15" s="221">
        <v>569245.56999999995</v>
      </c>
      <c r="F15" s="221">
        <v>687723.84</v>
      </c>
      <c r="G15" s="221">
        <v>726548.84</v>
      </c>
      <c r="H15" s="221">
        <v>683527.6</v>
      </c>
      <c r="I15" s="221">
        <v>860018.68</v>
      </c>
      <c r="J15" s="221">
        <v>663551.87</v>
      </c>
      <c r="K15" s="221">
        <v>777078.31</v>
      </c>
      <c r="L15" s="221">
        <v>935856.81</v>
      </c>
      <c r="M15" s="221">
        <v>1048475.1</v>
      </c>
      <c r="N15" s="221">
        <f t="shared" ref="N15:N22" si="3">SUM(B15:M15)</f>
        <v>8928222.3200000003</v>
      </c>
    </row>
    <row r="16" spans="1:14" x14ac:dyDescent="0.2">
      <c r="A16" s="169" t="s">
        <v>211</v>
      </c>
      <c r="B16" s="221">
        <v>31306.98</v>
      </c>
      <c r="C16" s="221">
        <v>35183.42</v>
      </c>
      <c r="D16" s="221">
        <v>31327.72</v>
      </c>
      <c r="E16" s="221">
        <v>31754.639999999999</v>
      </c>
      <c r="F16" s="221">
        <v>52227.03</v>
      </c>
      <c r="G16" s="221">
        <v>45725.99</v>
      </c>
      <c r="H16" s="221">
        <v>52531.24</v>
      </c>
      <c r="I16" s="221">
        <v>49578.79</v>
      </c>
      <c r="J16" s="221">
        <v>66608.55</v>
      </c>
      <c r="K16" s="221">
        <v>37620.25</v>
      </c>
      <c r="L16" s="221">
        <v>38497.22</v>
      </c>
      <c r="M16" s="221">
        <v>32483.96</v>
      </c>
      <c r="N16" s="221">
        <f t="shared" si="3"/>
        <v>504845.79</v>
      </c>
    </row>
    <row r="17" spans="1:14" x14ac:dyDescent="0.2">
      <c r="A17" s="169" t="s">
        <v>212</v>
      </c>
      <c r="B17" s="221">
        <v>2250.4699999999998</v>
      </c>
      <c r="C17" s="221">
        <v>1030.79</v>
      </c>
      <c r="D17" s="221">
        <v>385.33</v>
      </c>
      <c r="E17" s="221">
        <v>305.33999999999997</v>
      </c>
      <c r="F17" s="221">
        <v>242.16</v>
      </c>
      <c r="G17" s="221">
        <v>422.56</v>
      </c>
      <c r="H17" s="221">
        <v>1292.6500000000001</v>
      </c>
      <c r="I17" s="221">
        <v>1082.94</v>
      </c>
      <c r="J17" s="221">
        <v>8661.91</v>
      </c>
      <c r="K17" s="221">
        <v>38621.81</v>
      </c>
      <c r="L17" s="221">
        <v>3805.59</v>
      </c>
      <c r="M17" s="221">
        <v>3471.21</v>
      </c>
      <c r="N17" s="221">
        <f t="shared" si="3"/>
        <v>61572.76</v>
      </c>
    </row>
    <row r="18" spans="1:14" x14ac:dyDescent="0.2">
      <c r="A18" s="169" t="s">
        <v>228</v>
      </c>
      <c r="B18" s="328">
        <v>0</v>
      </c>
      <c r="C18" s="221">
        <v>0</v>
      </c>
      <c r="D18" s="221"/>
      <c r="E18" s="221">
        <v>0</v>
      </c>
      <c r="F18" s="221">
        <v>3855.32</v>
      </c>
      <c r="G18" s="221">
        <v>3855.32</v>
      </c>
      <c r="H18" s="221">
        <v>0</v>
      </c>
      <c r="I18" s="221"/>
      <c r="J18" s="221"/>
      <c r="K18" s="221"/>
      <c r="L18" s="221"/>
      <c r="M18" s="221"/>
      <c r="N18" s="221">
        <f t="shared" si="3"/>
        <v>7710.64</v>
      </c>
    </row>
    <row r="19" spans="1:14" x14ac:dyDescent="0.2">
      <c r="A19" s="169" t="s">
        <v>227</v>
      </c>
      <c r="B19" s="221">
        <v>5810.28</v>
      </c>
      <c r="C19" s="221">
        <v>4752.8100000000004</v>
      </c>
      <c r="D19" s="221">
        <v>5643.61</v>
      </c>
      <c r="E19" s="221">
        <v>5660.28</v>
      </c>
      <c r="F19" s="221">
        <v>5470.98</v>
      </c>
      <c r="G19" s="221">
        <v>5018.6099999999997</v>
      </c>
      <c r="H19" s="221">
        <v>5796.51</v>
      </c>
      <c r="I19" s="221">
        <v>4874.3599999999997</v>
      </c>
      <c r="J19" s="221">
        <v>5799.72</v>
      </c>
      <c r="K19" s="221">
        <v>5969.74</v>
      </c>
      <c r="L19" s="221">
        <v>5718.92</v>
      </c>
      <c r="M19" s="221">
        <v>5846.76</v>
      </c>
      <c r="N19" s="221">
        <f t="shared" si="3"/>
        <v>66362.58</v>
      </c>
    </row>
    <row r="20" spans="1:14" x14ac:dyDescent="0.2">
      <c r="A20" s="168" t="s">
        <v>6</v>
      </c>
      <c r="B20" s="221">
        <v>1374354.52</v>
      </c>
      <c r="C20" s="221">
        <v>1377140.47</v>
      </c>
      <c r="D20" s="221">
        <v>1184291.24</v>
      </c>
      <c r="E20" s="221">
        <v>1222972.3400000001</v>
      </c>
      <c r="F20" s="221">
        <v>1051413.6499999999</v>
      </c>
      <c r="G20" s="221">
        <v>1191430.79</v>
      </c>
      <c r="H20" s="221">
        <v>1108859.18</v>
      </c>
      <c r="I20" s="221">
        <v>1185441.31</v>
      </c>
      <c r="J20" s="221">
        <v>1413888.23</v>
      </c>
      <c r="K20" s="221">
        <v>1380229.43</v>
      </c>
      <c r="L20" s="221">
        <v>1480823.01</v>
      </c>
      <c r="M20" s="221">
        <v>1865030.03</v>
      </c>
      <c r="N20" s="221">
        <f t="shared" si="3"/>
        <v>15835874.200000001</v>
      </c>
    </row>
    <row r="21" spans="1:14" x14ac:dyDescent="0.2">
      <c r="A21" s="168" t="s">
        <v>213</v>
      </c>
      <c r="B21" s="221">
        <v>397034.2</v>
      </c>
      <c r="C21" s="221">
        <v>499372.22</v>
      </c>
      <c r="D21" s="221">
        <v>576838.07999999996</v>
      </c>
      <c r="E21" s="221">
        <v>384996.57</v>
      </c>
      <c r="F21" s="221">
        <v>668581.81000000006</v>
      </c>
      <c r="G21" s="221">
        <v>518217.69</v>
      </c>
      <c r="H21" s="221">
        <v>663255.79</v>
      </c>
      <c r="I21" s="221">
        <v>1254864.27</v>
      </c>
      <c r="J21" s="221">
        <v>455835.17</v>
      </c>
      <c r="K21" s="221">
        <v>502527.28</v>
      </c>
      <c r="L21" s="221">
        <v>469935.92</v>
      </c>
      <c r="M21" s="221">
        <v>1833169.66</v>
      </c>
      <c r="N21" s="221">
        <f t="shared" si="3"/>
        <v>8224628.6600000001</v>
      </c>
    </row>
    <row r="22" spans="1:14" x14ac:dyDescent="0.2">
      <c r="A22" s="168" t="s">
        <v>101</v>
      </c>
      <c r="B22" s="221">
        <v>0</v>
      </c>
      <c r="C22" s="221">
        <v>5989.53</v>
      </c>
      <c r="D22" s="221">
        <v>5989.53</v>
      </c>
      <c r="E22" s="221">
        <v>0</v>
      </c>
      <c r="F22" s="221"/>
      <c r="G22" s="221"/>
      <c r="H22" s="221">
        <v>1000</v>
      </c>
      <c r="I22" s="221"/>
      <c r="J22" s="221"/>
      <c r="K22" s="221"/>
      <c r="L22" s="221"/>
      <c r="M22" s="221"/>
      <c r="N22" s="221">
        <f t="shared" si="3"/>
        <v>12979.06</v>
      </c>
    </row>
    <row r="23" spans="1:14" x14ac:dyDescent="0.2">
      <c r="A23" s="170" t="s">
        <v>214</v>
      </c>
      <c r="B23" s="329">
        <v>499042.89</v>
      </c>
      <c r="C23" s="329">
        <v>649459.57999999996</v>
      </c>
      <c r="D23" s="329">
        <v>501482.66</v>
      </c>
      <c r="E23" s="329">
        <v>475763.88</v>
      </c>
      <c r="F23" s="329">
        <v>575303.97</v>
      </c>
      <c r="G23" s="329">
        <v>524057.66</v>
      </c>
      <c r="H23" s="329">
        <v>469700.54</v>
      </c>
      <c r="I23" s="329">
        <v>585821.96</v>
      </c>
      <c r="J23" s="329">
        <v>464794.06</v>
      </c>
      <c r="K23" s="329">
        <v>523940.89</v>
      </c>
      <c r="L23" s="329">
        <v>654441.94999999995</v>
      </c>
      <c r="M23" s="329">
        <v>693118.64</v>
      </c>
      <c r="N23" s="329">
        <f>SUM(B23:M23)</f>
        <v>6616928.6799999988</v>
      </c>
    </row>
    <row r="25" spans="1:14" s="331" customFormat="1" ht="15" x14ac:dyDescent="0.25">
      <c r="A25" s="330" t="s">
        <v>215</v>
      </c>
      <c r="B25" s="330">
        <f>B3+B10+B12-B23</f>
        <v>3819219.5500000003</v>
      </c>
      <c r="C25" s="330">
        <f t="shared" ref="C25:M25" si="4">C3+C10+C12-C23</f>
        <v>4656022.76</v>
      </c>
      <c r="D25" s="330">
        <f t="shared" si="4"/>
        <v>3859246.91</v>
      </c>
      <c r="E25" s="330">
        <f t="shared" si="4"/>
        <v>3607438.63</v>
      </c>
      <c r="F25" s="330">
        <f>F3+F10+F12-F23</f>
        <v>4094177.7899999991</v>
      </c>
      <c r="G25" s="330">
        <f t="shared" si="4"/>
        <v>4405932.97</v>
      </c>
      <c r="H25" s="330">
        <f t="shared" si="4"/>
        <v>4711818.209999999</v>
      </c>
      <c r="I25" s="330">
        <f>I3+I10+I12-I23</f>
        <v>4928506.55</v>
      </c>
      <c r="J25" s="330">
        <f t="shared" si="4"/>
        <v>3887933.5800000005</v>
      </c>
      <c r="K25" s="330">
        <f t="shared" si="4"/>
        <v>4146905.3300000005</v>
      </c>
      <c r="L25" s="330">
        <f t="shared" si="4"/>
        <v>5474357.2699999996</v>
      </c>
      <c r="M25" s="330">
        <f t="shared" si="4"/>
        <v>7942238.71</v>
      </c>
      <c r="N25" s="330">
        <f>N3+N10+N12-N23</f>
        <v>55533798.259999998</v>
      </c>
    </row>
    <row r="27" spans="1:14" ht="15.75" x14ac:dyDescent="0.25">
      <c r="A27" s="172" t="s">
        <v>216</v>
      </c>
      <c r="B27" s="172"/>
      <c r="C27" s="173"/>
      <c r="D27" s="172"/>
      <c r="E27" s="172"/>
      <c r="F27" s="172"/>
      <c r="G27" s="172"/>
      <c r="H27" s="172"/>
      <c r="I27" s="172"/>
      <c r="J27" s="172"/>
      <c r="K27" s="172"/>
      <c r="L27" s="172"/>
      <c r="M27" s="172"/>
      <c r="N27" s="172"/>
    </row>
    <row r="29" spans="1:14" s="223" customFormat="1" x14ac:dyDescent="0.2">
      <c r="A29" s="218" t="s">
        <v>7</v>
      </c>
      <c r="B29" s="220">
        <f t="shared" ref="B29:I29" si="5">B30+B33+B36</f>
        <v>1374381.21</v>
      </c>
      <c r="C29" s="220">
        <f t="shared" si="5"/>
        <v>1377213.16</v>
      </c>
      <c r="D29" s="220">
        <f t="shared" si="5"/>
        <v>1184543.78</v>
      </c>
      <c r="E29" s="220">
        <f t="shared" si="5"/>
        <v>1223174.45</v>
      </c>
      <c r="F29" s="220">
        <f t="shared" si="5"/>
        <v>1052239.3500000001</v>
      </c>
      <c r="G29" s="220">
        <f t="shared" si="5"/>
        <v>1192035.2</v>
      </c>
      <c r="H29" s="220">
        <f t="shared" si="5"/>
        <v>1110393.8</v>
      </c>
      <c r="I29" s="220">
        <f t="shared" si="5"/>
        <v>1187446.17</v>
      </c>
      <c r="J29" s="220">
        <f>J30+J33+J36</f>
        <v>1415451.06</v>
      </c>
      <c r="K29" s="220">
        <f>K30+K33+K36</f>
        <v>1383025.68</v>
      </c>
      <c r="L29" s="220">
        <f>L30+L33+L36</f>
        <v>1484138.87</v>
      </c>
      <c r="M29" s="220">
        <f>M30+M33+M36</f>
        <v>1867461.43</v>
      </c>
      <c r="N29" s="222">
        <f>SUM(B29:M29)</f>
        <v>15851504.16</v>
      </c>
    </row>
    <row r="30" spans="1:14" s="223" customFormat="1" x14ac:dyDescent="0.2">
      <c r="A30" s="218" t="s">
        <v>233</v>
      </c>
      <c r="B30" s="220">
        <f t="shared" ref="B30:D30" si="6">B31+B32</f>
        <v>831721.69</v>
      </c>
      <c r="C30" s="220">
        <f t="shared" si="6"/>
        <v>1075563.24</v>
      </c>
      <c r="D30" s="220">
        <f t="shared" si="6"/>
        <v>980273.4</v>
      </c>
      <c r="E30" s="220">
        <f t="shared" ref="E30:M30" si="7">E31+E32</f>
        <v>821466.79999999993</v>
      </c>
      <c r="F30" s="220">
        <f t="shared" si="7"/>
        <v>815362.38</v>
      </c>
      <c r="G30" s="220">
        <f t="shared" si="7"/>
        <v>945446.91</v>
      </c>
      <c r="H30" s="220">
        <f t="shared" si="7"/>
        <v>869319.42</v>
      </c>
      <c r="I30" s="220">
        <f t="shared" si="7"/>
        <v>964275.69</v>
      </c>
      <c r="J30" s="220">
        <f t="shared" si="7"/>
        <v>954781.73</v>
      </c>
      <c r="K30" s="220">
        <f t="shared" si="7"/>
        <v>964246.77</v>
      </c>
      <c r="L30" s="220">
        <f t="shared" si="7"/>
        <v>1065359.9600000002</v>
      </c>
      <c r="M30" s="220">
        <f t="shared" si="7"/>
        <v>1373443.44</v>
      </c>
      <c r="N30" s="222">
        <f t="shared" ref="N30:N34" si="8">SUM(B30:M30)</f>
        <v>11661261.43</v>
      </c>
    </row>
    <row r="31" spans="1:14" x14ac:dyDescent="0.2">
      <c r="A31" s="219" t="s">
        <v>229</v>
      </c>
      <c r="B31" s="221">
        <v>831695</v>
      </c>
      <c r="C31" s="221">
        <v>1075490.55</v>
      </c>
      <c r="D31" s="221">
        <v>980020.86</v>
      </c>
      <c r="E31" s="221">
        <v>821264.69</v>
      </c>
      <c r="F31" s="221">
        <v>814536.68</v>
      </c>
      <c r="G31" s="221">
        <v>944842.5</v>
      </c>
      <c r="H31" s="221">
        <v>867784.8</v>
      </c>
      <c r="I31" s="221">
        <v>962270.83</v>
      </c>
      <c r="J31" s="221">
        <v>953218.9</v>
      </c>
      <c r="K31" s="221">
        <v>961450.52</v>
      </c>
      <c r="L31" s="221">
        <v>1062044.1000000001</v>
      </c>
      <c r="M31" s="328">
        <v>1371012.04</v>
      </c>
      <c r="N31" s="221">
        <f t="shared" si="8"/>
        <v>11645631.469999999</v>
      </c>
    </row>
    <row r="32" spans="1:14" x14ac:dyDescent="0.2">
      <c r="A32" s="219" t="s">
        <v>230</v>
      </c>
      <c r="B32" s="221">
        <v>26.69</v>
      </c>
      <c r="C32" s="221">
        <v>72.69</v>
      </c>
      <c r="D32" s="221">
        <v>252.54</v>
      </c>
      <c r="E32" s="221">
        <v>202.11</v>
      </c>
      <c r="F32" s="221">
        <v>825.7</v>
      </c>
      <c r="G32" s="221">
        <v>604.41</v>
      </c>
      <c r="H32" s="221">
        <v>1534.62</v>
      </c>
      <c r="I32" s="221">
        <v>2004.86</v>
      </c>
      <c r="J32" s="221">
        <v>1562.83</v>
      </c>
      <c r="K32" s="221">
        <v>2796.25</v>
      </c>
      <c r="L32" s="221">
        <v>3315.86</v>
      </c>
      <c r="M32" s="328">
        <v>2431.4</v>
      </c>
      <c r="N32" s="221">
        <f t="shared" si="8"/>
        <v>15629.960000000001</v>
      </c>
    </row>
    <row r="33" spans="1:19" s="223" customFormat="1" ht="15.75" customHeight="1" x14ac:dyDescent="0.2">
      <c r="A33" s="218" t="s">
        <v>231</v>
      </c>
      <c r="B33" s="220">
        <f>B34+B35</f>
        <v>542659.52</v>
      </c>
      <c r="C33" s="220">
        <f t="shared" ref="C33:D33" si="9">C34+C35</f>
        <v>301649.91999999998</v>
      </c>
      <c r="D33" s="220">
        <f t="shared" si="9"/>
        <v>204270.38</v>
      </c>
      <c r="E33" s="220">
        <f t="shared" ref="E33:M33" si="10">E34+E35</f>
        <v>401707.65</v>
      </c>
      <c r="F33" s="220">
        <f t="shared" si="10"/>
        <v>236876.97</v>
      </c>
      <c r="G33" s="220">
        <f t="shared" si="10"/>
        <v>246588.29</v>
      </c>
      <c r="H33" s="220">
        <f t="shared" si="10"/>
        <v>241074.38</v>
      </c>
      <c r="I33" s="220">
        <f t="shared" si="10"/>
        <v>223170.48</v>
      </c>
      <c r="J33" s="220">
        <f t="shared" si="10"/>
        <v>377221.64</v>
      </c>
      <c r="K33" s="220">
        <f t="shared" si="10"/>
        <v>335331.21999999997</v>
      </c>
      <c r="L33" s="220">
        <f t="shared" si="10"/>
        <v>335331.21999999997</v>
      </c>
      <c r="M33" s="220">
        <f t="shared" si="10"/>
        <v>389532.82</v>
      </c>
      <c r="N33" s="222">
        <f t="shared" si="8"/>
        <v>3835414.4899999998</v>
      </c>
    </row>
    <row r="34" spans="1:19" x14ac:dyDescent="0.2">
      <c r="A34" s="219" t="s">
        <v>229</v>
      </c>
      <c r="B34" s="221">
        <v>542659.52</v>
      </c>
      <c r="C34" s="221">
        <v>301649.91999999998</v>
      </c>
      <c r="D34" s="221">
        <v>204270.38</v>
      </c>
      <c r="E34" s="221">
        <v>401707.65</v>
      </c>
      <c r="F34" s="221">
        <v>236876.97</v>
      </c>
      <c r="G34" s="221">
        <v>246588.29</v>
      </c>
      <c r="H34" s="221">
        <v>241074.38</v>
      </c>
      <c r="I34" s="221">
        <v>223170.48</v>
      </c>
      <c r="J34" s="221">
        <v>377221.64</v>
      </c>
      <c r="K34" s="221">
        <v>335331.21999999997</v>
      </c>
      <c r="L34" s="221">
        <v>335331.21999999997</v>
      </c>
      <c r="M34" s="328">
        <v>389532.82</v>
      </c>
      <c r="N34" s="221">
        <f t="shared" si="8"/>
        <v>3835414.4899999998</v>
      </c>
    </row>
    <row r="35" spans="1:19" x14ac:dyDescent="0.2">
      <c r="A35" s="219" t="s">
        <v>230</v>
      </c>
      <c r="B35" s="221">
        <v>0</v>
      </c>
      <c r="C35" s="221">
        <v>0</v>
      </c>
      <c r="D35" s="221">
        <v>0</v>
      </c>
      <c r="E35" s="221">
        <v>0</v>
      </c>
      <c r="F35" s="221"/>
      <c r="G35" s="221"/>
      <c r="H35" s="221"/>
      <c r="I35" s="221"/>
      <c r="J35" s="221"/>
      <c r="K35" s="221"/>
      <c r="L35" s="221"/>
      <c r="M35" s="221"/>
      <c r="N35" s="221">
        <f t="shared" ref="N35:N38" si="11">SUM(B35:M35)</f>
        <v>0</v>
      </c>
    </row>
    <row r="36" spans="1:19" s="223" customFormat="1" ht="16.5" customHeight="1" x14ac:dyDescent="0.2">
      <c r="A36" s="218" t="s">
        <v>232</v>
      </c>
      <c r="B36" s="220">
        <f>B37+B38</f>
        <v>0</v>
      </c>
      <c r="C36" s="220">
        <f t="shared" ref="C36:D36" si="12">C37+C38</f>
        <v>0</v>
      </c>
      <c r="D36" s="220">
        <f t="shared" si="12"/>
        <v>0</v>
      </c>
      <c r="E36" s="220">
        <f t="shared" ref="E36:M36" si="13">E37+E38</f>
        <v>0</v>
      </c>
      <c r="F36" s="220">
        <f t="shared" si="13"/>
        <v>0</v>
      </c>
      <c r="G36" s="220">
        <f t="shared" si="13"/>
        <v>0</v>
      </c>
      <c r="H36" s="220">
        <f t="shared" si="13"/>
        <v>0</v>
      </c>
      <c r="I36" s="220">
        <f t="shared" si="13"/>
        <v>0</v>
      </c>
      <c r="J36" s="220">
        <f t="shared" si="13"/>
        <v>83447.69</v>
      </c>
      <c r="K36" s="220">
        <f t="shared" si="13"/>
        <v>83447.69</v>
      </c>
      <c r="L36" s="220">
        <f t="shared" si="13"/>
        <v>83447.69</v>
      </c>
      <c r="M36" s="220">
        <f t="shared" si="13"/>
        <v>104485.17</v>
      </c>
      <c r="N36" s="222">
        <f>SUM(B36:M36)</f>
        <v>354828.24</v>
      </c>
    </row>
    <row r="37" spans="1:19" x14ac:dyDescent="0.2">
      <c r="A37" s="219" t="s">
        <v>229</v>
      </c>
      <c r="B37" s="221">
        <v>0</v>
      </c>
      <c r="C37" s="221">
        <v>0</v>
      </c>
      <c r="D37" s="221">
        <v>0</v>
      </c>
      <c r="E37" s="221">
        <v>0</v>
      </c>
      <c r="F37" s="221">
        <v>0</v>
      </c>
      <c r="G37" s="221">
        <v>0</v>
      </c>
      <c r="H37" s="221">
        <v>0</v>
      </c>
      <c r="I37" s="221">
        <v>0</v>
      </c>
      <c r="J37" s="221">
        <v>83447.69</v>
      </c>
      <c r="K37" s="221">
        <v>83447.69</v>
      </c>
      <c r="L37" s="221">
        <v>83447.69</v>
      </c>
      <c r="M37" s="328">
        <v>104485.17</v>
      </c>
      <c r="N37" s="221">
        <f>SUM(B37:M37)</f>
        <v>354828.24</v>
      </c>
    </row>
    <row r="38" spans="1:19" x14ac:dyDescent="0.2">
      <c r="A38" s="219" t="s">
        <v>230</v>
      </c>
      <c r="B38" s="221">
        <v>0</v>
      </c>
      <c r="C38" s="221">
        <v>0</v>
      </c>
      <c r="D38" s="221">
        <v>0</v>
      </c>
      <c r="E38" s="221">
        <v>0</v>
      </c>
      <c r="F38" s="221"/>
      <c r="G38" s="221"/>
      <c r="H38" s="221"/>
      <c r="I38" s="221"/>
      <c r="J38" s="221"/>
      <c r="K38" s="221"/>
      <c r="L38" s="221"/>
      <c r="M38" s="221"/>
      <c r="N38" s="221">
        <f t="shared" si="11"/>
        <v>0</v>
      </c>
    </row>
    <row r="40" spans="1:19" ht="13.5" thickBot="1" x14ac:dyDescent="0.25">
      <c r="J40" s="216"/>
      <c r="K40" s="216"/>
      <c r="L40" s="216"/>
    </row>
    <row r="41" spans="1:19" ht="36.75" thickBot="1" x14ac:dyDescent="0.25">
      <c r="A41" s="463" t="s">
        <v>15</v>
      </c>
      <c r="B41" s="464"/>
      <c r="C41" s="464"/>
      <c r="D41" s="464"/>
      <c r="E41" s="464"/>
      <c r="F41" s="464"/>
      <c r="G41" s="464"/>
      <c r="H41" s="464"/>
      <c r="I41" s="464"/>
      <c r="J41" s="464"/>
      <c r="K41" s="464"/>
      <c r="L41" s="464"/>
      <c r="M41" s="464"/>
      <c r="N41" s="464"/>
      <c r="O41" s="464"/>
      <c r="P41" s="465"/>
      <c r="R41" s="238" t="s">
        <v>240</v>
      </c>
      <c r="S41" s="239" t="s">
        <v>242</v>
      </c>
    </row>
    <row r="42" spans="1:19" ht="15.75" x14ac:dyDescent="0.2">
      <c r="A42" s="466" t="s">
        <v>168</v>
      </c>
      <c r="B42" s="468" t="s">
        <v>9</v>
      </c>
      <c r="C42" s="470" t="s">
        <v>10</v>
      </c>
      <c r="D42" s="471"/>
      <c r="E42" s="471"/>
      <c r="F42" s="471"/>
      <c r="G42" s="471"/>
      <c r="H42" s="471"/>
      <c r="I42" s="471"/>
      <c r="J42" s="471"/>
      <c r="K42" s="471"/>
      <c r="L42" s="471"/>
      <c r="M42" s="471"/>
      <c r="N42" s="471"/>
      <c r="O42" s="471"/>
      <c r="P42" s="472"/>
      <c r="R42" s="145" t="str">
        <f>A44</f>
        <v>1. RECEITA DE IMPOSTOS</v>
      </c>
      <c r="S42" s="121">
        <f>O44</f>
        <v>2242959.33</v>
      </c>
    </row>
    <row r="43" spans="1:19" ht="16.5" thickBot="1" x14ac:dyDescent="0.25">
      <c r="A43" s="467"/>
      <c r="B43" s="469"/>
      <c r="C43" s="435" t="s">
        <v>104</v>
      </c>
      <c r="D43" s="435" t="s">
        <v>105</v>
      </c>
      <c r="E43" s="435" t="s">
        <v>106</v>
      </c>
      <c r="F43" s="435" t="s">
        <v>107</v>
      </c>
      <c r="G43" s="435" t="s">
        <v>108</v>
      </c>
      <c r="H43" s="435" t="s">
        <v>109</v>
      </c>
      <c r="I43" s="435" t="s">
        <v>110</v>
      </c>
      <c r="J43" s="435" t="s">
        <v>111</v>
      </c>
      <c r="K43" s="435" t="s">
        <v>112</v>
      </c>
      <c r="L43" s="435" t="s">
        <v>113</v>
      </c>
      <c r="M43" s="435" t="s">
        <v>114</v>
      </c>
      <c r="N43" s="435" t="s">
        <v>115</v>
      </c>
      <c r="O43" s="435" t="s">
        <v>184</v>
      </c>
      <c r="P43" s="79" t="s">
        <v>11</v>
      </c>
      <c r="R43" s="246" t="str">
        <f>A50</f>
        <v>2- RECEITA DE TRANSFERÊNCIAS CONSTITUCIONAIS E LEGAIS</v>
      </c>
      <c r="S43" s="247">
        <f>O50</f>
        <v>35106065.969999999</v>
      </c>
    </row>
    <row r="44" spans="1:19" ht="15.75" x14ac:dyDescent="0.25">
      <c r="A44" s="113" t="s">
        <v>17</v>
      </c>
      <c r="B44" s="127">
        <f t="shared" ref="B44:H44" si="14">SUM(B45:B48)</f>
        <v>1844300</v>
      </c>
      <c r="C44" s="127">
        <f t="shared" si="14"/>
        <v>42991.57</v>
      </c>
      <c r="D44" s="127">
        <f t="shared" si="14"/>
        <v>154909.76999999996</v>
      </c>
      <c r="E44" s="127">
        <f t="shared" si="14"/>
        <v>50370.47</v>
      </c>
      <c r="F44" s="127">
        <f t="shared" si="14"/>
        <v>60464.160000000003</v>
      </c>
      <c r="G44" s="127">
        <f t="shared" si="14"/>
        <v>44711.55</v>
      </c>
      <c r="H44" s="127">
        <f t="shared" si="14"/>
        <v>490520.85</v>
      </c>
      <c r="I44" s="127">
        <f>SUM(I45:I48)</f>
        <v>69493.919999999998</v>
      </c>
      <c r="J44" s="127">
        <f>SUM(J45:J48)</f>
        <v>68938.16</v>
      </c>
      <c r="K44" s="127">
        <f t="shared" ref="K44:N44" si="15">SUM(K45:K48)</f>
        <v>49137.45</v>
      </c>
      <c r="L44" s="127">
        <f t="shared" si="15"/>
        <v>55939.729999999996</v>
      </c>
      <c r="M44" s="127">
        <f t="shared" si="15"/>
        <v>815904.02</v>
      </c>
      <c r="N44" s="127">
        <f t="shared" si="15"/>
        <v>339577.68</v>
      </c>
      <c r="O44" s="127">
        <f>SUM(C44:N44)</f>
        <v>2242959.33</v>
      </c>
      <c r="P44" s="118"/>
      <c r="R44" s="246" t="str">
        <f>A60</f>
        <v>3- TOTAL DA RECEITA DE IMPOSTOS (1 + 2)</v>
      </c>
      <c r="S44" s="247">
        <f>O60</f>
        <v>37349025.299999997</v>
      </c>
    </row>
    <row r="45" spans="1:19" ht="15.75" x14ac:dyDescent="0.25">
      <c r="A45" s="114" t="s">
        <v>169</v>
      </c>
      <c r="B45" s="122">
        <v>174400</v>
      </c>
      <c r="C45" s="122">
        <v>6509</v>
      </c>
      <c r="D45" s="122">
        <v>17112.64</v>
      </c>
      <c r="E45" s="122">
        <v>9046.89</v>
      </c>
      <c r="F45" s="124">
        <f t="shared" ref="F45:M45" si="16">E4</f>
        <v>6658.91</v>
      </c>
      <c r="G45" s="124">
        <f t="shared" si="16"/>
        <v>8118.39</v>
      </c>
      <c r="H45" s="124">
        <f t="shared" si="16"/>
        <v>8402.33</v>
      </c>
      <c r="I45" s="124">
        <f t="shared" si="16"/>
        <v>11054.76</v>
      </c>
      <c r="J45" s="124">
        <f t="shared" si="16"/>
        <v>16577.240000000002</v>
      </c>
      <c r="K45" s="124">
        <f t="shared" si="16"/>
        <v>11343.8</v>
      </c>
      <c r="L45" s="124">
        <f t="shared" si="16"/>
        <v>17936.61</v>
      </c>
      <c r="M45" s="124">
        <f t="shared" si="16"/>
        <v>19723.02</v>
      </c>
      <c r="N45" s="124">
        <v>34320.870000000003</v>
      </c>
      <c r="O45" s="127">
        <f>SUM(C45:N45)</f>
        <v>166804.46</v>
      </c>
      <c r="P45" s="118"/>
      <c r="R45" s="244" t="s">
        <v>243</v>
      </c>
      <c r="S45" s="250">
        <f>S44/4</f>
        <v>9337256.3249999993</v>
      </c>
    </row>
    <row r="46" spans="1:19" ht="15.75" x14ac:dyDescent="0.25">
      <c r="A46" s="114" t="s">
        <v>170</v>
      </c>
      <c r="B46" s="126">
        <v>226200</v>
      </c>
      <c r="C46" s="122">
        <v>3320.36</v>
      </c>
      <c r="D46" s="122">
        <v>56137.599999999999</v>
      </c>
      <c r="E46" s="122">
        <v>16198.22</v>
      </c>
      <c r="F46" s="136">
        <f>E6</f>
        <v>26647.61</v>
      </c>
      <c r="G46" s="124">
        <f t="shared" ref="G46:M48" si="17">F5</f>
        <v>13004.62</v>
      </c>
      <c r="H46" s="124">
        <f t="shared" si="17"/>
        <v>20127.169999999998</v>
      </c>
      <c r="I46" s="124">
        <f t="shared" si="17"/>
        <v>14422.75</v>
      </c>
      <c r="J46" s="124">
        <f t="shared" si="17"/>
        <v>22188.880000000001</v>
      </c>
      <c r="K46" s="124">
        <f t="shared" si="17"/>
        <v>19364.32</v>
      </c>
      <c r="L46" s="124">
        <f t="shared" si="17"/>
        <v>21053.56</v>
      </c>
      <c r="M46" s="124">
        <f t="shared" si="17"/>
        <v>24582.11</v>
      </c>
      <c r="N46" s="124">
        <v>18201.22</v>
      </c>
      <c r="O46" s="127">
        <f>SUM(C46:N46)</f>
        <v>255248.42</v>
      </c>
      <c r="P46" s="118"/>
      <c r="R46" s="246" t="str">
        <f>A62</f>
        <v>4- TOTAL DESTINADO AO FUNDEB - 20% DE ((2.1) + (2.2) + (2.3) + (2.4) + (2.5))</v>
      </c>
      <c r="S46" s="247">
        <f>O62</f>
        <v>6616928.6799999988</v>
      </c>
    </row>
    <row r="47" spans="1:19" ht="15.75" x14ac:dyDescent="0.25">
      <c r="A47" s="114" t="s">
        <v>171</v>
      </c>
      <c r="B47" s="126">
        <v>813700</v>
      </c>
      <c r="C47" s="122">
        <v>33162.21</v>
      </c>
      <c r="D47" s="122">
        <v>63232.67</v>
      </c>
      <c r="E47" s="122">
        <v>16511.900000000001</v>
      </c>
      <c r="F47" s="125">
        <f>E5</f>
        <v>18544.18</v>
      </c>
      <c r="G47" s="124">
        <f t="shared" si="17"/>
        <v>14975.08</v>
      </c>
      <c r="H47" s="124">
        <f t="shared" si="17"/>
        <v>461991.35</v>
      </c>
      <c r="I47" s="124">
        <f t="shared" si="17"/>
        <v>35394.36</v>
      </c>
      <c r="J47" s="124">
        <f t="shared" si="17"/>
        <v>21192.639999999999</v>
      </c>
      <c r="K47" s="124">
        <f t="shared" si="17"/>
        <v>9807.2800000000007</v>
      </c>
      <c r="L47" s="124">
        <f t="shared" si="17"/>
        <v>7069.95</v>
      </c>
      <c r="M47" s="124">
        <f t="shared" si="17"/>
        <v>18201.22</v>
      </c>
      <c r="N47" s="124">
        <v>39795.96</v>
      </c>
      <c r="O47" s="127">
        <f>SUM(C47:N47)</f>
        <v>739878.79999999981</v>
      </c>
      <c r="P47" s="134"/>
      <c r="R47" s="240" t="str">
        <f>A64</f>
        <v>5- VALOR MÍNIMO A SER APLICADO ALÉM DO VALOR DESTINADO AO FUNDEB - 5% DE ((2.2) + (2.3) + (2.4) + (2.5)) + 25% DE ((1.1) + (1.2) + (1.3) + (1.4) + (2.1.1) + (2.6)+ (2.7))</v>
      </c>
      <c r="S47" s="241">
        <f>S45-S46</f>
        <v>2720327.6450000005</v>
      </c>
    </row>
    <row r="48" spans="1:19" ht="15.75" x14ac:dyDescent="0.25">
      <c r="A48" s="114" t="s">
        <v>172</v>
      </c>
      <c r="B48" s="126">
        <v>630000</v>
      </c>
      <c r="C48" s="122">
        <v>0</v>
      </c>
      <c r="D48" s="122">
        <v>18426.86</v>
      </c>
      <c r="E48" s="122">
        <v>8613.4599999999991</v>
      </c>
      <c r="F48" s="125">
        <f>E7</f>
        <v>8613.4599999999991</v>
      </c>
      <c r="G48" s="124">
        <f t="shared" si="17"/>
        <v>8613.4599999999991</v>
      </c>
      <c r="H48" s="124">
        <f t="shared" si="17"/>
        <v>0</v>
      </c>
      <c r="I48" s="124">
        <f t="shared" si="17"/>
        <v>8622.0499999999993</v>
      </c>
      <c r="J48" s="124">
        <f t="shared" si="17"/>
        <v>8979.4</v>
      </c>
      <c r="K48" s="124">
        <f t="shared" si="17"/>
        <v>8622.0499999999993</v>
      </c>
      <c r="L48" s="124">
        <f t="shared" si="17"/>
        <v>9879.61</v>
      </c>
      <c r="M48" s="124">
        <f t="shared" si="17"/>
        <v>753397.67</v>
      </c>
      <c r="N48" s="124">
        <v>247259.63</v>
      </c>
      <c r="O48" s="127">
        <f>SUM(C48:N48)</f>
        <v>1081027.6499999999</v>
      </c>
      <c r="P48" s="134"/>
      <c r="R48" s="77"/>
      <c r="S48" s="77"/>
    </row>
    <row r="49" spans="1:19" ht="15.75" x14ac:dyDescent="0.25">
      <c r="A49" s="143"/>
      <c r="B49" s="101"/>
      <c r="C49" s="81"/>
      <c r="D49" s="81"/>
      <c r="E49" s="81"/>
      <c r="F49" s="81"/>
      <c r="G49" s="101"/>
      <c r="H49" s="101"/>
      <c r="I49" s="101"/>
      <c r="J49" s="101"/>
      <c r="K49" s="101"/>
      <c r="L49" s="101"/>
      <c r="M49" s="101"/>
      <c r="N49" s="101"/>
      <c r="O49" s="140"/>
      <c r="P49" s="135"/>
      <c r="R49" s="246" t="str">
        <f>A67</f>
        <v>6- RECEITAS RECEBIDAS DO FUNDEB</v>
      </c>
      <c r="S49" s="248">
        <f>O67</f>
        <v>15851504.16</v>
      </c>
    </row>
    <row r="50" spans="1:19" ht="15.75" x14ac:dyDescent="0.25">
      <c r="A50" s="113" t="s">
        <v>173</v>
      </c>
      <c r="B50" s="120">
        <f>SUM(B51:B58)</f>
        <v>33206900</v>
      </c>
      <c r="C50" s="130">
        <f>SUM(C51:C58)</f>
        <v>2501025.2200000002</v>
      </c>
      <c r="D50" s="120">
        <f>SUM(D51:D58)</f>
        <v>3252051.37</v>
      </c>
      <c r="E50" s="120">
        <f t="shared" ref="E50:N50" si="18">SUM(E51:E58)</f>
        <v>2513057.64</v>
      </c>
      <c r="F50" s="120">
        <f t="shared" si="18"/>
        <v>2384480.2099999995</v>
      </c>
      <c r="G50" s="120">
        <f t="shared" si="18"/>
        <v>2885846.8399999994</v>
      </c>
      <c r="H50" s="120">
        <f t="shared" si="18"/>
        <v>2629162.9</v>
      </c>
      <c r="I50" s="120">
        <f t="shared" si="18"/>
        <v>3267662.76</v>
      </c>
      <c r="J50" s="120">
        <f t="shared" si="18"/>
        <v>2933984.87</v>
      </c>
      <c r="K50" s="120">
        <f t="shared" si="18"/>
        <v>2329770.7000000002</v>
      </c>
      <c r="L50" s="120">
        <f t="shared" si="18"/>
        <v>2625674.6800000002</v>
      </c>
      <c r="M50" s="120">
        <f t="shared" si="18"/>
        <v>3277929.25</v>
      </c>
      <c r="N50" s="120">
        <f t="shared" si="18"/>
        <v>4505419.5299999993</v>
      </c>
      <c r="O50" s="120">
        <f t="shared" ref="O50:O58" si="19">SUM(C50:N50)</f>
        <v>35106065.969999999</v>
      </c>
      <c r="P50" s="134"/>
      <c r="R50" s="240" t="str">
        <f>A68</f>
        <v>6.1- FUNDEB - Impostos e Transferências de Impostos</v>
      </c>
      <c r="S50" s="241">
        <f>O68</f>
        <v>11661261.43</v>
      </c>
    </row>
    <row r="51" spans="1:19" ht="15.75" x14ac:dyDescent="0.25">
      <c r="A51" s="114" t="s">
        <v>174</v>
      </c>
      <c r="B51" s="131">
        <v>23908400</v>
      </c>
      <c r="C51" s="131">
        <v>1935290.93</v>
      </c>
      <c r="D51" s="131">
        <v>2536675.73</v>
      </c>
      <c r="E51" s="131">
        <v>1700280.46</v>
      </c>
      <c r="F51" s="41">
        <f t="shared" ref="F51:N51" si="20">E13</f>
        <v>1777514.38</v>
      </c>
      <c r="G51" s="41">
        <f t="shared" si="20"/>
        <v>2136327.5099999998</v>
      </c>
      <c r="H51" s="41">
        <f t="shared" si="20"/>
        <v>1847591.58</v>
      </c>
      <c r="I51" s="41">
        <f t="shared" si="20"/>
        <v>2524514.7599999998</v>
      </c>
      <c r="J51" s="41">
        <f t="shared" si="20"/>
        <v>2018430.1</v>
      </c>
      <c r="K51" s="41">
        <f t="shared" si="20"/>
        <v>1585148.65</v>
      </c>
      <c r="L51" s="41">
        <f t="shared" si="20"/>
        <v>1766384.57</v>
      </c>
      <c r="M51" s="41">
        <f t="shared" si="20"/>
        <v>2294050.71</v>
      </c>
      <c r="N51" s="41">
        <f t="shared" si="20"/>
        <v>3415142.5</v>
      </c>
      <c r="O51" s="120">
        <f t="shared" si="19"/>
        <v>25537351.879999999</v>
      </c>
      <c r="P51" s="134"/>
      <c r="R51" s="240" t="s">
        <v>309</v>
      </c>
      <c r="S51" s="241">
        <f>O71+O74</f>
        <v>4190242.7299999995</v>
      </c>
    </row>
    <row r="52" spans="1:19" ht="15.75" x14ac:dyDescent="0.25">
      <c r="A52" s="114" t="s">
        <v>180</v>
      </c>
      <c r="B52" s="129">
        <v>1726200</v>
      </c>
      <c r="C52" s="1"/>
      <c r="D52" s="128"/>
      <c r="E52" s="128"/>
      <c r="F52" s="41"/>
      <c r="G52" s="41">
        <f t="shared" ref="G52:M56" si="21">F15</f>
        <v>687723.84</v>
      </c>
      <c r="H52" s="41">
        <f t="shared" si="21"/>
        <v>726548.84</v>
      </c>
      <c r="I52" s="41">
        <f t="shared" si="21"/>
        <v>683527.6</v>
      </c>
      <c r="J52" s="41">
        <f t="shared" si="21"/>
        <v>860018.68</v>
      </c>
      <c r="K52" s="41">
        <f t="shared" si="21"/>
        <v>663551.87</v>
      </c>
      <c r="L52" s="41">
        <f t="shared" si="21"/>
        <v>777078.31</v>
      </c>
      <c r="M52" s="41">
        <f t="shared" si="21"/>
        <v>935856.81</v>
      </c>
      <c r="N52" s="41"/>
      <c r="O52" s="120">
        <f t="shared" si="19"/>
        <v>5334305.9500000011</v>
      </c>
      <c r="P52" s="134"/>
      <c r="R52" s="145"/>
      <c r="S52" s="242"/>
    </row>
    <row r="53" spans="1:19" ht="15.75" x14ac:dyDescent="0.25">
      <c r="A53" s="114" t="s">
        <v>175</v>
      </c>
      <c r="B53" s="129">
        <v>6880000</v>
      </c>
      <c r="C53" s="129">
        <v>526366.56000000006</v>
      </c>
      <c r="D53" s="129">
        <v>674408.62</v>
      </c>
      <c r="E53" s="129">
        <v>775420.52</v>
      </c>
      <c r="F53" s="121">
        <f>E15</f>
        <v>569245.56999999995</v>
      </c>
      <c r="G53" s="41">
        <f t="shared" si="21"/>
        <v>52227.03</v>
      </c>
      <c r="H53" s="41">
        <f t="shared" si="21"/>
        <v>45725.99</v>
      </c>
      <c r="I53" s="41">
        <f t="shared" si="21"/>
        <v>52531.24</v>
      </c>
      <c r="J53" s="41">
        <f t="shared" si="21"/>
        <v>49578.79</v>
      </c>
      <c r="K53" s="41">
        <f t="shared" si="21"/>
        <v>66608.55</v>
      </c>
      <c r="L53" s="41">
        <f t="shared" si="21"/>
        <v>37620.25</v>
      </c>
      <c r="M53" s="41">
        <f t="shared" si="21"/>
        <v>38497.22</v>
      </c>
      <c r="N53" s="41">
        <v>1048475.1</v>
      </c>
      <c r="O53" s="120">
        <f t="shared" si="19"/>
        <v>3936705.4400000004</v>
      </c>
      <c r="P53" s="134"/>
      <c r="R53" s="77"/>
      <c r="S53" s="77"/>
    </row>
    <row r="54" spans="1:19" ht="15.75" x14ac:dyDescent="0.25">
      <c r="A54" s="114" t="s">
        <v>182</v>
      </c>
      <c r="B54" s="129">
        <v>61400</v>
      </c>
      <c r="C54" s="129">
        <v>5810.28</v>
      </c>
      <c r="D54" s="129">
        <v>4752.8100000000004</v>
      </c>
      <c r="E54" s="129">
        <v>5643.61</v>
      </c>
      <c r="F54" s="41">
        <f>E19</f>
        <v>5660.28</v>
      </c>
      <c r="G54" s="41">
        <f t="shared" si="21"/>
        <v>242.16</v>
      </c>
      <c r="H54" s="41">
        <f t="shared" si="21"/>
        <v>422.56</v>
      </c>
      <c r="I54" s="41">
        <f t="shared" si="21"/>
        <v>1292.6500000000001</v>
      </c>
      <c r="J54" s="41">
        <f t="shared" si="21"/>
        <v>1082.94</v>
      </c>
      <c r="K54" s="41">
        <f t="shared" si="21"/>
        <v>8661.91</v>
      </c>
      <c r="L54" s="41">
        <f t="shared" si="21"/>
        <v>38621.81</v>
      </c>
      <c r="M54" s="41">
        <f t="shared" si="21"/>
        <v>3805.59</v>
      </c>
      <c r="N54" s="41">
        <v>5846.76</v>
      </c>
      <c r="O54" s="120">
        <f t="shared" si="19"/>
        <v>81843.359999999986</v>
      </c>
      <c r="P54" s="134"/>
    </row>
    <row r="55" spans="1:19" ht="18" x14ac:dyDescent="0.25">
      <c r="A55" s="114" t="s">
        <v>176</v>
      </c>
      <c r="B55" s="132">
        <v>27500</v>
      </c>
      <c r="C55" s="132">
        <v>2250.4699999999998</v>
      </c>
      <c r="D55" s="132">
        <v>1030.79</v>
      </c>
      <c r="E55" s="132">
        <v>385.33</v>
      </c>
      <c r="F55" s="41">
        <f>E17</f>
        <v>305.33999999999997</v>
      </c>
      <c r="G55" s="41">
        <f t="shared" si="21"/>
        <v>3855.32</v>
      </c>
      <c r="H55" s="41">
        <f t="shared" si="21"/>
        <v>3855.32</v>
      </c>
      <c r="I55" s="41">
        <f t="shared" si="21"/>
        <v>0</v>
      </c>
      <c r="J55" s="41">
        <f t="shared" si="21"/>
        <v>0</v>
      </c>
      <c r="K55" s="41">
        <f t="shared" si="21"/>
        <v>0</v>
      </c>
      <c r="L55" s="41">
        <f t="shared" si="21"/>
        <v>0</v>
      </c>
      <c r="M55" s="41">
        <f t="shared" si="21"/>
        <v>0</v>
      </c>
      <c r="N55" s="41">
        <v>3471.21</v>
      </c>
      <c r="O55" s="120">
        <f t="shared" si="19"/>
        <v>15153.779999999999</v>
      </c>
      <c r="P55" s="134"/>
      <c r="R55" s="245" t="s">
        <v>241</v>
      </c>
      <c r="S55" s="243" t="s">
        <v>257</v>
      </c>
    </row>
    <row r="56" spans="1:19" ht="15.75" x14ac:dyDescent="0.25">
      <c r="A56" s="114" t="s">
        <v>177</v>
      </c>
      <c r="B56" s="132">
        <v>603400</v>
      </c>
      <c r="C56" s="132">
        <v>31306.98</v>
      </c>
      <c r="D56" s="132">
        <v>35183.42</v>
      </c>
      <c r="E56" s="132">
        <v>31327.72</v>
      </c>
      <c r="F56" s="41">
        <f>E16</f>
        <v>31754.639999999999</v>
      </c>
      <c r="G56" s="41">
        <f t="shared" si="21"/>
        <v>5470.98</v>
      </c>
      <c r="H56" s="41">
        <f t="shared" si="21"/>
        <v>5018.6099999999997</v>
      </c>
      <c r="I56" s="41">
        <f t="shared" si="21"/>
        <v>5796.51</v>
      </c>
      <c r="J56" s="41">
        <f t="shared" si="21"/>
        <v>4874.3599999999997</v>
      </c>
      <c r="K56" s="41">
        <f t="shared" si="21"/>
        <v>5799.72</v>
      </c>
      <c r="L56" s="41">
        <f t="shared" si="21"/>
        <v>5969.74</v>
      </c>
      <c r="M56" s="41">
        <f t="shared" si="21"/>
        <v>5718.92</v>
      </c>
      <c r="N56" s="41">
        <v>32483.96</v>
      </c>
      <c r="O56" s="120">
        <f t="shared" si="19"/>
        <v>200705.55999999997</v>
      </c>
      <c r="P56" s="134"/>
      <c r="R56" s="77"/>
      <c r="S56" s="77"/>
    </row>
    <row r="57" spans="1:19" ht="15.75" x14ac:dyDescent="0.25">
      <c r="A57" s="114" t="s">
        <v>178</v>
      </c>
      <c r="B57" s="133">
        <v>0</v>
      </c>
      <c r="C57" s="1"/>
      <c r="D57" s="1"/>
      <c r="E57" s="1"/>
      <c r="F57" s="41"/>
      <c r="G57" s="41"/>
      <c r="H57" s="41"/>
      <c r="I57" s="41"/>
      <c r="J57" s="41"/>
      <c r="K57" s="41"/>
      <c r="L57" s="41"/>
      <c r="M57" s="41"/>
      <c r="N57" s="41"/>
      <c r="O57" s="120">
        <f t="shared" si="19"/>
        <v>0</v>
      </c>
      <c r="P57" s="134"/>
      <c r="R57" s="145" t="s">
        <v>239</v>
      </c>
      <c r="S57" s="87">
        <f>Despesas!S2/S49</f>
        <v>0.74047412229931875</v>
      </c>
    </row>
    <row r="58" spans="1:19" ht="15.75" x14ac:dyDescent="0.25">
      <c r="A58" s="114" t="s">
        <v>185</v>
      </c>
      <c r="B58" s="133">
        <v>0</v>
      </c>
      <c r="C58" s="1"/>
      <c r="D58" s="1"/>
      <c r="E58" s="1"/>
      <c r="F58" s="41"/>
      <c r="G58" s="41"/>
      <c r="H58" s="41"/>
      <c r="I58" s="41"/>
      <c r="J58" s="41"/>
      <c r="K58" s="41"/>
      <c r="L58" s="41"/>
      <c r="M58" s="41"/>
      <c r="N58" s="41"/>
      <c r="O58" s="120">
        <f t="shared" si="19"/>
        <v>0</v>
      </c>
      <c r="P58" s="134"/>
      <c r="R58" s="77"/>
      <c r="S58" s="77"/>
    </row>
    <row r="59" spans="1:19" ht="15.75" x14ac:dyDescent="0.25">
      <c r="A59" s="80"/>
      <c r="B59" s="81"/>
      <c r="C59" s="81"/>
      <c r="D59" s="81"/>
      <c r="E59" s="81"/>
      <c r="F59" s="101"/>
      <c r="G59" s="101"/>
      <c r="H59" s="101"/>
      <c r="I59" s="101"/>
      <c r="J59" s="101"/>
      <c r="K59" s="101"/>
      <c r="L59" s="101"/>
      <c r="M59" s="101"/>
      <c r="N59" s="101"/>
      <c r="O59" s="117"/>
      <c r="P59" s="135"/>
      <c r="R59" s="145" t="s">
        <v>244</v>
      </c>
      <c r="S59" s="87">
        <f>Despesas!S4/S47/4</f>
        <v>0.3325915130712131</v>
      </c>
    </row>
    <row r="60" spans="1:19" ht="15.75" x14ac:dyDescent="0.25">
      <c r="A60" s="113" t="s">
        <v>179</v>
      </c>
      <c r="B60" s="86">
        <f>B44+B50</f>
        <v>35051200</v>
      </c>
      <c r="C60" s="86">
        <f t="shared" ref="C60:N60" si="22">C44+C50</f>
        <v>2544016.79</v>
      </c>
      <c r="D60" s="86">
        <f t="shared" si="22"/>
        <v>3406961.14</v>
      </c>
      <c r="E60" s="86">
        <f t="shared" si="22"/>
        <v>2563428.1100000003</v>
      </c>
      <c r="F60" s="86">
        <f t="shared" si="22"/>
        <v>2444944.3699999996</v>
      </c>
      <c r="G60" s="86">
        <f t="shared" si="22"/>
        <v>2930558.3899999992</v>
      </c>
      <c r="H60" s="86">
        <f t="shared" si="22"/>
        <v>3119683.75</v>
      </c>
      <c r="I60" s="86">
        <f t="shared" si="22"/>
        <v>3337156.6799999997</v>
      </c>
      <c r="J60" s="86">
        <f t="shared" si="22"/>
        <v>3002923.0300000003</v>
      </c>
      <c r="K60" s="86">
        <f t="shared" si="22"/>
        <v>2378908.1500000004</v>
      </c>
      <c r="L60" s="86">
        <f t="shared" si="22"/>
        <v>2681614.41</v>
      </c>
      <c r="M60" s="86">
        <f t="shared" si="22"/>
        <v>4093833.27</v>
      </c>
      <c r="N60" s="86">
        <f t="shared" si="22"/>
        <v>4844997.209999999</v>
      </c>
      <c r="O60" s="86">
        <f>O44+O50</f>
        <v>37349025.299999997</v>
      </c>
      <c r="P60" s="134"/>
      <c r="R60" s="77"/>
      <c r="S60" s="77"/>
    </row>
    <row r="61" spans="1:19" ht="15.75" x14ac:dyDescent="0.25">
      <c r="A61" s="116"/>
      <c r="B61" s="117"/>
      <c r="C61" s="117"/>
      <c r="D61" s="117"/>
      <c r="E61" s="117"/>
      <c r="F61" s="117"/>
      <c r="G61" s="117"/>
      <c r="H61" s="117"/>
      <c r="I61" s="117"/>
      <c r="J61" s="117"/>
      <c r="K61" s="117"/>
      <c r="L61" s="117"/>
      <c r="M61" s="117"/>
      <c r="N61" s="117"/>
      <c r="O61" s="117"/>
      <c r="P61" s="135"/>
      <c r="R61" s="251" t="s">
        <v>245</v>
      </c>
      <c r="S61" s="252">
        <f>Despesas!S5/S45/4</f>
        <v>0.27498896791826055</v>
      </c>
    </row>
    <row r="62" spans="1:19" ht="15.75" x14ac:dyDescent="0.25">
      <c r="A62" s="113" t="s">
        <v>181</v>
      </c>
      <c r="B62" s="86">
        <f>SUM(B51+B53+B54+B55+B56)*20%</f>
        <v>6296140</v>
      </c>
      <c r="C62" s="86">
        <f t="shared" ref="C62:N62" si="23">B23</f>
        <v>499042.89</v>
      </c>
      <c r="D62" s="86">
        <f t="shared" si="23"/>
        <v>649459.57999999996</v>
      </c>
      <c r="E62" s="86">
        <f t="shared" si="23"/>
        <v>501482.66</v>
      </c>
      <c r="F62" s="86">
        <f t="shared" si="23"/>
        <v>475763.88</v>
      </c>
      <c r="G62" s="86">
        <f t="shared" si="23"/>
        <v>575303.97</v>
      </c>
      <c r="H62" s="86">
        <f t="shared" si="23"/>
        <v>524057.66</v>
      </c>
      <c r="I62" s="86">
        <f t="shared" si="23"/>
        <v>469700.54</v>
      </c>
      <c r="J62" s="86">
        <f t="shared" si="23"/>
        <v>585821.96</v>
      </c>
      <c r="K62" s="86">
        <f t="shared" si="23"/>
        <v>464794.06</v>
      </c>
      <c r="L62" s="86">
        <f t="shared" si="23"/>
        <v>523940.89</v>
      </c>
      <c r="M62" s="86">
        <f t="shared" si="23"/>
        <v>654441.94999999995</v>
      </c>
      <c r="N62" s="86">
        <f t="shared" si="23"/>
        <v>693118.64</v>
      </c>
      <c r="O62" s="86">
        <f>SUM(C62:N62)</f>
        <v>6616928.6799999988</v>
      </c>
      <c r="P62" s="134"/>
    </row>
    <row r="63" spans="1:19" ht="15.75" x14ac:dyDescent="0.25">
      <c r="A63" s="116"/>
      <c r="B63" s="117"/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35"/>
    </row>
    <row r="64" spans="1:19" ht="47.25" x14ac:dyDescent="0.25">
      <c r="A64" s="142" t="s">
        <v>183</v>
      </c>
      <c r="B64" s="86">
        <f>((B51+B53+B54+B55+B56)*5%)+((B44+B52+B57+B58)*25%)</f>
        <v>2466660</v>
      </c>
      <c r="C64" s="86">
        <f t="shared" ref="C64:G64" si="24">((C51+C53+C54+C55+C56)*5%)+((C44+C52+C57+C58)*25%)</f>
        <v>135799.15350000001</v>
      </c>
      <c r="D64" s="86">
        <f t="shared" si="24"/>
        <v>201330.011</v>
      </c>
      <c r="E64" s="86">
        <f t="shared" si="24"/>
        <v>138245.49950000001</v>
      </c>
      <c r="F64" s="86">
        <f t="shared" si="24"/>
        <v>134340.05049999998</v>
      </c>
      <c r="G64" s="86">
        <f t="shared" si="24"/>
        <v>293014.9975</v>
      </c>
      <c r="H64" s="86">
        <f>((H51+H53+H54+H55+H56)*5%)+((H44+H52+H57+H58)*25%)</f>
        <v>399398.12550000002</v>
      </c>
      <c r="I64" s="86">
        <f t="shared" ref="I64:N64" si="25">((I51+I53+I54+I55+I56)*5%)+((I44+I52+I57+I58)*25%)</f>
        <v>317462.13799999998</v>
      </c>
      <c r="J64" s="86">
        <f t="shared" si="25"/>
        <v>335937.51950000005</v>
      </c>
      <c r="K64" s="86">
        <f t="shared" si="25"/>
        <v>261483.27149999997</v>
      </c>
      <c r="L64" s="86">
        <f t="shared" si="25"/>
        <v>300684.3285</v>
      </c>
      <c r="M64" s="86">
        <f t="shared" si="25"/>
        <v>555043.82949999999</v>
      </c>
      <c r="N64" s="86">
        <f t="shared" si="25"/>
        <v>310165.39649999997</v>
      </c>
      <c r="O64" s="86">
        <f>SUM(C64:N64)</f>
        <v>3382904.3209999995</v>
      </c>
      <c r="P64" s="324"/>
    </row>
    <row r="65" spans="1:16" ht="15.75" x14ac:dyDescent="0.25">
      <c r="A65" s="119"/>
      <c r="B65" s="117"/>
      <c r="C65" s="117"/>
      <c r="D65" s="117"/>
      <c r="E65" s="117"/>
      <c r="F65" s="117"/>
      <c r="G65" s="117"/>
      <c r="H65" s="117"/>
      <c r="I65" s="117"/>
      <c r="J65" s="117"/>
      <c r="K65" s="117"/>
      <c r="L65" s="117"/>
      <c r="M65" s="117"/>
      <c r="N65" s="117"/>
      <c r="O65" s="117"/>
      <c r="P65" s="135"/>
    </row>
    <row r="67" spans="1:16" ht="15.75" x14ac:dyDescent="0.25">
      <c r="A67" s="142" t="s">
        <v>186</v>
      </c>
      <c r="B67" s="151">
        <f>B68+B71+B74</f>
        <v>18060600</v>
      </c>
      <c r="C67" s="151">
        <f t="shared" ref="C67:L67" si="26">C68+C71+C74</f>
        <v>1374381.21</v>
      </c>
      <c r="D67" s="151">
        <f t="shared" si="26"/>
        <v>1377213.16</v>
      </c>
      <c r="E67" s="151">
        <f t="shared" si="26"/>
        <v>1184543.78</v>
      </c>
      <c r="F67" s="151">
        <f t="shared" si="26"/>
        <v>1223174.45</v>
      </c>
      <c r="G67" s="151">
        <f t="shared" si="26"/>
        <v>1052239.3500000001</v>
      </c>
      <c r="H67" s="151">
        <f t="shared" si="26"/>
        <v>1192035.2</v>
      </c>
      <c r="I67" s="151">
        <f t="shared" si="26"/>
        <v>1110393.8</v>
      </c>
      <c r="J67" s="151">
        <f t="shared" si="26"/>
        <v>1187446.17</v>
      </c>
      <c r="K67" s="151">
        <f t="shared" si="26"/>
        <v>1415451.06</v>
      </c>
      <c r="L67" s="151">
        <f t="shared" si="26"/>
        <v>1383025.68</v>
      </c>
      <c r="M67" s="151">
        <f>M68+M71+M74</f>
        <v>1484138.87</v>
      </c>
      <c r="N67" s="151">
        <f>N68+N71+N74</f>
        <v>1867461.43</v>
      </c>
      <c r="O67" s="148">
        <f>SUM(C67:N67)</f>
        <v>15851504.16</v>
      </c>
    </row>
    <row r="68" spans="1:16" ht="15.75" x14ac:dyDescent="0.25">
      <c r="A68" s="142" t="s">
        <v>187</v>
      </c>
      <c r="B68" s="151">
        <f>B69+B70</f>
        <v>13173500</v>
      </c>
      <c r="C68" s="151">
        <f t="shared" ref="C68:M68" si="27">C69+C70</f>
        <v>831721.69</v>
      </c>
      <c r="D68" s="151">
        <f t="shared" si="27"/>
        <v>1075563.24</v>
      </c>
      <c r="E68" s="151">
        <f t="shared" si="27"/>
        <v>980273.4</v>
      </c>
      <c r="F68" s="151">
        <f t="shared" si="27"/>
        <v>821466.79999999993</v>
      </c>
      <c r="G68" s="151">
        <f t="shared" si="27"/>
        <v>815362.38</v>
      </c>
      <c r="H68" s="151">
        <f t="shared" si="27"/>
        <v>945446.91</v>
      </c>
      <c r="I68" s="151">
        <f t="shared" si="27"/>
        <v>869319.42</v>
      </c>
      <c r="J68" s="151">
        <f t="shared" si="27"/>
        <v>964275.69</v>
      </c>
      <c r="K68" s="151">
        <f t="shared" si="27"/>
        <v>954781.73</v>
      </c>
      <c r="L68" s="151">
        <f t="shared" si="27"/>
        <v>964246.77</v>
      </c>
      <c r="M68" s="151">
        <f t="shared" si="27"/>
        <v>1065359.9600000002</v>
      </c>
      <c r="N68" s="151">
        <f>N69+N70</f>
        <v>1373443.44</v>
      </c>
      <c r="O68" s="148">
        <f>SUM(C68:N68)</f>
        <v>11661261.43</v>
      </c>
    </row>
    <row r="69" spans="1:16" ht="15.75" x14ac:dyDescent="0.25">
      <c r="A69" s="146" t="s">
        <v>188</v>
      </c>
      <c r="B69" s="123">
        <v>13169500</v>
      </c>
      <c r="C69" s="147">
        <f t="shared" ref="C69:N69" si="28">B31</f>
        <v>831695</v>
      </c>
      <c r="D69" s="147">
        <f t="shared" si="28"/>
        <v>1075490.55</v>
      </c>
      <c r="E69" s="147">
        <f t="shared" si="28"/>
        <v>980020.86</v>
      </c>
      <c r="F69" s="147">
        <f t="shared" si="28"/>
        <v>821264.69</v>
      </c>
      <c r="G69" s="147">
        <f t="shared" si="28"/>
        <v>814536.68</v>
      </c>
      <c r="H69" s="147">
        <f t="shared" si="28"/>
        <v>944842.5</v>
      </c>
      <c r="I69" s="147">
        <f t="shared" si="28"/>
        <v>867784.8</v>
      </c>
      <c r="J69" s="147">
        <f t="shared" si="28"/>
        <v>962270.83</v>
      </c>
      <c r="K69" s="147">
        <f t="shared" si="28"/>
        <v>953218.9</v>
      </c>
      <c r="L69" s="147">
        <f t="shared" si="28"/>
        <v>961450.52</v>
      </c>
      <c r="M69" s="147">
        <f t="shared" si="28"/>
        <v>1062044.1000000001</v>
      </c>
      <c r="N69" s="147">
        <f t="shared" si="28"/>
        <v>1371012.04</v>
      </c>
      <c r="O69" s="148">
        <f>SUM(C69:N69)</f>
        <v>11645631.469999999</v>
      </c>
    </row>
    <row r="70" spans="1:16" ht="15.75" x14ac:dyDescent="0.25">
      <c r="A70" s="146" t="s">
        <v>189</v>
      </c>
      <c r="B70" s="123">
        <v>4000</v>
      </c>
      <c r="C70" s="147">
        <v>26.69</v>
      </c>
      <c r="D70" s="147">
        <v>72.69</v>
      </c>
      <c r="E70" s="149">
        <v>252.54</v>
      </c>
      <c r="F70" s="147">
        <f t="shared" ref="F70:N70" si="29">E32</f>
        <v>202.11</v>
      </c>
      <c r="G70" s="147">
        <f t="shared" si="29"/>
        <v>825.7</v>
      </c>
      <c r="H70" s="147">
        <f t="shared" si="29"/>
        <v>604.41</v>
      </c>
      <c r="I70" s="147">
        <f t="shared" si="29"/>
        <v>1534.62</v>
      </c>
      <c r="J70" s="147">
        <f t="shared" si="29"/>
        <v>2004.86</v>
      </c>
      <c r="K70" s="147">
        <f t="shared" si="29"/>
        <v>1562.83</v>
      </c>
      <c r="L70" s="147">
        <f t="shared" si="29"/>
        <v>2796.25</v>
      </c>
      <c r="M70" s="147">
        <f t="shared" si="29"/>
        <v>3315.86</v>
      </c>
      <c r="N70" s="147">
        <f t="shared" si="29"/>
        <v>2431.4</v>
      </c>
      <c r="O70" s="148">
        <f>SUM(C70:N70)</f>
        <v>15629.960000000001</v>
      </c>
    </row>
    <row r="71" spans="1:16" ht="15.75" x14ac:dyDescent="0.25">
      <c r="A71" s="142" t="s">
        <v>190</v>
      </c>
      <c r="B71" s="151">
        <f>B72+B73</f>
        <v>4887100</v>
      </c>
      <c r="C71" s="151">
        <f t="shared" ref="C71:F71" si="30">C72+C73</f>
        <v>542659.52</v>
      </c>
      <c r="D71" s="151">
        <f t="shared" si="30"/>
        <v>301649.91999999998</v>
      </c>
      <c r="E71" s="151">
        <f t="shared" si="30"/>
        <v>204270.38</v>
      </c>
      <c r="F71" s="151">
        <f t="shared" si="30"/>
        <v>401707.65</v>
      </c>
      <c r="G71" s="151">
        <f>G72+G73</f>
        <v>236876.97</v>
      </c>
      <c r="H71" s="148">
        <f t="shared" ref="H71:N72" si="31">G33</f>
        <v>246588.29</v>
      </c>
      <c r="I71" s="148">
        <f t="shared" si="31"/>
        <v>241074.38</v>
      </c>
      <c r="J71" s="148">
        <f t="shared" si="31"/>
        <v>223170.48</v>
      </c>
      <c r="K71" s="148">
        <f t="shared" si="31"/>
        <v>377221.64</v>
      </c>
      <c r="L71" s="148">
        <f t="shared" si="31"/>
        <v>335331.21999999997</v>
      </c>
      <c r="M71" s="148">
        <f t="shared" si="31"/>
        <v>335331.21999999997</v>
      </c>
      <c r="N71" s="148">
        <f t="shared" si="31"/>
        <v>389532.82</v>
      </c>
      <c r="O71" s="148">
        <f t="shared" ref="O71:O76" si="32">SUM(C71:N71)</f>
        <v>3835414.4899999998</v>
      </c>
    </row>
    <row r="72" spans="1:16" ht="15.75" x14ac:dyDescent="0.25">
      <c r="A72" s="146" t="s">
        <v>191</v>
      </c>
      <c r="B72" s="123">
        <v>4887100</v>
      </c>
      <c r="C72" s="147">
        <f>B34</f>
        <v>542659.52</v>
      </c>
      <c r="D72" s="147">
        <f>C34</f>
        <v>301649.91999999998</v>
      </c>
      <c r="E72" s="147">
        <f>D34</f>
        <v>204270.38</v>
      </c>
      <c r="F72" s="147">
        <f>E34</f>
        <v>401707.65</v>
      </c>
      <c r="G72" s="147">
        <f>F34</f>
        <v>236876.97</v>
      </c>
      <c r="H72" s="147">
        <f t="shared" si="31"/>
        <v>246588.29</v>
      </c>
      <c r="I72" s="147">
        <f t="shared" si="31"/>
        <v>241074.38</v>
      </c>
      <c r="J72" s="147">
        <f t="shared" si="31"/>
        <v>223170.48</v>
      </c>
      <c r="K72" s="147">
        <f t="shared" si="31"/>
        <v>377221.64</v>
      </c>
      <c r="L72" s="147">
        <f t="shared" si="31"/>
        <v>335331.21999999997</v>
      </c>
      <c r="M72" s="147">
        <f t="shared" si="31"/>
        <v>335331.21999999997</v>
      </c>
      <c r="N72" s="147">
        <f t="shared" si="31"/>
        <v>389532.82</v>
      </c>
      <c r="O72" s="148">
        <f t="shared" si="32"/>
        <v>3835414.4899999998</v>
      </c>
    </row>
    <row r="73" spans="1:16" ht="15.75" x14ac:dyDescent="0.25">
      <c r="A73" s="146" t="s">
        <v>192</v>
      </c>
      <c r="B73" s="123">
        <v>0</v>
      </c>
      <c r="C73" s="147">
        <v>0</v>
      </c>
      <c r="D73" s="147">
        <v>0</v>
      </c>
      <c r="E73" s="147">
        <v>0</v>
      </c>
      <c r="F73" s="147">
        <v>0</v>
      </c>
      <c r="G73" s="147">
        <v>0</v>
      </c>
      <c r="H73" s="147">
        <f t="shared" ref="H73:N73" si="33">G35</f>
        <v>0</v>
      </c>
      <c r="I73" s="147">
        <f t="shared" si="33"/>
        <v>0</v>
      </c>
      <c r="J73" s="147">
        <f t="shared" si="33"/>
        <v>0</v>
      </c>
      <c r="K73" s="147">
        <f t="shared" si="33"/>
        <v>0</v>
      </c>
      <c r="L73" s="147">
        <f t="shared" si="33"/>
        <v>0</v>
      </c>
      <c r="M73" s="147">
        <f t="shared" si="33"/>
        <v>0</v>
      </c>
      <c r="N73" s="147">
        <f t="shared" si="33"/>
        <v>0</v>
      </c>
      <c r="O73" s="148">
        <f t="shared" si="32"/>
        <v>0</v>
      </c>
    </row>
    <row r="74" spans="1:16" ht="15.75" x14ac:dyDescent="0.25">
      <c r="A74" s="142" t="s">
        <v>193</v>
      </c>
      <c r="B74" s="151">
        <f>B75+B76</f>
        <v>0</v>
      </c>
      <c r="C74" s="151">
        <f t="shared" ref="C74:N74" si="34">C75+C76</f>
        <v>0</v>
      </c>
      <c r="D74" s="151">
        <f t="shared" si="34"/>
        <v>0</v>
      </c>
      <c r="E74" s="151">
        <f t="shared" si="34"/>
        <v>0</v>
      </c>
      <c r="F74" s="151">
        <f t="shared" si="34"/>
        <v>0</v>
      </c>
      <c r="G74" s="151">
        <f t="shared" si="34"/>
        <v>0</v>
      </c>
      <c r="H74" s="151">
        <f t="shared" si="34"/>
        <v>0</v>
      </c>
      <c r="I74" s="151">
        <f t="shared" si="34"/>
        <v>0</v>
      </c>
      <c r="J74" s="151">
        <f t="shared" si="34"/>
        <v>0</v>
      </c>
      <c r="K74" s="151">
        <f t="shared" si="34"/>
        <v>83447.69</v>
      </c>
      <c r="L74" s="151">
        <f t="shared" si="34"/>
        <v>83447.69</v>
      </c>
      <c r="M74" s="151">
        <f t="shared" si="34"/>
        <v>83447.69</v>
      </c>
      <c r="N74" s="151">
        <f t="shared" si="34"/>
        <v>104485.17</v>
      </c>
      <c r="O74" s="148">
        <f>SUM(C74:N74)</f>
        <v>354828.24</v>
      </c>
    </row>
    <row r="75" spans="1:16" ht="15.75" x14ac:dyDescent="0.25">
      <c r="A75" s="146" t="s">
        <v>194</v>
      </c>
      <c r="B75" s="144">
        <v>0</v>
      </c>
      <c r="C75" s="150">
        <v>0</v>
      </c>
      <c r="D75" s="147">
        <v>0</v>
      </c>
      <c r="E75" s="150">
        <v>0</v>
      </c>
      <c r="F75" s="147">
        <f>Receitas!E37</f>
        <v>0</v>
      </c>
      <c r="G75" s="147">
        <f t="shared" ref="G75:N76" si="35">F37</f>
        <v>0</v>
      </c>
      <c r="H75" s="147">
        <f t="shared" si="35"/>
        <v>0</v>
      </c>
      <c r="I75" s="147">
        <f t="shared" si="35"/>
        <v>0</v>
      </c>
      <c r="J75" s="147">
        <f t="shared" si="35"/>
        <v>0</v>
      </c>
      <c r="K75" s="147">
        <f t="shared" si="35"/>
        <v>83447.69</v>
      </c>
      <c r="L75" s="147">
        <f t="shared" si="35"/>
        <v>83447.69</v>
      </c>
      <c r="M75" s="147">
        <f t="shared" si="35"/>
        <v>83447.69</v>
      </c>
      <c r="N75" s="147">
        <f t="shared" si="35"/>
        <v>104485.17</v>
      </c>
      <c r="O75" s="148">
        <f t="shared" si="32"/>
        <v>354828.24</v>
      </c>
    </row>
    <row r="76" spans="1:16" ht="15.75" x14ac:dyDescent="0.25">
      <c r="A76" s="146" t="s">
        <v>195</v>
      </c>
      <c r="B76" s="144">
        <v>0</v>
      </c>
      <c r="C76" s="149">
        <v>0</v>
      </c>
      <c r="D76" s="147">
        <v>0</v>
      </c>
      <c r="E76" s="147">
        <v>0</v>
      </c>
      <c r="F76" s="147">
        <v>0</v>
      </c>
      <c r="G76" s="147">
        <f t="shared" si="35"/>
        <v>0</v>
      </c>
      <c r="H76" s="147">
        <f t="shared" si="35"/>
        <v>0</v>
      </c>
      <c r="I76" s="147">
        <f t="shared" si="35"/>
        <v>0</v>
      </c>
      <c r="J76" s="147">
        <f t="shared" si="35"/>
        <v>0</v>
      </c>
      <c r="K76" s="147">
        <f t="shared" si="35"/>
        <v>0</v>
      </c>
      <c r="L76" s="147">
        <f t="shared" si="35"/>
        <v>0</v>
      </c>
      <c r="M76" s="147">
        <f t="shared" si="35"/>
        <v>0</v>
      </c>
      <c r="N76" s="147">
        <f t="shared" si="35"/>
        <v>0</v>
      </c>
      <c r="O76" s="148">
        <f t="shared" si="32"/>
        <v>0</v>
      </c>
    </row>
    <row r="77" spans="1:16" ht="15.75" x14ac:dyDescent="0.25">
      <c r="A77" s="142"/>
      <c r="B77" s="145"/>
      <c r="C77" s="145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154"/>
    </row>
    <row r="78" spans="1:16" ht="15.75" x14ac:dyDescent="0.25">
      <c r="A78" s="142" t="s">
        <v>196</v>
      </c>
      <c r="B78" s="152">
        <f t="shared" ref="B78:N78" si="36">B69-B62</f>
        <v>6873360</v>
      </c>
      <c r="C78" s="152">
        <f t="shared" si="36"/>
        <v>332652.11</v>
      </c>
      <c r="D78" s="152">
        <f t="shared" si="36"/>
        <v>426030.97000000009</v>
      </c>
      <c r="E78" s="152">
        <f t="shared" si="36"/>
        <v>478538.2</v>
      </c>
      <c r="F78" s="152">
        <f t="shared" si="36"/>
        <v>345500.80999999994</v>
      </c>
      <c r="G78" s="152">
        <f t="shared" si="36"/>
        <v>239232.71000000008</v>
      </c>
      <c r="H78" s="152">
        <f t="shared" si="36"/>
        <v>420784.84</v>
      </c>
      <c r="I78" s="152">
        <f t="shared" si="36"/>
        <v>398084.26000000007</v>
      </c>
      <c r="J78" s="152">
        <f t="shared" si="36"/>
        <v>376448.87</v>
      </c>
      <c r="K78" s="152">
        <f t="shared" si="36"/>
        <v>488424.84</v>
      </c>
      <c r="L78" s="152">
        <f t="shared" si="36"/>
        <v>437509.63</v>
      </c>
      <c r="M78" s="152">
        <f t="shared" si="36"/>
        <v>407602.15000000014</v>
      </c>
      <c r="N78" s="152">
        <f t="shared" si="36"/>
        <v>677893.4</v>
      </c>
      <c r="O78" s="153">
        <f>SUM(C78:N78)</f>
        <v>5028702.79</v>
      </c>
    </row>
    <row r="80" spans="1:16" ht="13.5" thickBot="1" x14ac:dyDescent="0.25"/>
    <row r="81" spans="1:5" ht="18.75" thickBot="1" x14ac:dyDescent="0.25">
      <c r="A81" s="452" t="s">
        <v>250</v>
      </c>
      <c r="B81" s="453"/>
      <c r="C81" s="453"/>
      <c r="D81" s="453"/>
      <c r="E81" s="454"/>
    </row>
    <row r="82" spans="1:5" x14ac:dyDescent="0.2">
      <c r="A82" s="455" t="s">
        <v>53</v>
      </c>
      <c r="B82" s="457" t="s">
        <v>8</v>
      </c>
      <c r="C82" s="459" t="s">
        <v>9</v>
      </c>
      <c r="D82" s="457" t="s">
        <v>10</v>
      </c>
      <c r="E82" s="461"/>
    </row>
    <row r="83" spans="1:5" ht="13.5" thickBot="1" x14ac:dyDescent="0.25">
      <c r="A83" s="456"/>
      <c r="B83" s="458"/>
      <c r="C83" s="460"/>
      <c r="D83" s="441" t="s">
        <v>3</v>
      </c>
      <c r="E83" s="274" t="s">
        <v>11</v>
      </c>
    </row>
    <row r="84" spans="1:5" x14ac:dyDescent="0.2">
      <c r="A84" s="275" t="s">
        <v>54</v>
      </c>
      <c r="B84" s="276">
        <f>SUM(B85:B92)</f>
        <v>1844300</v>
      </c>
      <c r="C84" s="276">
        <f>SUM(C85:C92)</f>
        <v>1844300</v>
      </c>
      <c r="D84" s="277">
        <f>SUM(D85:D93)</f>
        <v>2238168.88</v>
      </c>
      <c r="E84" s="278">
        <f>D84/C84</f>
        <v>1.2135600932603154</v>
      </c>
    </row>
    <row r="85" spans="1:5" x14ac:dyDescent="0.2">
      <c r="A85" s="279" t="s">
        <v>55</v>
      </c>
      <c r="B85" s="280">
        <v>174400</v>
      </c>
      <c r="C85" s="280">
        <f>B85</f>
        <v>174400</v>
      </c>
      <c r="D85" s="281">
        <f>N4</f>
        <v>166804.46</v>
      </c>
      <c r="E85" s="278">
        <f t="shared" ref="E85:E102" si="37">D85/C85</f>
        <v>0.95644759174311922</v>
      </c>
    </row>
    <row r="86" spans="1:5" x14ac:dyDescent="0.2">
      <c r="A86" s="279" t="s">
        <v>56</v>
      </c>
      <c r="B86" s="280">
        <v>226200</v>
      </c>
      <c r="C86" s="280">
        <f>B86</f>
        <v>226200</v>
      </c>
      <c r="D86" s="281">
        <f>N6</f>
        <v>684346.44</v>
      </c>
      <c r="E86" s="278">
        <f t="shared" si="37"/>
        <v>3.0254042440318298</v>
      </c>
    </row>
    <row r="87" spans="1:5" x14ac:dyDescent="0.2">
      <c r="A87" s="279" t="s">
        <v>57</v>
      </c>
      <c r="B87" s="280">
        <v>813700</v>
      </c>
      <c r="C87" s="280">
        <f>B87</f>
        <v>813700</v>
      </c>
      <c r="D87" s="281">
        <f>N5</f>
        <v>305990.33</v>
      </c>
      <c r="E87" s="278">
        <f t="shared" si="37"/>
        <v>0.37604808897628123</v>
      </c>
    </row>
    <row r="88" spans="1:5" x14ac:dyDescent="0.2">
      <c r="A88" s="279" t="s">
        <v>58</v>
      </c>
      <c r="B88" s="280">
        <v>630000</v>
      </c>
      <c r="C88" s="280">
        <f>B88</f>
        <v>630000</v>
      </c>
      <c r="D88" s="281">
        <f>N7</f>
        <v>1081027.6499999999</v>
      </c>
      <c r="E88" s="278">
        <f t="shared" si="37"/>
        <v>1.7159169047619045</v>
      </c>
    </row>
    <row r="89" spans="1:5" x14ac:dyDescent="0.2">
      <c r="A89" s="279" t="s">
        <v>59</v>
      </c>
      <c r="B89" s="280"/>
      <c r="C89" s="280"/>
      <c r="D89" s="281"/>
      <c r="E89" s="278"/>
    </row>
    <row r="90" spans="1:5" x14ac:dyDescent="0.2">
      <c r="A90" s="279" t="s">
        <v>247</v>
      </c>
      <c r="B90" s="280"/>
      <c r="C90" s="280"/>
      <c r="E90" s="278"/>
    </row>
    <row r="91" spans="1:5" x14ac:dyDescent="0.2">
      <c r="A91" s="279" t="s">
        <v>60</v>
      </c>
      <c r="B91" s="280"/>
      <c r="C91" s="280"/>
      <c r="D91" s="281"/>
      <c r="E91" s="278"/>
    </row>
    <row r="92" spans="1:5" x14ac:dyDescent="0.2">
      <c r="A92" s="279" t="s">
        <v>61</v>
      </c>
      <c r="B92" s="280"/>
      <c r="C92" s="280"/>
      <c r="D92" s="281"/>
      <c r="E92" s="278"/>
    </row>
    <row r="93" spans="1:5" x14ac:dyDescent="0.2">
      <c r="A93" s="279" t="s">
        <v>208</v>
      </c>
      <c r="B93" s="280"/>
      <c r="C93" s="280"/>
      <c r="D93" s="281"/>
      <c r="E93" s="278"/>
    </row>
    <row r="94" spans="1:5" x14ac:dyDescent="0.2">
      <c r="A94" s="282" t="s">
        <v>248</v>
      </c>
      <c r="B94" s="276">
        <f>SUM(B95:B101)</f>
        <v>31500600</v>
      </c>
      <c r="C94" s="276">
        <f>SUM(C95:C101)</f>
        <v>31500600</v>
      </c>
      <c r="D94" s="277">
        <f>SUM(D95:D101)</f>
        <v>35106065.969999999</v>
      </c>
      <c r="E94" s="278">
        <f t="shared" si="37"/>
        <v>1.114457057008438</v>
      </c>
    </row>
    <row r="95" spans="1:5" x14ac:dyDescent="0.2">
      <c r="A95" s="279" t="s">
        <v>62</v>
      </c>
      <c r="B95" s="280">
        <v>23908400</v>
      </c>
      <c r="C95" s="280">
        <f t="shared" ref="C95:C100" si="38">B95</f>
        <v>23908400</v>
      </c>
      <c r="D95" s="281">
        <f>N13</f>
        <v>25537351.879999999</v>
      </c>
      <c r="E95" s="278">
        <v>0</v>
      </c>
    </row>
    <row r="96" spans="1:5" x14ac:dyDescent="0.2">
      <c r="A96" s="279" t="s">
        <v>63</v>
      </c>
      <c r="B96" s="280">
        <v>27500</v>
      </c>
      <c r="C96" s="280">
        <f t="shared" si="38"/>
        <v>27500</v>
      </c>
      <c r="D96" s="281">
        <f>N17</f>
        <v>61572.76</v>
      </c>
      <c r="E96" s="278">
        <f t="shared" si="37"/>
        <v>2.2390094545454544</v>
      </c>
    </row>
    <row r="97" spans="1:14" x14ac:dyDescent="0.2">
      <c r="A97" s="279" t="s">
        <v>64</v>
      </c>
      <c r="B97" s="280">
        <v>603400</v>
      </c>
      <c r="C97" s="280">
        <f t="shared" si="38"/>
        <v>603400</v>
      </c>
      <c r="D97" s="281">
        <f>N16</f>
        <v>504845.79</v>
      </c>
      <c r="E97" s="278">
        <f t="shared" si="37"/>
        <v>0.83666852833940997</v>
      </c>
    </row>
    <row r="98" spans="1:14" x14ac:dyDescent="0.2">
      <c r="A98" s="279" t="s">
        <v>65</v>
      </c>
      <c r="B98" s="280">
        <v>6880000</v>
      </c>
      <c r="C98" s="280">
        <f t="shared" si="38"/>
        <v>6880000</v>
      </c>
      <c r="D98" s="281">
        <f>N15</f>
        <v>8928222.3200000003</v>
      </c>
      <c r="E98" s="278">
        <f t="shared" si="37"/>
        <v>1.2977067325581395</v>
      </c>
    </row>
    <row r="99" spans="1:14" x14ac:dyDescent="0.2">
      <c r="A99" s="279" t="s">
        <v>66</v>
      </c>
      <c r="B99" s="280">
        <v>61400</v>
      </c>
      <c r="C99" s="280">
        <f t="shared" si="38"/>
        <v>61400</v>
      </c>
      <c r="D99" s="281">
        <f>N19</f>
        <v>66362.58</v>
      </c>
      <c r="E99" s="278">
        <f t="shared" si="37"/>
        <v>1.0808237785016286</v>
      </c>
    </row>
    <row r="100" spans="1:14" x14ac:dyDescent="0.2">
      <c r="A100" s="279" t="s">
        <v>67</v>
      </c>
      <c r="B100" s="280">
        <v>19900</v>
      </c>
      <c r="C100" s="280">
        <f t="shared" si="38"/>
        <v>19900</v>
      </c>
      <c r="D100" s="281">
        <f>N18</f>
        <v>7710.64</v>
      </c>
      <c r="E100" s="278">
        <f t="shared" si="37"/>
        <v>0.38746934673366834</v>
      </c>
    </row>
    <row r="101" spans="1:14" x14ac:dyDescent="0.2">
      <c r="A101" s="279" t="s">
        <v>68</v>
      </c>
      <c r="B101" s="280">
        <v>0</v>
      </c>
      <c r="C101" s="280">
        <v>0</v>
      </c>
      <c r="D101" s="281">
        <v>0</v>
      </c>
      <c r="E101" s="278">
        <v>0</v>
      </c>
    </row>
    <row r="102" spans="1:14" ht="13.5" thickBot="1" x14ac:dyDescent="0.25">
      <c r="A102" s="286" t="s">
        <v>69</v>
      </c>
      <c r="B102" s="283">
        <f>SUM(B84,B94)</f>
        <v>33344900</v>
      </c>
      <c r="C102" s="283">
        <f>SUM(C84,C94)</f>
        <v>33344900</v>
      </c>
      <c r="D102" s="284">
        <f>SUM(D84,D94)</f>
        <v>37344234.850000001</v>
      </c>
      <c r="E102" s="285">
        <f t="shared" si="37"/>
        <v>1.1199384268658776</v>
      </c>
    </row>
    <row r="104" spans="1:14" ht="13.5" thickBot="1" x14ac:dyDescent="0.25"/>
    <row r="105" spans="1:14" ht="21.75" thickBot="1" x14ac:dyDescent="0.4">
      <c r="A105" s="444" t="s">
        <v>254</v>
      </c>
      <c r="B105" s="445"/>
      <c r="C105" s="445"/>
      <c r="D105" s="445"/>
      <c r="E105" s="287">
        <f>Despesas!D24/D102</f>
        <v>0.23838672624457316</v>
      </c>
    </row>
    <row r="106" spans="1:14" ht="15.75" thickBot="1" x14ac:dyDescent="0.3">
      <c r="A106" s="61"/>
      <c r="B106" s="61"/>
      <c r="C106" s="61"/>
      <c r="D106" s="61"/>
      <c r="E106" s="61"/>
    </row>
    <row r="107" spans="1:14" ht="15.75" thickBot="1" x14ac:dyDescent="0.3">
      <c r="A107" s="446" t="s">
        <v>255</v>
      </c>
      <c r="B107" s="447"/>
      <c r="C107" s="447"/>
      <c r="D107" s="447"/>
      <c r="E107" s="262">
        <f>(D102*15%)-Despesas!D24</f>
        <v>-3300734.6624999987</v>
      </c>
    </row>
    <row r="109" spans="1:14" ht="15.75" x14ac:dyDescent="0.25">
      <c r="A109" s="448" t="s">
        <v>264</v>
      </c>
      <c r="B109" s="449"/>
      <c r="C109" s="449"/>
      <c r="D109" s="449"/>
      <c r="E109" s="449"/>
      <c r="F109" s="449"/>
      <c r="G109" s="449"/>
      <c r="H109" s="449"/>
      <c r="I109" s="449"/>
      <c r="J109" s="449"/>
      <c r="K109" s="449"/>
      <c r="L109" s="449"/>
      <c r="M109" s="449"/>
      <c r="N109" s="450"/>
    </row>
    <row r="110" spans="1:14" ht="15.75" x14ac:dyDescent="0.25">
      <c r="A110" s="181"/>
      <c r="B110" s="181"/>
      <c r="C110" s="181"/>
      <c r="D110" s="181"/>
      <c r="E110" s="181"/>
      <c r="F110" s="181"/>
      <c r="G110" s="181"/>
      <c r="H110" s="181"/>
      <c r="I110" s="181"/>
      <c r="J110" s="181"/>
      <c r="K110" s="181"/>
      <c r="L110" s="181"/>
      <c r="M110" s="181"/>
      <c r="N110" s="181"/>
    </row>
    <row r="111" spans="1:14" ht="15.75" x14ac:dyDescent="0.25">
      <c r="A111" s="182" t="s">
        <v>218</v>
      </c>
      <c r="B111" s="45">
        <v>44197</v>
      </c>
      <c r="C111" s="45">
        <v>44228</v>
      </c>
      <c r="D111" s="45">
        <v>44256</v>
      </c>
      <c r="E111" s="45">
        <v>44287</v>
      </c>
      <c r="F111" s="45">
        <v>44317</v>
      </c>
      <c r="G111" s="45">
        <v>44348</v>
      </c>
      <c r="H111" s="45">
        <v>44378</v>
      </c>
      <c r="I111" s="45">
        <v>44409</v>
      </c>
      <c r="J111" s="45">
        <v>44440</v>
      </c>
      <c r="K111" s="45">
        <v>44470</v>
      </c>
      <c r="L111" s="45">
        <v>44501</v>
      </c>
      <c r="M111" s="45">
        <v>44531</v>
      </c>
      <c r="N111" s="46" t="s">
        <v>2</v>
      </c>
    </row>
    <row r="112" spans="1:14" ht="15.75" x14ac:dyDescent="0.25">
      <c r="A112" s="178" t="s">
        <v>200</v>
      </c>
      <c r="B112" s="48">
        <v>2070468.94</v>
      </c>
      <c r="C112" s="48">
        <v>2681588.4300000002</v>
      </c>
      <c r="D112" s="48">
        <v>2455221.8199999998</v>
      </c>
      <c r="E112" s="48">
        <v>2465434.13</v>
      </c>
      <c r="F112" s="48">
        <v>2456366.9</v>
      </c>
      <c r="G112" s="48">
        <v>3630684.72</v>
      </c>
      <c r="H112" s="48">
        <v>2499754</v>
      </c>
      <c r="I112" s="48">
        <v>2465634.6</v>
      </c>
      <c r="J112" s="48">
        <v>2458507.41</v>
      </c>
      <c r="K112" s="48">
        <v>2489836.69</v>
      </c>
      <c r="L112" s="48">
        <v>2611259.63</v>
      </c>
      <c r="M112" s="48">
        <v>3572944</v>
      </c>
      <c r="N112" s="49">
        <f>SUM(B112:M112)</f>
        <v>31857701.270000003</v>
      </c>
    </row>
    <row r="113" spans="1:14" ht="15.75" x14ac:dyDescent="0.25">
      <c r="A113" s="178" t="s">
        <v>201</v>
      </c>
      <c r="B113" s="48">
        <v>0</v>
      </c>
      <c r="C113" s="48">
        <v>0</v>
      </c>
      <c r="D113" s="48">
        <v>0</v>
      </c>
      <c r="E113" s="48">
        <v>0</v>
      </c>
      <c r="F113" s="48"/>
      <c r="G113" s="48"/>
      <c r="H113" s="48"/>
      <c r="I113" s="48"/>
      <c r="J113" s="48"/>
      <c r="K113" s="48"/>
      <c r="L113" s="48"/>
      <c r="M113" s="48"/>
      <c r="N113" s="49">
        <f t="shared" ref="N113:N117" si="39">SUM(B113:M113)</f>
        <v>0</v>
      </c>
    </row>
    <row r="114" spans="1:14" ht="15.75" x14ac:dyDescent="0.25">
      <c r="A114" s="178" t="s">
        <v>204</v>
      </c>
      <c r="B114" s="48">
        <v>0</v>
      </c>
      <c r="C114" s="48">
        <v>180515.91</v>
      </c>
      <c r="D114" s="48">
        <v>229527.05</v>
      </c>
      <c r="E114" s="48">
        <v>243094.13</v>
      </c>
      <c r="F114" s="48">
        <v>234079.17</v>
      </c>
      <c r="G114" s="48">
        <v>226372.1</v>
      </c>
      <c r="H114" s="48">
        <v>232467.44</v>
      </c>
      <c r="I114" s="48">
        <v>216942.06</v>
      </c>
      <c r="J114" s="48">
        <v>217675.41</v>
      </c>
      <c r="K114" s="48">
        <v>217612.38</v>
      </c>
      <c r="L114" s="48">
        <v>219167.07</v>
      </c>
      <c r="M114" s="39">
        <v>276649.89</v>
      </c>
      <c r="N114" s="49">
        <f t="shared" si="39"/>
        <v>2494102.61</v>
      </c>
    </row>
    <row r="115" spans="1:14" ht="15.75" x14ac:dyDescent="0.25">
      <c r="A115" s="178" t="s">
        <v>202</v>
      </c>
      <c r="B115" s="48">
        <v>0</v>
      </c>
      <c r="C115" s="48">
        <v>0</v>
      </c>
      <c r="D115" s="48">
        <v>0</v>
      </c>
      <c r="E115" s="48">
        <v>0</v>
      </c>
      <c r="F115" s="48">
        <v>0</v>
      </c>
      <c r="G115" s="48"/>
      <c r="H115" s="48"/>
      <c r="I115" s="48"/>
      <c r="J115" s="48"/>
      <c r="K115" s="48"/>
      <c r="L115" s="48"/>
      <c r="M115" s="48"/>
      <c r="N115" s="49">
        <f t="shared" si="39"/>
        <v>0</v>
      </c>
    </row>
    <row r="116" spans="1:14" ht="15.75" x14ac:dyDescent="0.25">
      <c r="A116" s="178" t="s">
        <v>206</v>
      </c>
      <c r="B116" s="48">
        <v>0</v>
      </c>
      <c r="C116" s="48">
        <f>12285.54+595.12</f>
        <v>12880.660000000002</v>
      </c>
      <c r="D116" s="48">
        <f>12285.54+595.12</f>
        <v>12880.660000000002</v>
      </c>
      <c r="E116" s="48">
        <f>12285.54+595.12</f>
        <v>12880.660000000002</v>
      </c>
      <c r="F116" s="48">
        <v>12880.66</v>
      </c>
      <c r="G116" s="48">
        <v>12880.66</v>
      </c>
      <c r="H116" s="48">
        <v>12880.66</v>
      </c>
      <c r="I116" s="48">
        <v>12880.66</v>
      </c>
      <c r="J116" s="48">
        <v>13514.41</v>
      </c>
      <c r="K116" s="48">
        <v>13514.41</v>
      </c>
      <c r="L116" s="48">
        <v>13514.41</v>
      </c>
      <c r="M116" s="48">
        <v>27028.82</v>
      </c>
      <c r="N116" s="49">
        <f t="shared" si="39"/>
        <v>157736.67000000001</v>
      </c>
    </row>
    <row r="117" spans="1:14" ht="15.75" x14ac:dyDescent="0.25">
      <c r="A117" s="178" t="s">
        <v>203</v>
      </c>
      <c r="B117" s="48"/>
      <c r="C117" s="48"/>
      <c r="D117" s="48"/>
      <c r="E117" s="48"/>
      <c r="F117" s="48"/>
      <c r="G117" s="48">
        <v>198650</v>
      </c>
      <c r="H117" s="48"/>
      <c r="I117" s="48"/>
      <c r="J117" s="48"/>
      <c r="K117" s="48"/>
      <c r="L117" s="48"/>
      <c r="M117" s="48">
        <f>198650+200000</f>
        <v>398650</v>
      </c>
      <c r="N117" s="49">
        <f t="shared" si="39"/>
        <v>597300</v>
      </c>
    </row>
    <row r="118" spans="1:14" ht="15.75" x14ac:dyDescent="0.25">
      <c r="A118" s="47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9"/>
    </row>
    <row r="119" spans="1:14" ht="15.75" x14ac:dyDescent="0.25">
      <c r="A119" s="47" t="s">
        <v>205</v>
      </c>
      <c r="B119" s="49">
        <f>SUM(B112:B117)</f>
        <v>2070468.94</v>
      </c>
      <c r="C119" s="49">
        <f>SUM(C112:C117)</f>
        <v>2874985.0000000005</v>
      </c>
      <c r="D119" s="49">
        <f>SUM(D112:D117)</f>
        <v>2697629.53</v>
      </c>
      <c r="E119" s="49">
        <f>SUM(E112:E117)</f>
        <v>2721408.92</v>
      </c>
      <c r="F119" s="49">
        <f t="shared" ref="F119:L119" si="40">SUM(F112:F117)</f>
        <v>2703326.73</v>
      </c>
      <c r="G119" s="49">
        <f t="shared" si="40"/>
        <v>4068587.4800000004</v>
      </c>
      <c r="H119" s="49">
        <f t="shared" si="40"/>
        <v>2745102.1</v>
      </c>
      <c r="I119" s="49">
        <f t="shared" si="40"/>
        <v>2695457.3200000003</v>
      </c>
      <c r="J119" s="49">
        <f t="shared" si="40"/>
        <v>2689697.2300000004</v>
      </c>
      <c r="K119" s="49">
        <f t="shared" si="40"/>
        <v>2720963.48</v>
      </c>
      <c r="L119" s="49">
        <f t="shared" si="40"/>
        <v>2843941.11</v>
      </c>
      <c r="M119" s="49">
        <f>SUM(M112:M117)</f>
        <v>4275272.71</v>
      </c>
      <c r="N119" s="49">
        <f>SUM(N112:N117)</f>
        <v>35106840.550000004</v>
      </c>
    </row>
    <row r="120" spans="1:14" ht="15.75" x14ac:dyDescent="0.25">
      <c r="A120" s="47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9"/>
    </row>
    <row r="121" spans="1:14" ht="15.75" x14ac:dyDescent="0.25">
      <c r="A121" s="58" t="s">
        <v>138</v>
      </c>
      <c r="B121" s="177">
        <v>0</v>
      </c>
      <c r="C121" s="177">
        <v>0</v>
      </c>
      <c r="D121" s="177">
        <v>0</v>
      </c>
      <c r="E121" s="177">
        <v>0</v>
      </c>
      <c r="F121" s="60"/>
      <c r="G121" s="60"/>
      <c r="H121" s="60"/>
      <c r="I121" s="60"/>
      <c r="J121" s="60"/>
      <c r="K121" s="60"/>
      <c r="L121" s="60"/>
      <c r="M121" s="60"/>
      <c r="N121" s="49">
        <f>SUM(B121:M121)</f>
        <v>0</v>
      </c>
    </row>
    <row r="122" spans="1:14" ht="15.75" x14ac:dyDescent="0.25">
      <c r="A122" s="58"/>
      <c r="B122" s="177"/>
      <c r="C122" s="177"/>
      <c r="D122" s="177"/>
      <c r="E122" s="177"/>
      <c r="F122" s="60"/>
      <c r="G122" s="60"/>
      <c r="H122" s="60"/>
      <c r="I122" s="60"/>
      <c r="J122" s="60"/>
      <c r="K122" s="60"/>
      <c r="L122" s="60"/>
      <c r="M122" s="60"/>
      <c r="N122" s="59"/>
    </row>
    <row r="123" spans="1:14" ht="15.75" x14ac:dyDescent="0.25">
      <c r="A123" s="51" t="s">
        <v>217</v>
      </c>
      <c r="B123" s="51">
        <f>B119-B121</f>
        <v>2070468.94</v>
      </c>
      <c r="C123" s="51">
        <f>C119-C121</f>
        <v>2874985.0000000005</v>
      </c>
      <c r="D123" s="51">
        <f>D119-D121</f>
        <v>2697629.53</v>
      </c>
      <c r="E123" s="51">
        <f>E119-E121</f>
        <v>2721408.92</v>
      </c>
      <c r="F123" s="51">
        <f t="shared" ref="F123:M123" si="41">F119-F121</f>
        <v>2703326.73</v>
      </c>
      <c r="G123" s="51">
        <f t="shared" si="41"/>
        <v>4068587.4800000004</v>
      </c>
      <c r="H123" s="51">
        <f t="shared" si="41"/>
        <v>2745102.1</v>
      </c>
      <c r="I123" s="51">
        <f t="shared" si="41"/>
        <v>2695457.3200000003</v>
      </c>
      <c r="J123" s="51">
        <f t="shared" si="41"/>
        <v>2689697.2300000004</v>
      </c>
      <c r="K123" s="51">
        <f t="shared" si="41"/>
        <v>2720963.48</v>
      </c>
      <c r="L123" s="51">
        <f t="shared" si="41"/>
        <v>2843941.11</v>
      </c>
      <c r="M123" s="51">
        <f t="shared" si="41"/>
        <v>4275272.71</v>
      </c>
      <c r="N123" s="51">
        <f>N119-N121</f>
        <v>35106840.550000004</v>
      </c>
    </row>
    <row r="124" spans="1:14" ht="15.75" x14ac:dyDescent="0.2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</row>
    <row r="125" spans="1:14" ht="15" x14ac:dyDescent="0.2">
      <c r="A125" s="52" t="s">
        <v>215</v>
      </c>
      <c r="B125" s="52">
        <f t="shared" ref="B125:M125" si="42">B25</f>
        <v>3819219.5500000003</v>
      </c>
      <c r="C125" s="52">
        <f t="shared" si="42"/>
        <v>4656022.76</v>
      </c>
      <c r="D125" s="52">
        <f t="shared" si="42"/>
        <v>3859246.91</v>
      </c>
      <c r="E125" s="52">
        <f t="shared" si="42"/>
        <v>3607438.63</v>
      </c>
      <c r="F125" s="52">
        <f t="shared" si="42"/>
        <v>4094177.7899999991</v>
      </c>
      <c r="G125" s="52">
        <f t="shared" si="42"/>
        <v>4405932.97</v>
      </c>
      <c r="H125" s="52">
        <f t="shared" si="42"/>
        <v>4711818.209999999</v>
      </c>
      <c r="I125" s="52">
        <f t="shared" si="42"/>
        <v>4928506.55</v>
      </c>
      <c r="J125" s="52">
        <f t="shared" si="42"/>
        <v>3887933.5800000005</v>
      </c>
      <c r="K125" s="52">
        <f t="shared" si="42"/>
        <v>4146905.3300000005</v>
      </c>
      <c r="L125" s="52">
        <f t="shared" si="42"/>
        <v>5474357.2699999996</v>
      </c>
      <c r="M125" s="52">
        <f t="shared" si="42"/>
        <v>7942238.71</v>
      </c>
      <c r="N125" s="205">
        <f>SUM(B125:M125)</f>
        <v>55533798.259999998</v>
      </c>
    </row>
    <row r="126" spans="1:14" ht="15.75" x14ac:dyDescent="0.2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3"/>
    </row>
    <row r="127" spans="1:14" ht="15.75" x14ac:dyDescent="0.25">
      <c r="A127" s="51" t="s">
        <v>123</v>
      </c>
      <c r="B127" s="56">
        <f>B123/B125</f>
        <v>0.54211833409786558</v>
      </c>
      <c r="C127" s="56">
        <f>C123/C125</f>
        <v>0.61747657779920317</v>
      </c>
      <c r="D127" s="56">
        <f>D123/D125</f>
        <v>0.69900413031619157</v>
      </c>
      <c r="E127" s="56">
        <f>E123/E125</f>
        <v>0.75438814048515079</v>
      </c>
      <c r="F127" s="56">
        <f t="shared" ref="F127:M127" si="43">F123/F125</f>
        <v>0.66028562233004551</v>
      </c>
      <c r="G127" s="56">
        <f t="shared" si="43"/>
        <v>0.92343381247581724</v>
      </c>
      <c r="H127" s="56">
        <f t="shared" si="43"/>
        <v>0.58259932316022023</v>
      </c>
      <c r="I127" s="56">
        <f t="shared" si="43"/>
        <v>0.54691158318537703</v>
      </c>
      <c r="J127" s="56">
        <f t="shared" si="43"/>
        <v>0.69180637340003115</v>
      </c>
      <c r="K127" s="56">
        <f t="shared" si="43"/>
        <v>0.65614313891269849</v>
      </c>
      <c r="L127" s="56">
        <f t="shared" si="43"/>
        <v>0.51950228487736239</v>
      </c>
      <c r="M127" s="56">
        <f t="shared" si="43"/>
        <v>0.53829567028966818</v>
      </c>
      <c r="N127" s="56">
        <f>N123/N125</f>
        <v>0.63217070774874107</v>
      </c>
    </row>
    <row r="128" spans="1:14" ht="15.75" x14ac:dyDescent="0.25">
      <c r="A128" s="179"/>
      <c r="B128" s="179"/>
      <c r="C128" s="179"/>
      <c r="D128" s="160"/>
      <c r="E128" s="179"/>
      <c r="F128" s="179"/>
      <c r="G128" s="179"/>
      <c r="H128" s="179"/>
      <c r="I128" s="179"/>
      <c r="J128" s="179"/>
      <c r="K128" s="179"/>
      <c r="L128" s="179"/>
      <c r="M128" s="184"/>
      <c r="N128" s="179"/>
    </row>
    <row r="129" spans="1:14" ht="20.25" x14ac:dyDescent="0.3">
      <c r="A129" s="179"/>
      <c r="B129" s="184"/>
      <c r="C129" s="184"/>
      <c r="D129" s="184"/>
      <c r="E129" s="184"/>
      <c r="F129" s="179"/>
      <c r="G129" s="179"/>
      <c r="H129" s="179"/>
      <c r="I129" s="179"/>
      <c r="J129" s="179"/>
      <c r="K129" s="451" t="s">
        <v>258</v>
      </c>
      <c r="L129" s="451"/>
      <c r="M129" s="451"/>
      <c r="N129" s="208">
        <f>N127</f>
        <v>0.63217070774874107</v>
      </c>
    </row>
  </sheetData>
  <mergeCells count="14">
    <mergeCell ref="A1:N1"/>
    <mergeCell ref="A41:P41"/>
    <mergeCell ref="A42:A43"/>
    <mergeCell ref="B42:B43"/>
    <mergeCell ref="C42:P42"/>
    <mergeCell ref="A105:D105"/>
    <mergeCell ref="A107:D107"/>
    <mergeCell ref="A109:N109"/>
    <mergeCell ref="K129:M129"/>
    <mergeCell ref="A81:E81"/>
    <mergeCell ref="A82:A83"/>
    <mergeCell ref="B82:B83"/>
    <mergeCell ref="C82:C83"/>
    <mergeCell ref="D82:E82"/>
  </mergeCells>
  <conditionalFormatting sqref="D5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{8C921559-8AF7-4428-9558-FB1020377ACC}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C921559-8AF7-4428-9558-FB1020377A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D52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D5906-A47A-4AD6-BDC1-6DBFC3890451}">
  <dimension ref="A1:F26"/>
  <sheetViews>
    <sheetView zoomScale="110" zoomScaleNormal="110" workbookViewId="0">
      <selection activeCell="F27" sqref="F27"/>
    </sheetView>
  </sheetViews>
  <sheetFormatPr defaultRowHeight="15" x14ac:dyDescent="0.25"/>
  <cols>
    <col min="1" max="1" width="81.42578125" style="425" bestFit="1" customWidth="1"/>
    <col min="2" max="2" width="13" style="418" customWidth="1"/>
    <col min="3" max="3" width="13.42578125" style="418" customWidth="1"/>
    <col min="4" max="4" width="13.7109375" style="418" customWidth="1"/>
    <col min="5" max="5" width="14.140625" style="418" bestFit="1" customWidth="1"/>
    <col min="6" max="6" width="17.5703125" style="418" bestFit="1" customWidth="1"/>
    <col min="7" max="16384" width="9.140625" style="418"/>
  </cols>
  <sheetData>
    <row r="1" spans="1:6" ht="16.5" customHeight="1" x14ac:dyDescent="0.25">
      <c r="A1" s="416"/>
      <c r="B1" s="417" t="s">
        <v>313</v>
      </c>
      <c r="C1" s="417" t="s">
        <v>314</v>
      </c>
      <c r="D1" s="417" t="s">
        <v>315</v>
      </c>
    </row>
    <row r="2" spans="1:6" ht="15" customHeight="1" x14ac:dyDescent="0.25">
      <c r="A2" s="419" t="s">
        <v>316</v>
      </c>
      <c r="B2" s="420">
        <v>12059512.4</v>
      </c>
      <c r="C2" s="421">
        <v>12059512.4</v>
      </c>
      <c r="D2" s="420">
        <v>11737628.630000001</v>
      </c>
      <c r="E2" s="422">
        <f>C2-D2</f>
        <v>321883.76999999955</v>
      </c>
      <c r="F2" s="422">
        <f>C2-D2+84010.89</f>
        <v>405894.65999999957</v>
      </c>
    </row>
    <row r="3" spans="1:6" ht="15" customHeight="1" x14ac:dyDescent="0.25">
      <c r="A3" s="419" t="s">
        <v>317</v>
      </c>
      <c r="B3" s="421">
        <v>12086135.82</v>
      </c>
      <c r="C3" s="421">
        <v>12086135.82</v>
      </c>
      <c r="D3" s="421">
        <v>11680241.16</v>
      </c>
      <c r="E3" s="422">
        <f t="shared" ref="E3:E6" si="0">C3-D3</f>
        <v>405894.66000000015</v>
      </c>
      <c r="F3" s="422">
        <f>C3-D3</f>
        <v>405894.66000000015</v>
      </c>
    </row>
    <row r="4" spans="1:6" ht="15" customHeight="1" x14ac:dyDescent="0.25">
      <c r="A4" s="419" t="s">
        <v>318</v>
      </c>
      <c r="B4" s="421">
        <v>4190242.73</v>
      </c>
      <c r="C4" s="421">
        <v>4190242.73</v>
      </c>
      <c r="D4" s="421">
        <v>4190242.73</v>
      </c>
      <c r="E4" s="422">
        <f t="shared" si="0"/>
        <v>0</v>
      </c>
      <c r="F4" s="422">
        <f>D3+F2</f>
        <v>12086135.82</v>
      </c>
    </row>
    <row r="5" spans="1:6" ht="15" customHeight="1" x14ac:dyDescent="0.25">
      <c r="A5" s="419" t="s">
        <v>319</v>
      </c>
      <c r="B5" s="423">
        <f>B6+B7</f>
        <v>449267.77</v>
      </c>
      <c r="C5" s="423">
        <f>C6+C7</f>
        <v>449267.77</v>
      </c>
      <c r="D5" s="423">
        <f>D6+D7</f>
        <v>354862.07999999996</v>
      </c>
      <c r="E5" s="422">
        <f t="shared" si="0"/>
        <v>94405.690000000061</v>
      </c>
    </row>
    <row r="6" spans="1:6" ht="15" customHeight="1" x14ac:dyDescent="0.25">
      <c r="A6" s="419" t="s">
        <v>320</v>
      </c>
      <c r="B6" s="423">
        <v>376855.3</v>
      </c>
      <c r="C6" s="423">
        <v>376855.3</v>
      </c>
      <c r="D6" s="423">
        <v>282449.61</v>
      </c>
      <c r="E6" s="422">
        <f t="shared" si="0"/>
        <v>94405.69</v>
      </c>
    </row>
    <row r="7" spans="1:6" ht="15" customHeight="1" x14ac:dyDescent="0.25">
      <c r="A7" s="419" t="s">
        <v>321</v>
      </c>
      <c r="B7" s="423">
        <v>72412.47</v>
      </c>
      <c r="C7" s="423">
        <v>72412.47</v>
      </c>
      <c r="D7" s="423">
        <v>72412.47</v>
      </c>
      <c r="F7" s="422">
        <f>E3-E2</f>
        <v>84010.890000000596</v>
      </c>
    </row>
    <row r="8" spans="1:6" x14ac:dyDescent="0.25">
      <c r="A8" s="416"/>
      <c r="B8" s="424"/>
      <c r="C8" s="424"/>
      <c r="D8" s="424"/>
    </row>
    <row r="10" spans="1:6" x14ac:dyDescent="0.25">
      <c r="B10" s="422">
        <f>B3+B4-B12</f>
        <v>0</v>
      </c>
      <c r="C10" s="422">
        <f t="shared" ref="C10" si="1">C3+C4-C12</f>
        <v>0</v>
      </c>
      <c r="D10" s="422">
        <f>D3+D4-D12</f>
        <v>0</v>
      </c>
    </row>
    <row r="12" spans="1:6" x14ac:dyDescent="0.25">
      <c r="B12" s="420">
        <f>SUM(B13:B14)</f>
        <v>16276378.550000001</v>
      </c>
      <c r="C12" s="420">
        <f t="shared" ref="C12:D12" si="2">SUM(C13:C14)</f>
        <v>16276378.550000001</v>
      </c>
      <c r="D12" s="420">
        <f t="shared" si="2"/>
        <v>15870483.890000001</v>
      </c>
    </row>
    <row r="13" spans="1:6" x14ac:dyDescent="0.25">
      <c r="A13" s="426">
        <v>0.7</v>
      </c>
      <c r="B13" s="420">
        <v>12059512.4</v>
      </c>
      <c r="C13" s="420">
        <v>12059512.4</v>
      </c>
      <c r="D13" s="420">
        <v>11737628.630000001</v>
      </c>
    </row>
    <row r="14" spans="1:6" x14ac:dyDescent="0.25">
      <c r="A14" s="426">
        <v>0.3</v>
      </c>
      <c r="B14" s="420">
        <v>4216866.1500000004</v>
      </c>
      <c r="C14" s="420">
        <v>4216866.1500000004</v>
      </c>
      <c r="D14" s="420">
        <v>4132855.26</v>
      </c>
    </row>
    <row r="15" spans="1:6" x14ac:dyDescent="0.25">
      <c r="B15" s="420"/>
      <c r="C15" s="420"/>
      <c r="D15" s="420"/>
      <c r="F15" s="422"/>
    </row>
    <row r="16" spans="1:6" x14ac:dyDescent="0.25">
      <c r="B16" s="427">
        <f>B17+B18</f>
        <v>15835874.200000001</v>
      </c>
      <c r="F16" s="428"/>
    </row>
    <row r="17" spans="2:6" x14ac:dyDescent="0.25">
      <c r="B17" s="420">
        <v>11645631.470000001</v>
      </c>
      <c r="C17" s="422"/>
      <c r="F17" s="428"/>
    </row>
    <row r="18" spans="2:6" x14ac:dyDescent="0.25">
      <c r="B18" s="420">
        <v>4190242.73</v>
      </c>
      <c r="F18" s="428"/>
    </row>
    <row r="19" spans="2:6" x14ac:dyDescent="0.25">
      <c r="B19" s="420">
        <v>15629.96</v>
      </c>
      <c r="F19" s="429">
        <v>5614970</v>
      </c>
    </row>
    <row r="20" spans="2:6" x14ac:dyDescent="0.25">
      <c r="B20" s="430">
        <f>SUM(B17:B19)</f>
        <v>15851504.160000002</v>
      </c>
      <c r="F20" s="429">
        <v>12258630</v>
      </c>
    </row>
    <row r="21" spans="2:6" x14ac:dyDescent="0.25">
      <c r="B21" s="431">
        <v>0.7</v>
      </c>
      <c r="C21" s="432">
        <f>B20*B21</f>
        <v>11096052.912</v>
      </c>
      <c r="F21" s="429">
        <v>3951406</v>
      </c>
    </row>
    <row r="22" spans="2:6" x14ac:dyDescent="0.25">
      <c r="B22" s="433"/>
      <c r="C22" s="418">
        <v>11096052.91</v>
      </c>
      <c r="F22" s="429">
        <f>SUM(F19:F21)</f>
        <v>21825006</v>
      </c>
    </row>
    <row r="24" spans="2:6" x14ac:dyDescent="0.25">
      <c r="F24" s="429">
        <v>25248056</v>
      </c>
    </row>
    <row r="26" spans="2:6" x14ac:dyDescent="0.25">
      <c r="F26" s="429">
        <f>F24-F22</f>
        <v>3423050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8"/>
  <sheetViews>
    <sheetView workbookViewId="0">
      <selection activeCell="A3" sqref="A3"/>
    </sheetView>
  </sheetViews>
  <sheetFormatPr defaultRowHeight="15" x14ac:dyDescent="0.25"/>
  <cols>
    <col min="1" max="1" width="20.7109375" customWidth="1"/>
    <col min="2" max="2" width="30.42578125" customWidth="1"/>
    <col min="3" max="3" width="15.42578125" bestFit="1" customWidth="1"/>
    <col min="4" max="4" width="16.5703125" bestFit="1" customWidth="1"/>
    <col min="5" max="5" width="35.85546875" customWidth="1"/>
    <col min="6" max="6" width="14.85546875" bestFit="1" customWidth="1"/>
    <col min="7" max="7" width="19" customWidth="1"/>
  </cols>
  <sheetData>
    <row r="1" spans="1:7" ht="25.5" customHeight="1" x14ac:dyDescent="0.25">
      <c r="A1" s="575" t="s">
        <v>141</v>
      </c>
      <c r="B1" s="575"/>
      <c r="C1" s="575"/>
      <c r="D1" s="575"/>
      <c r="E1" s="575"/>
      <c r="F1" s="575"/>
      <c r="G1" s="575"/>
    </row>
    <row r="2" spans="1:7" ht="25.5" x14ac:dyDescent="0.25">
      <c r="A2" s="76" t="s">
        <v>142</v>
      </c>
      <c r="B2" s="76" t="s">
        <v>143</v>
      </c>
      <c r="C2" s="76" t="s">
        <v>144</v>
      </c>
      <c r="D2" s="76" t="s">
        <v>145</v>
      </c>
      <c r="E2" s="76" t="s">
        <v>146</v>
      </c>
      <c r="F2" s="76" t="s">
        <v>147</v>
      </c>
      <c r="G2" s="76" t="s">
        <v>148</v>
      </c>
    </row>
    <row r="3" spans="1:7" x14ac:dyDescent="0.25">
      <c r="A3" s="67" t="s">
        <v>149</v>
      </c>
      <c r="B3" s="68" t="s">
        <v>150</v>
      </c>
      <c r="C3" s="69">
        <v>43896</v>
      </c>
      <c r="D3" s="68" t="s">
        <v>151</v>
      </c>
      <c r="E3" s="68" t="s">
        <v>152</v>
      </c>
      <c r="F3" s="70">
        <v>4852514.8099999996</v>
      </c>
      <c r="G3" s="70">
        <v>5322622.1100000003</v>
      </c>
    </row>
    <row r="4" spans="1:7" x14ac:dyDescent="0.25">
      <c r="A4" s="71" t="s">
        <v>153</v>
      </c>
      <c r="B4" s="72" t="s">
        <v>150</v>
      </c>
      <c r="C4" s="73">
        <v>43902</v>
      </c>
      <c r="D4" s="72" t="s">
        <v>151</v>
      </c>
      <c r="E4" s="72" t="s">
        <v>152</v>
      </c>
      <c r="F4" s="74">
        <v>180249</v>
      </c>
      <c r="G4" s="74">
        <v>325992.40000000002</v>
      </c>
    </row>
    <row r="5" spans="1:7" x14ac:dyDescent="0.25">
      <c r="A5" s="67" t="s">
        <v>154</v>
      </c>
      <c r="B5" s="68" t="s">
        <v>150</v>
      </c>
      <c r="C5" s="69">
        <v>43901</v>
      </c>
      <c r="D5" s="68" t="s">
        <v>151</v>
      </c>
      <c r="E5" s="68" t="s">
        <v>152</v>
      </c>
      <c r="F5" s="70">
        <v>918880</v>
      </c>
      <c r="G5" s="70">
        <v>1083170.2</v>
      </c>
    </row>
    <row r="6" spans="1:7" x14ac:dyDescent="0.25">
      <c r="A6" s="71" t="s">
        <v>155</v>
      </c>
      <c r="B6" s="72" t="s">
        <v>156</v>
      </c>
      <c r="C6" s="73">
        <v>43902</v>
      </c>
      <c r="D6" s="72" t="s">
        <v>157</v>
      </c>
      <c r="E6" s="72" t="s">
        <v>152</v>
      </c>
      <c r="F6" s="74">
        <v>78000</v>
      </c>
      <c r="G6" s="74">
        <v>78000</v>
      </c>
    </row>
    <row r="7" spans="1:7" ht="18" x14ac:dyDescent="0.25">
      <c r="A7" s="67" t="s">
        <v>158</v>
      </c>
      <c r="B7" s="68" t="s">
        <v>159</v>
      </c>
      <c r="C7" s="69">
        <v>43893</v>
      </c>
      <c r="D7" s="68" t="s">
        <v>139</v>
      </c>
      <c r="E7" s="68" t="s">
        <v>152</v>
      </c>
      <c r="F7" s="70">
        <v>232179.94</v>
      </c>
      <c r="G7" s="70">
        <v>23218844</v>
      </c>
    </row>
    <row r="8" spans="1:7" x14ac:dyDescent="0.25">
      <c r="A8" s="75"/>
      <c r="B8" s="576" t="s">
        <v>160</v>
      </c>
      <c r="C8" s="576"/>
      <c r="D8" s="576" t="s">
        <v>161</v>
      </c>
      <c r="E8" s="576"/>
      <c r="F8" s="576"/>
      <c r="G8" s="576"/>
    </row>
  </sheetData>
  <mergeCells count="3">
    <mergeCell ref="A1:G1"/>
    <mergeCell ref="D8:G8"/>
    <mergeCell ref="B8:C8"/>
  </mergeCells>
  <hyperlinks>
    <hyperlink ref="A3" r:id="rId1" display="javascript:WebForm_DoPostBackWithOptions(new WebForm_PostBackOptions(%22ctl00$ContentPlaceHolder1$gdvLicitacao$ctl02$lbkProcessoLicitatorio%22, %22%22, true, %22%22, %22%22, false, true))" xr:uid="{00000000-0004-0000-1F00-000000000000}"/>
    <hyperlink ref="A4" r:id="rId2" display="javascript:WebForm_DoPostBackWithOptions(new WebForm_PostBackOptions(%22ctl00$ContentPlaceHolder1$gdvLicitacao$ctl03$lbkProcessoLicitatorio%22, %22%22, true, %22%22, %22%22, false, true))" xr:uid="{00000000-0004-0000-1F00-000001000000}"/>
    <hyperlink ref="A5" r:id="rId3" display="javascript:WebForm_DoPostBackWithOptions(new WebForm_PostBackOptions(%22ctl00$ContentPlaceHolder1$gdvLicitacao$ctl04$lbkProcessoLicitatorio%22, %22%22, true, %22%22, %22%22, false, true))" xr:uid="{00000000-0004-0000-1F00-000002000000}"/>
    <hyperlink ref="A6" r:id="rId4" display="javascript:WebForm_DoPostBackWithOptions(new WebForm_PostBackOptions(%22ctl00$ContentPlaceHolder1$gdvLicitacao$ctl05$lbkProcessoLicitatorio%22, %22%22, true, %22%22, %22%22, false, true))" xr:uid="{00000000-0004-0000-1F00-000003000000}"/>
    <hyperlink ref="A7" r:id="rId5" display="javascript:WebForm_DoPostBackWithOptions(new WebForm_PostBackOptions(%22ctl00$ContentPlaceHolder1$gdvLicitacao$ctl06$lbkProcessoLicitatorio%22, %22%22, true, %22%22, %22%22, false, true))" xr:uid="{00000000-0004-0000-1F00-000004000000}"/>
  </hyperlinks>
  <pageMargins left="0.511811024" right="0.511811024" top="0.78740157499999996" bottom="0.78740157499999996" header="0.31496062000000002" footer="0.31496062000000002"/>
  <pageSetup paperSize="9" orientation="portrait" horizontalDpi="0" verticalDpi="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4C774-998B-43F5-B1A5-0DF2949B6D07}">
  <dimension ref="A1:S24"/>
  <sheetViews>
    <sheetView zoomScale="85" zoomScaleNormal="85" workbookViewId="0">
      <selection activeCell="C4" sqref="C4"/>
    </sheetView>
  </sheetViews>
  <sheetFormatPr defaultRowHeight="15" x14ac:dyDescent="0.25"/>
  <cols>
    <col min="1" max="1" width="81" customWidth="1"/>
    <col min="2" max="16" width="19.85546875" customWidth="1"/>
    <col min="18" max="18" width="81.28515625" customWidth="1"/>
    <col min="19" max="19" width="21.5703125" customWidth="1"/>
  </cols>
  <sheetData>
    <row r="1" spans="1:19" ht="31.5" x14ac:dyDescent="0.25">
      <c r="A1" s="473" t="s">
        <v>234</v>
      </c>
      <c r="B1" s="474"/>
      <c r="C1" s="474"/>
      <c r="D1" s="474"/>
      <c r="E1" s="474"/>
      <c r="F1" s="474"/>
      <c r="G1" s="474"/>
      <c r="H1" s="474"/>
      <c r="I1" s="474"/>
      <c r="J1" s="475"/>
      <c r="K1" s="440"/>
      <c r="L1" s="440"/>
      <c r="M1" s="440"/>
      <c r="N1" s="440"/>
      <c r="O1" s="237" t="s">
        <v>184</v>
      </c>
      <c r="P1" s="237" t="s">
        <v>11</v>
      </c>
      <c r="R1" s="476" t="s">
        <v>292</v>
      </c>
      <c r="S1" s="477"/>
    </row>
    <row r="2" spans="1:19" ht="15.75" x14ac:dyDescent="0.25">
      <c r="A2" s="438"/>
      <c r="B2" s="439"/>
      <c r="C2" s="341" t="s">
        <v>104</v>
      </c>
      <c r="D2" s="341" t="s">
        <v>105</v>
      </c>
      <c r="E2" s="341" t="s">
        <v>106</v>
      </c>
      <c r="F2" s="341" t="s">
        <v>107</v>
      </c>
      <c r="G2" s="341" t="s">
        <v>108</v>
      </c>
      <c r="H2" s="341" t="s">
        <v>109</v>
      </c>
      <c r="I2" s="341" t="s">
        <v>110</v>
      </c>
      <c r="J2" s="341" t="s">
        <v>111</v>
      </c>
      <c r="K2" s="341" t="s">
        <v>112</v>
      </c>
      <c r="L2" s="341" t="s">
        <v>113</v>
      </c>
      <c r="M2" s="341" t="s">
        <v>114</v>
      </c>
      <c r="N2" s="341" t="s">
        <v>115</v>
      </c>
      <c r="O2" s="237"/>
      <c r="P2" s="237"/>
      <c r="R2" s="145" t="str">
        <f>A5</f>
        <v>FUNDEB - FONTE 18</v>
      </c>
      <c r="S2" s="149">
        <f>O5</f>
        <v>11737628.630000001</v>
      </c>
    </row>
    <row r="3" spans="1:19" ht="15.75" x14ac:dyDescent="0.25">
      <c r="A3" s="225" t="s">
        <v>253</v>
      </c>
      <c r="B3" s="225"/>
      <c r="C3" s="225"/>
      <c r="D3" s="225"/>
      <c r="E3" s="229">
        <f>E4+E8</f>
        <v>0</v>
      </c>
      <c r="F3" s="229">
        <f>F4+F8</f>
        <v>5756357.5700000003</v>
      </c>
      <c r="G3" s="229">
        <f>G4+G8</f>
        <v>1512758.67</v>
      </c>
      <c r="H3" s="229">
        <f t="shared" ref="H3:N3" si="0">H4+H8</f>
        <v>2082207.1099999999</v>
      </c>
      <c r="I3" s="229">
        <f t="shared" si="0"/>
        <v>1503823.84</v>
      </c>
      <c r="J3" s="229">
        <f t="shared" si="0"/>
        <v>1502476.7599999998</v>
      </c>
      <c r="K3" s="229">
        <f t="shared" si="0"/>
        <v>1496998.75</v>
      </c>
      <c r="L3" s="229">
        <f t="shared" si="0"/>
        <v>1593290.75</v>
      </c>
      <c r="M3" s="229">
        <f t="shared" si="0"/>
        <v>1697241.82</v>
      </c>
      <c r="N3" s="229">
        <f t="shared" si="0"/>
        <v>2344360.17</v>
      </c>
      <c r="O3" s="229">
        <f>O4+O8</f>
        <v>19489515.439999998</v>
      </c>
      <c r="P3" s="225"/>
      <c r="R3" s="145" t="str">
        <f>A6</f>
        <v>FUNDEB - FONTE 19</v>
      </c>
      <c r="S3" s="149">
        <f>O6</f>
        <v>4132855.2600000007</v>
      </c>
    </row>
    <row r="4" spans="1:19" ht="15.75" x14ac:dyDescent="0.25">
      <c r="A4" s="142" t="s">
        <v>246</v>
      </c>
      <c r="B4" s="226">
        <f>SUM(B5:B6)</f>
        <v>0</v>
      </c>
      <c r="C4" s="226">
        <f t="shared" ref="C4:N4" si="1">SUM(C5:C6)</f>
        <v>0</v>
      </c>
      <c r="D4" s="226">
        <f t="shared" si="1"/>
        <v>0</v>
      </c>
      <c r="E4" s="226">
        <f t="shared" si="1"/>
        <v>0</v>
      </c>
      <c r="F4" s="226">
        <f t="shared" si="1"/>
        <v>5120853.6400000006</v>
      </c>
      <c r="G4" s="226">
        <f t="shared" si="1"/>
        <v>1108643.68</v>
      </c>
      <c r="H4" s="226">
        <f t="shared" si="1"/>
        <v>995262.63</v>
      </c>
      <c r="I4" s="226">
        <f t="shared" si="1"/>
        <v>1300221.03</v>
      </c>
      <c r="J4" s="226">
        <f t="shared" si="1"/>
        <v>1414130.6099999999</v>
      </c>
      <c r="K4" s="226">
        <f t="shared" si="1"/>
        <v>1199755.76</v>
      </c>
      <c r="L4" s="226">
        <f t="shared" si="1"/>
        <v>1384928.6</v>
      </c>
      <c r="M4" s="226">
        <f t="shared" si="1"/>
        <v>1519472.85</v>
      </c>
      <c r="N4" s="226">
        <f t="shared" si="1"/>
        <v>1827215.09</v>
      </c>
      <c r="O4" s="153">
        <f>SUM(B4:N4)</f>
        <v>15870483.889999999</v>
      </c>
      <c r="P4" s="134"/>
      <c r="R4" s="145" t="str">
        <f>A9</f>
        <v>MDE - FONTE 01</v>
      </c>
      <c r="S4" s="149">
        <f>O9</f>
        <v>3619031.55</v>
      </c>
    </row>
    <row r="5" spans="1:19" ht="15.75" x14ac:dyDescent="0.25">
      <c r="A5" s="146" t="s">
        <v>235</v>
      </c>
      <c r="B5" s="227">
        <v>0</v>
      </c>
      <c r="C5" s="235">
        <v>0</v>
      </c>
      <c r="D5" s="235">
        <v>0</v>
      </c>
      <c r="E5" s="145">
        <v>0</v>
      </c>
      <c r="F5" s="332">
        <v>3809408.18</v>
      </c>
      <c r="G5" s="332">
        <v>740737.76</v>
      </c>
      <c r="H5" s="332">
        <v>609639.63</v>
      </c>
      <c r="I5" s="332">
        <v>912142.84</v>
      </c>
      <c r="J5" s="144">
        <v>1031066.49</v>
      </c>
      <c r="K5" s="144">
        <v>1031017.04</v>
      </c>
      <c r="L5" s="144">
        <v>1058138.02</v>
      </c>
      <c r="M5" s="144">
        <v>1106719.57</v>
      </c>
      <c r="N5" s="385">
        <v>1438759.1</v>
      </c>
      <c r="O5" s="153">
        <f>SUM(B5:N5)</f>
        <v>11737628.630000001</v>
      </c>
      <c r="P5" s="87" t="e">
        <f>O5/#REF!</f>
        <v>#REF!</v>
      </c>
      <c r="R5" s="388" t="s">
        <v>308</v>
      </c>
      <c r="S5" s="415">
        <f>SUM(S2:S4)-Receitas!S51-Receitas!O78</f>
        <v>10270569.920000002</v>
      </c>
    </row>
    <row r="6" spans="1:19" ht="15.75" x14ac:dyDescent="0.25">
      <c r="A6" s="146" t="s">
        <v>236</v>
      </c>
      <c r="B6" s="227">
        <v>0</v>
      </c>
      <c r="C6" s="235">
        <v>0</v>
      </c>
      <c r="D6" s="235">
        <v>0</v>
      </c>
      <c r="E6" s="145">
        <v>0</v>
      </c>
      <c r="F6" s="332">
        <v>1311445.46</v>
      </c>
      <c r="G6" s="332">
        <v>367905.92</v>
      </c>
      <c r="H6" s="332">
        <v>385623</v>
      </c>
      <c r="I6" s="332">
        <v>388078.19</v>
      </c>
      <c r="J6" s="144">
        <v>383064.12</v>
      </c>
      <c r="K6" s="144">
        <v>168738.72</v>
      </c>
      <c r="L6" s="144">
        <v>326790.58</v>
      </c>
      <c r="M6" s="144">
        <v>412753.28</v>
      </c>
      <c r="N6" s="385">
        <v>388455.99</v>
      </c>
      <c r="O6" s="153">
        <f>SUM(B6:N6)</f>
        <v>4132855.2600000007</v>
      </c>
      <c r="P6" s="87"/>
    </row>
    <row r="7" spans="1:19" ht="15.75" x14ac:dyDescent="0.25">
      <c r="A7" s="119"/>
      <c r="B7" s="228"/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3"/>
      <c r="P7" s="135"/>
    </row>
    <row r="8" spans="1:19" ht="15.75" x14ac:dyDescent="0.25">
      <c r="A8" s="142" t="s">
        <v>237</v>
      </c>
      <c r="B8" s="152">
        <f t="shared" ref="B8:N8" si="2">B9</f>
        <v>0</v>
      </c>
      <c r="C8" s="152">
        <f t="shared" si="2"/>
        <v>0</v>
      </c>
      <c r="D8" s="152">
        <f t="shared" si="2"/>
        <v>0</v>
      </c>
      <c r="E8" s="152">
        <f t="shared" si="2"/>
        <v>0</v>
      </c>
      <c r="F8" s="152">
        <f t="shared" si="2"/>
        <v>635503.93000000005</v>
      </c>
      <c r="G8" s="152">
        <f t="shared" si="2"/>
        <v>404114.99</v>
      </c>
      <c r="H8" s="152">
        <f t="shared" si="2"/>
        <v>1086944.48</v>
      </c>
      <c r="I8" s="152">
        <f t="shared" si="2"/>
        <v>203602.81</v>
      </c>
      <c r="J8" s="152">
        <f t="shared" si="2"/>
        <v>88346.15</v>
      </c>
      <c r="K8" s="152">
        <f t="shared" si="2"/>
        <v>297242.99</v>
      </c>
      <c r="L8" s="152">
        <f t="shared" si="2"/>
        <v>208362.15</v>
      </c>
      <c r="M8" s="152">
        <f t="shared" si="2"/>
        <v>177768.97</v>
      </c>
      <c r="N8" s="152">
        <f t="shared" si="2"/>
        <v>517145.08</v>
      </c>
      <c r="O8" s="153">
        <f>SUM(B8:N8)</f>
        <v>3619031.55</v>
      </c>
      <c r="P8" s="134" t="e">
        <f>O8/#REF!/4</f>
        <v>#REF!</v>
      </c>
    </row>
    <row r="9" spans="1:19" ht="15.75" x14ac:dyDescent="0.25">
      <c r="A9" s="146" t="s">
        <v>238</v>
      </c>
      <c r="B9" s="236">
        <v>0</v>
      </c>
      <c r="C9" s="152">
        <v>0</v>
      </c>
      <c r="D9" s="152">
        <v>0</v>
      </c>
      <c r="E9" s="442">
        <v>0</v>
      </c>
      <c r="F9" s="144">
        <v>635503.93000000005</v>
      </c>
      <c r="G9" s="144">
        <v>404114.99</v>
      </c>
      <c r="H9" s="144">
        <v>1086944.48</v>
      </c>
      <c r="I9" s="144">
        <v>203602.81</v>
      </c>
      <c r="J9" s="144">
        <v>88346.15</v>
      </c>
      <c r="K9" s="144">
        <v>297242.99</v>
      </c>
      <c r="L9" s="144">
        <v>208362.15</v>
      </c>
      <c r="M9" s="144">
        <v>177768.97</v>
      </c>
      <c r="N9" s="385">
        <v>517145.08</v>
      </c>
      <c r="O9" s="153">
        <f>SUM(B9:N9)</f>
        <v>3619031.55</v>
      </c>
      <c r="P9" s="134"/>
    </row>
    <row r="11" spans="1:19" ht="15.75" thickBot="1" x14ac:dyDescent="0.3"/>
    <row r="12" spans="1:19" x14ac:dyDescent="0.25">
      <c r="A12" s="269" t="s">
        <v>79</v>
      </c>
      <c r="B12" s="478" t="s">
        <v>8</v>
      </c>
      <c r="C12" s="480" t="s">
        <v>9</v>
      </c>
      <c r="D12" s="482" t="s">
        <v>16</v>
      </c>
      <c r="E12" s="483"/>
    </row>
    <row r="13" spans="1:19" ht="15.75" thickBot="1" x14ac:dyDescent="0.3">
      <c r="A13" s="270" t="s">
        <v>80</v>
      </c>
      <c r="B13" s="479"/>
      <c r="C13" s="481"/>
      <c r="D13" s="271" t="s">
        <v>3</v>
      </c>
      <c r="E13" s="272" t="s">
        <v>11</v>
      </c>
    </row>
    <row r="14" spans="1:19" x14ac:dyDescent="0.25">
      <c r="A14" s="15" t="s">
        <v>4</v>
      </c>
      <c r="B14" s="264">
        <v>4976450</v>
      </c>
      <c r="C14" s="264">
        <v>4971950</v>
      </c>
      <c r="D14" s="16">
        <v>8851823.4499999993</v>
      </c>
      <c r="E14" s="17">
        <f>D14/C14</f>
        <v>1.7803524673417872</v>
      </c>
    </row>
    <row r="15" spans="1:19" x14ac:dyDescent="0.25">
      <c r="A15" s="18" t="s">
        <v>81</v>
      </c>
      <c r="B15" s="265"/>
      <c r="C15" s="265"/>
      <c r="D15" s="2"/>
      <c r="E15" s="17"/>
    </row>
    <row r="16" spans="1:19" x14ac:dyDescent="0.25">
      <c r="A16" s="18" t="s">
        <v>82</v>
      </c>
      <c r="B16" s="265"/>
      <c r="C16" s="265"/>
      <c r="D16" s="2"/>
      <c r="E16" s="17"/>
    </row>
    <row r="17" spans="1:5" x14ac:dyDescent="0.25">
      <c r="A17" s="18" t="s">
        <v>83</v>
      </c>
      <c r="B17" s="265"/>
      <c r="C17" s="265"/>
      <c r="D17" s="2"/>
      <c r="E17" s="17"/>
    </row>
    <row r="18" spans="1:5" x14ac:dyDescent="0.25">
      <c r="A18" s="19" t="s">
        <v>5</v>
      </c>
      <c r="B18" s="266">
        <v>25700</v>
      </c>
      <c r="C18" s="266">
        <v>30200</v>
      </c>
      <c r="D18" s="11">
        <v>50546.44</v>
      </c>
      <c r="E18" s="17">
        <f>D18/C18</f>
        <v>1.6737231788079472</v>
      </c>
    </row>
    <row r="19" spans="1:5" x14ac:dyDescent="0.25">
      <c r="A19" s="18" t="s">
        <v>84</v>
      </c>
      <c r="B19" s="265"/>
      <c r="C19" s="265"/>
      <c r="D19" s="2"/>
      <c r="E19" s="17"/>
    </row>
    <row r="20" spans="1:5" x14ac:dyDescent="0.25">
      <c r="A20" s="18" t="s">
        <v>85</v>
      </c>
      <c r="B20" s="265"/>
      <c r="C20" s="265"/>
      <c r="D20" s="2"/>
      <c r="E20" s="17"/>
    </row>
    <row r="21" spans="1:5" x14ac:dyDescent="0.25">
      <c r="A21" s="18" t="s">
        <v>86</v>
      </c>
      <c r="B21" s="265"/>
      <c r="C21" s="265"/>
      <c r="D21" s="2"/>
      <c r="E21" s="17"/>
    </row>
    <row r="22" spans="1:5" x14ac:dyDescent="0.25">
      <c r="A22" s="267" t="s">
        <v>87</v>
      </c>
      <c r="B22" s="266">
        <f>SUM(B18,B14)</f>
        <v>5002150</v>
      </c>
      <c r="C22" s="266">
        <f>SUM(C18,C14)</f>
        <v>5002150</v>
      </c>
      <c r="D22" s="266">
        <f>SUM(D14,D18)</f>
        <v>8902369.8899999987</v>
      </c>
      <c r="E22" s="268">
        <f>D22/C22</f>
        <v>1.7797087032575989</v>
      </c>
    </row>
    <row r="23" spans="1:5" ht="15.75" thickBot="1" x14ac:dyDescent="0.3">
      <c r="A23" s="61"/>
      <c r="B23" s="61"/>
      <c r="C23" s="61"/>
      <c r="D23" s="61"/>
      <c r="E23" s="61"/>
    </row>
    <row r="24" spans="1:5" ht="15.75" thickBot="1" x14ac:dyDescent="0.3">
      <c r="A24" s="288" t="s">
        <v>99</v>
      </c>
      <c r="B24" s="289">
        <f>B22-B56</f>
        <v>5002150</v>
      </c>
      <c r="C24" s="289">
        <f>C22-C56</f>
        <v>5002150</v>
      </c>
      <c r="D24" s="289">
        <f>D22-D56</f>
        <v>8902369.8899999987</v>
      </c>
      <c r="E24" s="290">
        <f>D24/C24</f>
        <v>1.7797087032575989</v>
      </c>
    </row>
  </sheetData>
  <mergeCells count="5">
    <mergeCell ref="A1:J1"/>
    <mergeCell ref="R1:S1"/>
    <mergeCell ref="B12:B13"/>
    <mergeCell ref="C12:C13"/>
    <mergeCell ref="D12:E1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P82"/>
  <sheetViews>
    <sheetView topLeftCell="B1" zoomScale="67" zoomScaleNormal="67" workbookViewId="0">
      <selection activeCell="B19" sqref="B19"/>
    </sheetView>
  </sheetViews>
  <sheetFormatPr defaultRowHeight="15.75" x14ac:dyDescent="0.25"/>
  <cols>
    <col min="1" max="1" width="56" style="179" customWidth="1"/>
    <col min="2" max="2" width="17" style="179" bestFit="1" customWidth="1"/>
    <col min="3" max="3" width="18" style="179" bestFit="1" customWidth="1"/>
    <col min="4" max="4" width="17" style="179" bestFit="1" customWidth="1"/>
    <col min="5" max="5" width="18.28515625" style="179" bestFit="1" customWidth="1"/>
    <col min="6" max="6" width="17" style="179" bestFit="1" customWidth="1"/>
    <col min="7" max="13" width="18.28515625" style="179" bestFit="1" customWidth="1"/>
    <col min="14" max="14" width="18" style="179" bestFit="1" customWidth="1"/>
    <col min="15" max="15" width="25.85546875" style="179" customWidth="1"/>
    <col min="16" max="16" width="21" style="179" customWidth="1"/>
    <col min="17" max="255" width="9.140625" style="179"/>
    <col min="256" max="256" width="33" style="179" customWidth="1"/>
    <col min="257" max="257" width="17.42578125" style="179" customWidth="1"/>
    <col min="258" max="258" width="17.140625" style="179" customWidth="1"/>
    <col min="259" max="259" width="16" style="179" customWidth="1"/>
    <col min="260" max="260" width="16.5703125" style="179" customWidth="1"/>
    <col min="261" max="261" width="16.28515625" style="179" customWidth="1"/>
    <col min="262" max="262" width="18.28515625" style="179" customWidth="1"/>
    <col min="263" max="263" width="17.42578125" style="179" customWidth="1"/>
    <col min="264" max="264" width="15.85546875" style="179" customWidth="1"/>
    <col min="265" max="265" width="17" style="179" customWidth="1"/>
    <col min="266" max="266" width="19.7109375" style="179" customWidth="1"/>
    <col min="267" max="267" width="17.28515625" style="179" customWidth="1"/>
    <col min="268" max="268" width="18.140625" style="179" customWidth="1"/>
    <col min="269" max="269" width="21.7109375" style="179" customWidth="1"/>
    <col min="270" max="270" width="0.42578125" style="179" customWidth="1"/>
    <col min="271" max="271" width="16.140625" style="179" bestFit="1" customWidth="1"/>
    <col min="272" max="272" width="11.5703125" style="179" bestFit="1" customWidth="1"/>
    <col min="273" max="511" width="9.140625" style="179"/>
    <col min="512" max="512" width="33" style="179" customWidth="1"/>
    <col min="513" max="513" width="17.42578125" style="179" customWidth="1"/>
    <col min="514" max="514" width="17.140625" style="179" customWidth="1"/>
    <col min="515" max="515" width="16" style="179" customWidth="1"/>
    <col min="516" max="516" width="16.5703125" style="179" customWidth="1"/>
    <col min="517" max="517" width="16.28515625" style="179" customWidth="1"/>
    <col min="518" max="518" width="18.28515625" style="179" customWidth="1"/>
    <col min="519" max="519" width="17.42578125" style="179" customWidth="1"/>
    <col min="520" max="520" width="15.85546875" style="179" customWidth="1"/>
    <col min="521" max="521" width="17" style="179" customWidth="1"/>
    <col min="522" max="522" width="19.7109375" style="179" customWidth="1"/>
    <col min="523" max="523" width="17.28515625" style="179" customWidth="1"/>
    <col min="524" max="524" width="18.140625" style="179" customWidth="1"/>
    <col min="525" max="525" width="21.7109375" style="179" customWidth="1"/>
    <col min="526" max="526" width="0.42578125" style="179" customWidth="1"/>
    <col min="527" max="527" width="16.140625" style="179" bestFit="1" customWidth="1"/>
    <col min="528" max="528" width="11.5703125" style="179" bestFit="1" customWidth="1"/>
    <col min="529" max="767" width="9.140625" style="179"/>
    <col min="768" max="768" width="33" style="179" customWidth="1"/>
    <col min="769" max="769" width="17.42578125" style="179" customWidth="1"/>
    <col min="770" max="770" width="17.140625" style="179" customWidth="1"/>
    <col min="771" max="771" width="16" style="179" customWidth="1"/>
    <col min="772" max="772" width="16.5703125" style="179" customWidth="1"/>
    <col min="773" max="773" width="16.28515625" style="179" customWidth="1"/>
    <col min="774" max="774" width="18.28515625" style="179" customWidth="1"/>
    <col min="775" max="775" width="17.42578125" style="179" customWidth="1"/>
    <col min="776" max="776" width="15.85546875" style="179" customWidth="1"/>
    <col min="777" max="777" width="17" style="179" customWidth="1"/>
    <col min="778" max="778" width="19.7109375" style="179" customWidth="1"/>
    <col min="779" max="779" width="17.28515625" style="179" customWidth="1"/>
    <col min="780" max="780" width="18.140625" style="179" customWidth="1"/>
    <col min="781" max="781" width="21.7109375" style="179" customWidth="1"/>
    <col min="782" max="782" width="0.42578125" style="179" customWidth="1"/>
    <col min="783" max="783" width="16.140625" style="179" bestFit="1" customWidth="1"/>
    <col min="784" max="784" width="11.5703125" style="179" bestFit="1" customWidth="1"/>
    <col min="785" max="1023" width="9.140625" style="179"/>
    <col min="1024" max="1024" width="33" style="179" customWidth="1"/>
    <col min="1025" max="1025" width="17.42578125" style="179" customWidth="1"/>
    <col min="1026" max="1026" width="17.140625" style="179" customWidth="1"/>
    <col min="1027" max="1027" width="16" style="179" customWidth="1"/>
    <col min="1028" max="1028" width="16.5703125" style="179" customWidth="1"/>
    <col min="1029" max="1029" width="16.28515625" style="179" customWidth="1"/>
    <col min="1030" max="1030" width="18.28515625" style="179" customWidth="1"/>
    <col min="1031" max="1031" width="17.42578125" style="179" customWidth="1"/>
    <col min="1032" max="1032" width="15.85546875" style="179" customWidth="1"/>
    <col min="1033" max="1033" width="17" style="179" customWidth="1"/>
    <col min="1034" max="1034" width="19.7109375" style="179" customWidth="1"/>
    <col min="1035" max="1035" width="17.28515625" style="179" customWidth="1"/>
    <col min="1036" max="1036" width="18.140625" style="179" customWidth="1"/>
    <col min="1037" max="1037" width="21.7109375" style="179" customWidth="1"/>
    <col min="1038" max="1038" width="0.42578125" style="179" customWidth="1"/>
    <col min="1039" max="1039" width="16.140625" style="179" bestFit="1" customWidth="1"/>
    <col min="1040" max="1040" width="11.5703125" style="179" bestFit="1" customWidth="1"/>
    <col min="1041" max="1279" width="9.140625" style="179"/>
    <col min="1280" max="1280" width="33" style="179" customWidth="1"/>
    <col min="1281" max="1281" width="17.42578125" style="179" customWidth="1"/>
    <col min="1282" max="1282" width="17.140625" style="179" customWidth="1"/>
    <col min="1283" max="1283" width="16" style="179" customWidth="1"/>
    <col min="1284" max="1284" width="16.5703125" style="179" customWidth="1"/>
    <col min="1285" max="1285" width="16.28515625" style="179" customWidth="1"/>
    <col min="1286" max="1286" width="18.28515625" style="179" customWidth="1"/>
    <col min="1287" max="1287" width="17.42578125" style="179" customWidth="1"/>
    <col min="1288" max="1288" width="15.85546875" style="179" customWidth="1"/>
    <col min="1289" max="1289" width="17" style="179" customWidth="1"/>
    <col min="1290" max="1290" width="19.7109375" style="179" customWidth="1"/>
    <col min="1291" max="1291" width="17.28515625" style="179" customWidth="1"/>
    <col min="1292" max="1292" width="18.140625" style="179" customWidth="1"/>
    <col min="1293" max="1293" width="21.7109375" style="179" customWidth="1"/>
    <col min="1294" max="1294" width="0.42578125" style="179" customWidth="1"/>
    <col min="1295" max="1295" width="16.140625" style="179" bestFit="1" customWidth="1"/>
    <col min="1296" max="1296" width="11.5703125" style="179" bestFit="1" customWidth="1"/>
    <col min="1297" max="1535" width="9.140625" style="179"/>
    <col min="1536" max="1536" width="33" style="179" customWidth="1"/>
    <col min="1537" max="1537" width="17.42578125" style="179" customWidth="1"/>
    <col min="1538" max="1538" width="17.140625" style="179" customWidth="1"/>
    <col min="1539" max="1539" width="16" style="179" customWidth="1"/>
    <col min="1540" max="1540" width="16.5703125" style="179" customWidth="1"/>
    <col min="1541" max="1541" width="16.28515625" style="179" customWidth="1"/>
    <col min="1542" max="1542" width="18.28515625" style="179" customWidth="1"/>
    <col min="1543" max="1543" width="17.42578125" style="179" customWidth="1"/>
    <col min="1544" max="1544" width="15.85546875" style="179" customWidth="1"/>
    <col min="1545" max="1545" width="17" style="179" customWidth="1"/>
    <col min="1546" max="1546" width="19.7109375" style="179" customWidth="1"/>
    <col min="1547" max="1547" width="17.28515625" style="179" customWidth="1"/>
    <col min="1548" max="1548" width="18.140625" style="179" customWidth="1"/>
    <col min="1549" max="1549" width="21.7109375" style="179" customWidth="1"/>
    <col min="1550" max="1550" width="0.42578125" style="179" customWidth="1"/>
    <col min="1551" max="1551" width="16.140625" style="179" bestFit="1" customWidth="1"/>
    <col min="1552" max="1552" width="11.5703125" style="179" bestFit="1" customWidth="1"/>
    <col min="1553" max="1791" width="9.140625" style="179"/>
    <col min="1792" max="1792" width="33" style="179" customWidth="1"/>
    <col min="1793" max="1793" width="17.42578125" style="179" customWidth="1"/>
    <col min="1794" max="1794" width="17.140625" style="179" customWidth="1"/>
    <col min="1795" max="1795" width="16" style="179" customWidth="1"/>
    <col min="1796" max="1796" width="16.5703125" style="179" customWidth="1"/>
    <col min="1797" max="1797" width="16.28515625" style="179" customWidth="1"/>
    <col min="1798" max="1798" width="18.28515625" style="179" customWidth="1"/>
    <col min="1799" max="1799" width="17.42578125" style="179" customWidth="1"/>
    <col min="1800" max="1800" width="15.85546875" style="179" customWidth="1"/>
    <col min="1801" max="1801" width="17" style="179" customWidth="1"/>
    <col min="1802" max="1802" width="19.7109375" style="179" customWidth="1"/>
    <col min="1803" max="1803" width="17.28515625" style="179" customWidth="1"/>
    <col min="1804" max="1804" width="18.140625" style="179" customWidth="1"/>
    <col min="1805" max="1805" width="21.7109375" style="179" customWidth="1"/>
    <col min="1806" max="1806" width="0.42578125" style="179" customWidth="1"/>
    <col min="1807" max="1807" width="16.140625" style="179" bestFit="1" customWidth="1"/>
    <col min="1808" max="1808" width="11.5703125" style="179" bestFit="1" customWidth="1"/>
    <col min="1809" max="2047" width="9.140625" style="179"/>
    <col min="2048" max="2048" width="33" style="179" customWidth="1"/>
    <col min="2049" max="2049" width="17.42578125" style="179" customWidth="1"/>
    <col min="2050" max="2050" width="17.140625" style="179" customWidth="1"/>
    <col min="2051" max="2051" width="16" style="179" customWidth="1"/>
    <col min="2052" max="2052" width="16.5703125" style="179" customWidth="1"/>
    <col min="2053" max="2053" width="16.28515625" style="179" customWidth="1"/>
    <col min="2054" max="2054" width="18.28515625" style="179" customWidth="1"/>
    <col min="2055" max="2055" width="17.42578125" style="179" customWidth="1"/>
    <col min="2056" max="2056" width="15.85546875" style="179" customWidth="1"/>
    <col min="2057" max="2057" width="17" style="179" customWidth="1"/>
    <col min="2058" max="2058" width="19.7109375" style="179" customWidth="1"/>
    <col min="2059" max="2059" width="17.28515625" style="179" customWidth="1"/>
    <col min="2060" max="2060" width="18.140625" style="179" customWidth="1"/>
    <col min="2061" max="2061" width="21.7109375" style="179" customWidth="1"/>
    <col min="2062" max="2062" width="0.42578125" style="179" customWidth="1"/>
    <col min="2063" max="2063" width="16.140625" style="179" bestFit="1" customWidth="1"/>
    <col min="2064" max="2064" width="11.5703125" style="179" bestFit="1" customWidth="1"/>
    <col min="2065" max="2303" width="9.140625" style="179"/>
    <col min="2304" max="2304" width="33" style="179" customWidth="1"/>
    <col min="2305" max="2305" width="17.42578125" style="179" customWidth="1"/>
    <col min="2306" max="2306" width="17.140625" style="179" customWidth="1"/>
    <col min="2307" max="2307" width="16" style="179" customWidth="1"/>
    <col min="2308" max="2308" width="16.5703125" style="179" customWidth="1"/>
    <col min="2309" max="2309" width="16.28515625" style="179" customWidth="1"/>
    <col min="2310" max="2310" width="18.28515625" style="179" customWidth="1"/>
    <col min="2311" max="2311" width="17.42578125" style="179" customWidth="1"/>
    <col min="2312" max="2312" width="15.85546875" style="179" customWidth="1"/>
    <col min="2313" max="2313" width="17" style="179" customWidth="1"/>
    <col min="2314" max="2314" width="19.7109375" style="179" customWidth="1"/>
    <col min="2315" max="2315" width="17.28515625" style="179" customWidth="1"/>
    <col min="2316" max="2316" width="18.140625" style="179" customWidth="1"/>
    <col min="2317" max="2317" width="21.7109375" style="179" customWidth="1"/>
    <col min="2318" max="2318" width="0.42578125" style="179" customWidth="1"/>
    <col min="2319" max="2319" width="16.140625" style="179" bestFit="1" customWidth="1"/>
    <col min="2320" max="2320" width="11.5703125" style="179" bestFit="1" customWidth="1"/>
    <col min="2321" max="2559" width="9.140625" style="179"/>
    <col min="2560" max="2560" width="33" style="179" customWidth="1"/>
    <col min="2561" max="2561" width="17.42578125" style="179" customWidth="1"/>
    <col min="2562" max="2562" width="17.140625" style="179" customWidth="1"/>
    <col min="2563" max="2563" width="16" style="179" customWidth="1"/>
    <col min="2564" max="2564" width="16.5703125" style="179" customWidth="1"/>
    <col min="2565" max="2565" width="16.28515625" style="179" customWidth="1"/>
    <col min="2566" max="2566" width="18.28515625" style="179" customWidth="1"/>
    <col min="2567" max="2567" width="17.42578125" style="179" customWidth="1"/>
    <col min="2568" max="2568" width="15.85546875" style="179" customWidth="1"/>
    <col min="2569" max="2569" width="17" style="179" customWidth="1"/>
    <col min="2570" max="2570" width="19.7109375" style="179" customWidth="1"/>
    <col min="2571" max="2571" width="17.28515625" style="179" customWidth="1"/>
    <col min="2572" max="2572" width="18.140625" style="179" customWidth="1"/>
    <col min="2573" max="2573" width="21.7109375" style="179" customWidth="1"/>
    <col min="2574" max="2574" width="0.42578125" style="179" customWidth="1"/>
    <col min="2575" max="2575" width="16.140625" style="179" bestFit="1" customWidth="1"/>
    <col min="2576" max="2576" width="11.5703125" style="179" bestFit="1" customWidth="1"/>
    <col min="2577" max="2815" width="9.140625" style="179"/>
    <col min="2816" max="2816" width="33" style="179" customWidth="1"/>
    <col min="2817" max="2817" width="17.42578125" style="179" customWidth="1"/>
    <col min="2818" max="2818" width="17.140625" style="179" customWidth="1"/>
    <col min="2819" max="2819" width="16" style="179" customWidth="1"/>
    <col min="2820" max="2820" width="16.5703125" style="179" customWidth="1"/>
    <col min="2821" max="2821" width="16.28515625" style="179" customWidth="1"/>
    <col min="2822" max="2822" width="18.28515625" style="179" customWidth="1"/>
    <col min="2823" max="2823" width="17.42578125" style="179" customWidth="1"/>
    <col min="2824" max="2824" width="15.85546875" style="179" customWidth="1"/>
    <col min="2825" max="2825" width="17" style="179" customWidth="1"/>
    <col min="2826" max="2826" width="19.7109375" style="179" customWidth="1"/>
    <col min="2827" max="2827" width="17.28515625" style="179" customWidth="1"/>
    <col min="2828" max="2828" width="18.140625" style="179" customWidth="1"/>
    <col min="2829" max="2829" width="21.7109375" style="179" customWidth="1"/>
    <col min="2830" max="2830" width="0.42578125" style="179" customWidth="1"/>
    <col min="2831" max="2831" width="16.140625" style="179" bestFit="1" customWidth="1"/>
    <col min="2832" max="2832" width="11.5703125" style="179" bestFit="1" customWidth="1"/>
    <col min="2833" max="3071" width="9.140625" style="179"/>
    <col min="3072" max="3072" width="33" style="179" customWidth="1"/>
    <col min="3073" max="3073" width="17.42578125" style="179" customWidth="1"/>
    <col min="3074" max="3074" width="17.140625" style="179" customWidth="1"/>
    <col min="3075" max="3075" width="16" style="179" customWidth="1"/>
    <col min="3076" max="3076" width="16.5703125" style="179" customWidth="1"/>
    <col min="3077" max="3077" width="16.28515625" style="179" customWidth="1"/>
    <col min="3078" max="3078" width="18.28515625" style="179" customWidth="1"/>
    <col min="3079" max="3079" width="17.42578125" style="179" customWidth="1"/>
    <col min="3080" max="3080" width="15.85546875" style="179" customWidth="1"/>
    <col min="3081" max="3081" width="17" style="179" customWidth="1"/>
    <col min="3082" max="3082" width="19.7109375" style="179" customWidth="1"/>
    <col min="3083" max="3083" width="17.28515625" style="179" customWidth="1"/>
    <col min="3084" max="3084" width="18.140625" style="179" customWidth="1"/>
    <col min="3085" max="3085" width="21.7109375" style="179" customWidth="1"/>
    <col min="3086" max="3086" width="0.42578125" style="179" customWidth="1"/>
    <col min="3087" max="3087" width="16.140625" style="179" bestFit="1" customWidth="1"/>
    <col min="3088" max="3088" width="11.5703125" style="179" bestFit="1" customWidth="1"/>
    <col min="3089" max="3327" width="9.140625" style="179"/>
    <col min="3328" max="3328" width="33" style="179" customWidth="1"/>
    <col min="3329" max="3329" width="17.42578125" style="179" customWidth="1"/>
    <col min="3330" max="3330" width="17.140625" style="179" customWidth="1"/>
    <col min="3331" max="3331" width="16" style="179" customWidth="1"/>
    <col min="3332" max="3332" width="16.5703125" style="179" customWidth="1"/>
    <col min="3333" max="3333" width="16.28515625" style="179" customWidth="1"/>
    <col min="3334" max="3334" width="18.28515625" style="179" customWidth="1"/>
    <col min="3335" max="3335" width="17.42578125" style="179" customWidth="1"/>
    <col min="3336" max="3336" width="15.85546875" style="179" customWidth="1"/>
    <col min="3337" max="3337" width="17" style="179" customWidth="1"/>
    <col min="3338" max="3338" width="19.7109375" style="179" customWidth="1"/>
    <col min="3339" max="3339" width="17.28515625" style="179" customWidth="1"/>
    <col min="3340" max="3340" width="18.140625" style="179" customWidth="1"/>
    <col min="3341" max="3341" width="21.7109375" style="179" customWidth="1"/>
    <col min="3342" max="3342" width="0.42578125" style="179" customWidth="1"/>
    <col min="3343" max="3343" width="16.140625" style="179" bestFit="1" customWidth="1"/>
    <col min="3344" max="3344" width="11.5703125" style="179" bestFit="1" customWidth="1"/>
    <col min="3345" max="3583" width="9.140625" style="179"/>
    <col min="3584" max="3584" width="33" style="179" customWidth="1"/>
    <col min="3585" max="3585" width="17.42578125" style="179" customWidth="1"/>
    <col min="3586" max="3586" width="17.140625" style="179" customWidth="1"/>
    <col min="3587" max="3587" width="16" style="179" customWidth="1"/>
    <col min="3588" max="3588" width="16.5703125" style="179" customWidth="1"/>
    <col min="3589" max="3589" width="16.28515625" style="179" customWidth="1"/>
    <col min="3590" max="3590" width="18.28515625" style="179" customWidth="1"/>
    <col min="3591" max="3591" width="17.42578125" style="179" customWidth="1"/>
    <col min="3592" max="3592" width="15.85546875" style="179" customWidth="1"/>
    <col min="3593" max="3593" width="17" style="179" customWidth="1"/>
    <col min="3594" max="3594" width="19.7109375" style="179" customWidth="1"/>
    <col min="3595" max="3595" width="17.28515625" style="179" customWidth="1"/>
    <col min="3596" max="3596" width="18.140625" style="179" customWidth="1"/>
    <col min="3597" max="3597" width="21.7109375" style="179" customWidth="1"/>
    <col min="3598" max="3598" width="0.42578125" style="179" customWidth="1"/>
    <col min="3599" max="3599" width="16.140625" style="179" bestFit="1" customWidth="1"/>
    <col min="3600" max="3600" width="11.5703125" style="179" bestFit="1" customWidth="1"/>
    <col min="3601" max="3839" width="9.140625" style="179"/>
    <col min="3840" max="3840" width="33" style="179" customWidth="1"/>
    <col min="3841" max="3841" width="17.42578125" style="179" customWidth="1"/>
    <col min="3842" max="3842" width="17.140625" style="179" customWidth="1"/>
    <col min="3843" max="3843" width="16" style="179" customWidth="1"/>
    <col min="3844" max="3844" width="16.5703125" style="179" customWidth="1"/>
    <col min="3845" max="3845" width="16.28515625" style="179" customWidth="1"/>
    <col min="3846" max="3846" width="18.28515625" style="179" customWidth="1"/>
    <col min="3847" max="3847" width="17.42578125" style="179" customWidth="1"/>
    <col min="3848" max="3848" width="15.85546875" style="179" customWidth="1"/>
    <col min="3849" max="3849" width="17" style="179" customWidth="1"/>
    <col min="3850" max="3850" width="19.7109375" style="179" customWidth="1"/>
    <col min="3851" max="3851" width="17.28515625" style="179" customWidth="1"/>
    <col min="3852" max="3852" width="18.140625" style="179" customWidth="1"/>
    <col min="3853" max="3853" width="21.7109375" style="179" customWidth="1"/>
    <col min="3854" max="3854" width="0.42578125" style="179" customWidth="1"/>
    <col min="3855" max="3855" width="16.140625" style="179" bestFit="1" customWidth="1"/>
    <col min="3856" max="3856" width="11.5703125" style="179" bestFit="1" customWidth="1"/>
    <col min="3857" max="4095" width="9.140625" style="179"/>
    <col min="4096" max="4096" width="33" style="179" customWidth="1"/>
    <col min="4097" max="4097" width="17.42578125" style="179" customWidth="1"/>
    <col min="4098" max="4098" width="17.140625" style="179" customWidth="1"/>
    <col min="4099" max="4099" width="16" style="179" customWidth="1"/>
    <col min="4100" max="4100" width="16.5703125" style="179" customWidth="1"/>
    <col min="4101" max="4101" width="16.28515625" style="179" customWidth="1"/>
    <col min="4102" max="4102" width="18.28515625" style="179" customWidth="1"/>
    <col min="4103" max="4103" width="17.42578125" style="179" customWidth="1"/>
    <col min="4104" max="4104" width="15.85546875" style="179" customWidth="1"/>
    <col min="4105" max="4105" width="17" style="179" customWidth="1"/>
    <col min="4106" max="4106" width="19.7109375" style="179" customWidth="1"/>
    <col min="4107" max="4107" width="17.28515625" style="179" customWidth="1"/>
    <col min="4108" max="4108" width="18.140625" style="179" customWidth="1"/>
    <col min="4109" max="4109" width="21.7109375" style="179" customWidth="1"/>
    <col min="4110" max="4110" width="0.42578125" style="179" customWidth="1"/>
    <col min="4111" max="4111" width="16.140625" style="179" bestFit="1" customWidth="1"/>
    <col min="4112" max="4112" width="11.5703125" style="179" bestFit="1" customWidth="1"/>
    <col min="4113" max="4351" width="9.140625" style="179"/>
    <col min="4352" max="4352" width="33" style="179" customWidth="1"/>
    <col min="4353" max="4353" width="17.42578125" style="179" customWidth="1"/>
    <col min="4354" max="4354" width="17.140625" style="179" customWidth="1"/>
    <col min="4355" max="4355" width="16" style="179" customWidth="1"/>
    <col min="4356" max="4356" width="16.5703125" style="179" customWidth="1"/>
    <col min="4357" max="4357" width="16.28515625" style="179" customWidth="1"/>
    <col min="4358" max="4358" width="18.28515625" style="179" customWidth="1"/>
    <col min="4359" max="4359" width="17.42578125" style="179" customWidth="1"/>
    <col min="4360" max="4360" width="15.85546875" style="179" customWidth="1"/>
    <col min="4361" max="4361" width="17" style="179" customWidth="1"/>
    <col min="4362" max="4362" width="19.7109375" style="179" customWidth="1"/>
    <col min="4363" max="4363" width="17.28515625" style="179" customWidth="1"/>
    <col min="4364" max="4364" width="18.140625" style="179" customWidth="1"/>
    <col min="4365" max="4365" width="21.7109375" style="179" customWidth="1"/>
    <col min="4366" max="4366" width="0.42578125" style="179" customWidth="1"/>
    <col min="4367" max="4367" width="16.140625" style="179" bestFit="1" customWidth="1"/>
    <col min="4368" max="4368" width="11.5703125" style="179" bestFit="1" customWidth="1"/>
    <col min="4369" max="4607" width="9.140625" style="179"/>
    <col min="4608" max="4608" width="33" style="179" customWidth="1"/>
    <col min="4609" max="4609" width="17.42578125" style="179" customWidth="1"/>
    <col min="4610" max="4610" width="17.140625" style="179" customWidth="1"/>
    <col min="4611" max="4611" width="16" style="179" customWidth="1"/>
    <col min="4612" max="4612" width="16.5703125" style="179" customWidth="1"/>
    <col min="4613" max="4613" width="16.28515625" style="179" customWidth="1"/>
    <col min="4614" max="4614" width="18.28515625" style="179" customWidth="1"/>
    <col min="4615" max="4615" width="17.42578125" style="179" customWidth="1"/>
    <col min="4616" max="4616" width="15.85546875" style="179" customWidth="1"/>
    <col min="4617" max="4617" width="17" style="179" customWidth="1"/>
    <col min="4618" max="4618" width="19.7109375" style="179" customWidth="1"/>
    <col min="4619" max="4619" width="17.28515625" style="179" customWidth="1"/>
    <col min="4620" max="4620" width="18.140625" style="179" customWidth="1"/>
    <col min="4621" max="4621" width="21.7109375" style="179" customWidth="1"/>
    <col min="4622" max="4622" width="0.42578125" style="179" customWidth="1"/>
    <col min="4623" max="4623" width="16.140625" style="179" bestFit="1" customWidth="1"/>
    <col min="4624" max="4624" width="11.5703125" style="179" bestFit="1" customWidth="1"/>
    <col min="4625" max="4863" width="9.140625" style="179"/>
    <col min="4864" max="4864" width="33" style="179" customWidth="1"/>
    <col min="4865" max="4865" width="17.42578125" style="179" customWidth="1"/>
    <col min="4866" max="4866" width="17.140625" style="179" customWidth="1"/>
    <col min="4867" max="4867" width="16" style="179" customWidth="1"/>
    <col min="4868" max="4868" width="16.5703125" style="179" customWidth="1"/>
    <col min="4869" max="4869" width="16.28515625" style="179" customWidth="1"/>
    <col min="4870" max="4870" width="18.28515625" style="179" customWidth="1"/>
    <col min="4871" max="4871" width="17.42578125" style="179" customWidth="1"/>
    <col min="4872" max="4872" width="15.85546875" style="179" customWidth="1"/>
    <col min="4873" max="4873" width="17" style="179" customWidth="1"/>
    <col min="4874" max="4874" width="19.7109375" style="179" customWidth="1"/>
    <col min="4875" max="4875" width="17.28515625" style="179" customWidth="1"/>
    <col min="4876" max="4876" width="18.140625" style="179" customWidth="1"/>
    <col min="4877" max="4877" width="21.7109375" style="179" customWidth="1"/>
    <col min="4878" max="4878" width="0.42578125" style="179" customWidth="1"/>
    <col min="4879" max="4879" width="16.140625" style="179" bestFit="1" customWidth="1"/>
    <col min="4880" max="4880" width="11.5703125" style="179" bestFit="1" customWidth="1"/>
    <col min="4881" max="5119" width="9.140625" style="179"/>
    <col min="5120" max="5120" width="33" style="179" customWidth="1"/>
    <col min="5121" max="5121" width="17.42578125" style="179" customWidth="1"/>
    <col min="5122" max="5122" width="17.140625" style="179" customWidth="1"/>
    <col min="5123" max="5123" width="16" style="179" customWidth="1"/>
    <col min="5124" max="5124" width="16.5703125" style="179" customWidth="1"/>
    <col min="5125" max="5125" width="16.28515625" style="179" customWidth="1"/>
    <col min="5126" max="5126" width="18.28515625" style="179" customWidth="1"/>
    <col min="5127" max="5127" width="17.42578125" style="179" customWidth="1"/>
    <col min="5128" max="5128" width="15.85546875" style="179" customWidth="1"/>
    <col min="5129" max="5129" width="17" style="179" customWidth="1"/>
    <col min="5130" max="5130" width="19.7109375" style="179" customWidth="1"/>
    <col min="5131" max="5131" width="17.28515625" style="179" customWidth="1"/>
    <col min="5132" max="5132" width="18.140625" style="179" customWidth="1"/>
    <col min="5133" max="5133" width="21.7109375" style="179" customWidth="1"/>
    <col min="5134" max="5134" width="0.42578125" style="179" customWidth="1"/>
    <col min="5135" max="5135" width="16.140625" style="179" bestFit="1" customWidth="1"/>
    <col min="5136" max="5136" width="11.5703125" style="179" bestFit="1" customWidth="1"/>
    <col min="5137" max="5375" width="9.140625" style="179"/>
    <col min="5376" max="5376" width="33" style="179" customWidth="1"/>
    <col min="5377" max="5377" width="17.42578125" style="179" customWidth="1"/>
    <col min="5378" max="5378" width="17.140625" style="179" customWidth="1"/>
    <col min="5379" max="5379" width="16" style="179" customWidth="1"/>
    <col min="5380" max="5380" width="16.5703125" style="179" customWidth="1"/>
    <col min="5381" max="5381" width="16.28515625" style="179" customWidth="1"/>
    <col min="5382" max="5382" width="18.28515625" style="179" customWidth="1"/>
    <col min="5383" max="5383" width="17.42578125" style="179" customWidth="1"/>
    <col min="5384" max="5384" width="15.85546875" style="179" customWidth="1"/>
    <col min="5385" max="5385" width="17" style="179" customWidth="1"/>
    <col min="5386" max="5386" width="19.7109375" style="179" customWidth="1"/>
    <col min="5387" max="5387" width="17.28515625" style="179" customWidth="1"/>
    <col min="5388" max="5388" width="18.140625" style="179" customWidth="1"/>
    <col min="5389" max="5389" width="21.7109375" style="179" customWidth="1"/>
    <col min="5390" max="5390" width="0.42578125" style="179" customWidth="1"/>
    <col min="5391" max="5391" width="16.140625" style="179" bestFit="1" customWidth="1"/>
    <col min="5392" max="5392" width="11.5703125" style="179" bestFit="1" customWidth="1"/>
    <col min="5393" max="5631" width="9.140625" style="179"/>
    <col min="5632" max="5632" width="33" style="179" customWidth="1"/>
    <col min="5633" max="5633" width="17.42578125" style="179" customWidth="1"/>
    <col min="5634" max="5634" width="17.140625" style="179" customWidth="1"/>
    <col min="5635" max="5635" width="16" style="179" customWidth="1"/>
    <col min="5636" max="5636" width="16.5703125" style="179" customWidth="1"/>
    <col min="5637" max="5637" width="16.28515625" style="179" customWidth="1"/>
    <col min="5638" max="5638" width="18.28515625" style="179" customWidth="1"/>
    <col min="5639" max="5639" width="17.42578125" style="179" customWidth="1"/>
    <col min="5640" max="5640" width="15.85546875" style="179" customWidth="1"/>
    <col min="5641" max="5641" width="17" style="179" customWidth="1"/>
    <col min="5642" max="5642" width="19.7109375" style="179" customWidth="1"/>
    <col min="5643" max="5643" width="17.28515625" style="179" customWidth="1"/>
    <col min="5644" max="5644" width="18.140625" style="179" customWidth="1"/>
    <col min="5645" max="5645" width="21.7109375" style="179" customWidth="1"/>
    <col min="5646" max="5646" width="0.42578125" style="179" customWidth="1"/>
    <col min="5647" max="5647" width="16.140625" style="179" bestFit="1" customWidth="1"/>
    <col min="5648" max="5648" width="11.5703125" style="179" bestFit="1" customWidth="1"/>
    <col min="5649" max="5887" width="9.140625" style="179"/>
    <col min="5888" max="5888" width="33" style="179" customWidth="1"/>
    <col min="5889" max="5889" width="17.42578125" style="179" customWidth="1"/>
    <col min="5890" max="5890" width="17.140625" style="179" customWidth="1"/>
    <col min="5891" max="5891" width="16" style="179" customWidth="1"/>
    <col min="5892" max="5892" width="16.5703125" style="179" customWidth="1"/>
    <col min="5893" max="5893" width="16.28515625" style="179" customWidth="1"/>
    <col min="5894" max="5894" width="18.28515625" style="179" customWidth="1"/>
    <col min="5895" max="5895" width="17.42578125" style="179" customWidth="1"/>
    <col min="5896" max="5896" width="15.85546875" style="179" customWidth="1"/>
    <col min="5897" max="5897" width="17" style="179" customWidth="1"/>
    <col min="5898" max="5898" width="19.7109375" style="179" customWidth="1"/>
    <col min="5899" max="5899" width="17.28515625" style="179" customWidth="1"/>
    <col min="5900" max="5900" width="18.140625" style="179" customWidth="1"/>
    <col min="5901" max="5901" width="21.7109375" style="179" customWidth="1"/>
    <col min="5902" max="5902" width="0.42578125" style="179" customWidth="1"/>
    <col min="5903" max="5903" width="16.140625" style="179" bestFit="1" customWidth="1"/>
    <col min="5904" max="5904" width="11.5703125" style="179" bestFit="1" customWidth="1"/>
    <col min="5905" max="6143" width="9.140625" style="179"/>
    <col min="6144" max="6144" width="33" style="179" customWidth="1"/>
    <col min="6145" max="6145" width="17.42578125" style="179" customWidth="1"/>
    <col min="6146" max="6146" width="17.140625" style="179" customWidth="1"/>
    <col min="6147" max="6147" width="16" style="179" customWidth="1"/>
    <col min="6148" max="6148" width="16.5703125" style="179" customWidth="1"/>
    <col min="6149" max="6149" width="16.28515625" style="179" customWidth="1"/>
    <col min="6150" max="6150" width="18.28515625" style="179" customWidth="1"/>
    <col min="6151" max="6151" width="17.42578125" style="179" customWidth="1"/>
    <col min="6152" max="6152" width="15.85546875" style="179" customWidth="1"/>
    <col min="6153" max="6153" width="17" style="179" customWidth="1"/>
    <col min="6154" max="6154" width="19.7109375" style="179" customWidth="1"/>
    <col min="6155" max="6155" width="17.28515625" style="179" customWidth="1"/>
    <col min="6156" max="6156" width="18.140625" style="179" customWidth="1"/>
    <col min="6157" max="6157" width="21.7109375" style="179" customWidth="1"/>
    <col min="6158" max="6158" width="0.42578125" style="179" customWidth="1"/>
    <col min="6159" max="6159" width="16.140625" style="179" bestFit="1" customWidth="1"/>
    <col min="6160" max="6160" width="11.5703125" style="179" bestFit="1" customWidth="1"/>
    <col min="6161" max="6399" width="9.140625" style="179"/>
    <col min="6400" max="6400" width="33" style="179" customWidth="1"/>
    <col min="6401" max="6401" width="17.42578125" style="179" customWidth="1"/>
    <col min="6402" max="6402" width="17.140625" style="179" customWidth="1"/>
    <col min="6403" max="6403" width="16" style="179" customWidth="1"/>
    <col min="6404" max="6404" width="16.5703125" style="179" customWidth="1"/>
    <col min="6405" max="6405" width="16.28515625" style="179" customWidth="1"/>
    <col min="6406" max="6406" width="18.28515625" style="179" customWidth="1"/>
    <col min="6407" max="6407" width="17.42578125" style="179" customWidth="1"/>
    <col min="6408" max="6408" width="15.85546875" style="179" customWidth="1"/>
    <col min="6409" max="6409" width="17" style="179" customWidth="1"/>
    <col min="6410" max="6410" width="19.7109375" style="179" customWidth="1"/>
    <col min="6411" max="6411" width="17.28515625" style="179" customWidth="1"/>
    <col min="6412" max="6412" width="18.140625" style="179" customWidth="1"/>
    <col min="6413" max="6413" width="21.7109375" style="179" customWidth="1"/>
    <col min="6414" max="6414" width="0.42578125" style="179" customWidth="1"/>
    <col min="6415" max="6415" width="16.140625" style="179" bestFit="1" customWidth="1"/>
    <col min="6416" max="6416" width="11.5703125" style="179" bestFit="1" customWidth="1"/>
    <col min="6417" max="6655" width="9.140625" style="179"/>
    <col min="6656" max="6656" width="33" style="179" customWidth="1"/>
    <col min="6657" max="6657" width="17.42578125" style="179" customWidth="1"/>
    <col min="6658" max="6658" width="17.140625" style="179" customWidth="1"/>
    <col min="6659" max="6659" width="16" style="179" customWidth="1"/>
    <col min="6660" max="6660" width="16.5703125" style="179" customWidth="1"/>
    <col min="6661" max="6661" width="16.28515625" style="179" customWidth="1"/>
    <col min="6662" max="6662" width="18.28515625" style="179" customWidth="1"/>
    <col min="6663" max="6663" width="17.42578125" style="179" customWidth="1"/>
    <col min="6664" max="6664" width="15.85546875" style="179" customWidth="1"/>
    <col min="6665" max="6665" width="17" style="179" customWidth="1"/>
    <col min="6666" max="6666" width="19.7109375" style="179" customWidth="1"/>
    <col min="6667" max="6667" width="17.28515625" style="179" customWidth="1"/>
    <col min="6668" max="6668" width="18.140625" style="179" customWidth="1"/>
    <col min="6669" max="6669" width="21.7109375" style="179" customWidth="1"/>
    <col min="6670" max="6670" width="0.42578125" style="179" customWidth="1"/>
    <col min="6671" max="6671" width="16.140625" style="179" bestFit="1" customWidth="1"/>
    <col min="6672" max="6672" width="11.5703125" style="179" bestFit="1" customWidth="1"/>
    <col min="6673" max="6911" width="9.140625" style="179"/>
    <col min="6912" max="6912" width="33" style="179" customWidth="1"/>
    <col min="6913" max="6913" width="17.42578125" style="179" customWidth="1"/>
    <col min="6914" max="6914" width="17.140625" style="179" customWidth="1"/>
    <col min="6915" max="6915" width="16" style="179" customWidth="1"/>
    <col min="6916" max="6916" width="16.5703125" style="179" customWidth="1"/>
    <col min="6917" max="6917" width="16.28515625" style="179" customWidth="1"/>
    <col min="6918" max="6918" width="18.28515625" style="179" customWidth="1"/>
    <col min="6919" max="6919" width="17.42578125" style="179" customWidth="1"/>
    <col min="6920" max="6920" width="15.85546875" style="179" customWidth="1"/>
    <col min="6921" max="6921" width="17" style="179" customWidth="1"/>
    <col min="6922" max="6922" width="19.7109375" style="179" customWidth="1"/>
    <col min="6923" max="6923" width="17.28515625" style="179" customWidth="1"/>
    <col min="6924" max="6924" width="18.140625" style="179" customWidth="1"/>
    <col min="6925" max="6925" width="21.7109375" style="179" customWidth="1"/>
    <col min="6926" max="6926" width="0.42578125" style="179" customWidth="1"/>
    <col min="6927" max="6927" width="16.140625" style="179" bestFit="1" customWidth="1"/>
    <col min="6928" max="6928" width="11.5703125" style="179" bestFit="1" customWidth="1"/>
    <col min="6929" max="7167" width="9.140625" style="179"/>
    <col min="7168" max="7168" width="33" style="179" customWidth="1"/>
    <col min="7169" max="7169" width="17.42578125" style="179" customWidth="1"/>
    <col min="7170" max="7170" width="17.140625" style="179" customWidth="1"/>
    <col min="7171" max="7171" width="16" style="179" customWidth="1"/>
    <col min="7172" max="7172" width="16.5703125" style="179" customWidth="1"/>
    <col min="7173" max="7173" width="16.28515625" style="179" customWidth="1"/>
    <col min="7174" max="7174" width="18.28515625" style="179" customWidth="1"/>
    <col min="7175" max="7175" width="17.42578125" style="179" customWidth="1"/>
    <col min="7176" max="7176" width="15.85546875" style="179" customWidth="1"/>
    <col min="7177" max="7177" width="17" style="179" customWidth="1"/>
    <col min="7178" max="7178" width="19.7109375" style="179" customWidth="1"/>
    <col min="7179" max="7179" width="17.28515625" style="179" customWidth="1"/>
    <col min="7180" max="7180" width="18.140625" style="179" customWidth="1"/>
    <col min="7181" max="7181" width="21.7109375" style="179" customWidth="1"/>
    <col min="7182" max="7182" width="0.42578125" style="179" customWidth="1"/>
    <col min="7183" max="7183" width="16.140625" style="179" bestFit="1" customWidth="1"/>
    <col min="7184" max="7184" width="11.5703125" style="179" bestFit="1" customWidth="1"/>
    <col min="7185" max="7423" width="9.140625" style="179"/>
    <col min="7424" max="7424" width="33" style="179" customWidth="1"/>
    <col min="7425" max="7425" width="17.42578125" style="179" customWidth="1"/>
    <col min="7426" max="7426" width="17.140625" style="179" customWidth="1"/>
    <col min="7427" max="7427" width="16" style="179" customWidth="1"/>
    <col min="7428" max="7428" width="16.5703125" style="179" customWidth="1"/>
    <col min="7429" max="7429" width="16.28515625" style="179" customWidth="1"/>
    <col min="7430" max="7430" width="18.28515625" style="179" customWidth="1"/>
    <col min="7431" max="7431" width="17.42578125" style="179" customWidth="1"/>
    <col min="7432" max="7432" width="15.85546875" style="179" customWidth="1"/>
    <col min="7433" max="7433" width="17" style="179" customWidth="1"/>
    <col min="7434" max="7434" width="19.7109375" style="179" customWidth="1"/>
    <col min="7435" max="7435" width="17.28515625" style="179" customWidth="1"/>
    <col min="7436" max="7436" width="18.140625" style="179" customWidth="1"/>
    <col min="7437" max="7437" width="21.7109375" style="179" customWidth="1"/>
    <col min="7438" max="7438" width="0.42578125" style="179" customWidth="1"/>
    <col min="7439" max="7439" width="16.140625" style="179" bestFit="1" customWidth="1"/>
    <col min="7440" max="7440" width="11.5703125" style="179" bestFit="1" customWidth="1"/>
    <col min="7441" max="7679" width="9.140625" style="179"/>
    <col min="7680" max="7680" width="33" style="179" customWidth="1"/>
    <col min="7681" max="7681" width="17.42578125" style="179" customWidth="1"/>
    <col min="7682" max="7682" width="17.140625" style="179" customWidth="1"/>
    <col min="7683" max="7683" width="16" style="179" customWidth="1"/>
    <col min="7684" max="7684" width="16.5703125" style="179" customWidth="1"/>
    <col min="7685" max="7685" width="16.28515625" style="179" customWidth="1"/>
    <col min="7686" max="7686" width="18.28515625" style="179" customWidth="1"/>
    <col min="7687" max="7687" width="17.42578125" style="179" customWidth="1"/>
    <col min="7688" max="7688" width="15.85546875" style="179" customWidth="1"/>
    <col min="7689" max="7689" width="17" style="179" customWidth="1"/>
    <col min="7690" max="7690" width="19.7109375" style="179" customWidth="1"/>
    <col min="7691" max="7691" width="17.28515625" style="179" customWidth="1"/>
    <col min="7692" max="7692" width="18.140625" style="179" customWidth="1"/>
    <col min="7693" max="7693" width="21.7109375" style="179" customWidth="1"/>
    <col min="7694" max="7694" width="0.42578125" style="179" customWidth="1"/>
    <col min="7695" max="7695" width="16.140625" style="179" bestFit="1" customWidth="1"/>
    <col min="7696" max="7696" width="11.5703125" style="179" bestFit="1" customWidth="1"/>
    <col min="7697" max="7935" width="9.140625" style="179"/>
    <col min="7936" max="7936" width="33" style="179" customWidth="1"/>
    <col min="7937" max="7937" width="17.42578125" style="179" customWidth="1"/>
    <col min="7938" max="7938" width="17.140625" style="179" customWidth="1"/>
    <col min="7939" max="7939" width="16" style="179" customWidth="1"/>
    <col min="7940" max="7940" width="16.5703125" style="179" customWidth="1"/>
    <col min="7941" max="7941" width="16.28515625" style="179" customWidth="1"/>
    <col min="7942" max="7942" width="18.28515625" style="179" customWidth="1"/>
    <col min="7943" max="7943" width="17.42578125" style="179" customWidth="1"/>
    <col min="7944" max="7944" width="15.85546875" style="179" customWidth="1"/>
    <col min="7945" max="7945" width="17" style="179" customWidth="1"/>
    <col min="7946" max="7946" width="19.7109375" style="179" customWidth="1"/>
    <col min="7947" max="7947" width="17.28515625" style="179" customWidth="1"/>
    <col min="7948" max="7948" width="18.140625" style="179" customWidth="1"/>
    <col min="7949" max="7949" width="21.7109375" style="179" customWidth="1"/>
    <col min="7950" max="7950" width="0.42578125" style="179" customWidth="1"/>
    <col min="7951" max="7951" width="16.140625" style="179" bestFit="1" customWidth="1"/>
    <col min="7952" max="7952" width="11.5703125" style="179" bestFit="1" customWidth="1"/>
    <col min="7953" max="8191" width="9.140625" style="179"/>
    <col min="8192" max="8192" width="33" style="179" customWidth="1"/>
    <col min="8193" max="8193" width="17.42578125" style="179" customWidth="1"/>
    <col min="8194" max="8194" width="17.140625" style="179" customWidth="1"/>
    <col min="8195" max="8195" width="16" style="179" customWidth="1"/>
    <col min="8196" max="8196" width="16.5703125" style="179" customWidth="1"/>
    <col min="8197" max="8197" width="16.28515625" style="179" customWidth="1"/>
    <col min="8198" max="8198" width="18.28515625" style="179" customWidth="1"/>
    <col min="8199" max="8199" width="17.42578125" style="179" customWidth="1"/>
    <col min="8200" max="8200" width="15.85546875" style="179" customWidth="1"/>
    <col min="8201" max="8201" width="17" style="179" customWidth="1"/>
    <col min="8202" max="8202" width="19.7109375" style="179" customWidth="1"/>
    <col min="8203" max="8203" width="17.28515625" style="179" customWidth="1"/>
    <col min="8204" max="8204" width="18.140625" style="179" customWidth="1"/>
    <col min="8205" max="8205" width="21.7109375" style="179" customWidth="1"/>
    <col min="8206" max="8206" width="0.42578125" style="179" customWidth="1"/>
    <col min="8207" max="8207" width="16.140625" style="179" bestFit="1" customWidth="1"/>
    <col min="8208" max="8208" width="11.5703125" style="179" bestFit="1" customWidth="1"/>
    <col min="8209" max="8447" width="9.140625" style="179"/>
    <col min="8448" max="8448" width="33" style="179" customWidth="1"/>
    <col min="8449" max="8449" width="17.42578125" style="179" customWidth="1"/>
    <col min="8450" max="8450" width="17.140625" style="179" customWidth="1"/>
    <col min="8451" max="8451" width="16" style="179" customWidth="1"/>
    <col min="8452" max="8452" width="16.5703125" style="179" customWidth="1"/>
    <col min="8453" max="8453" width="16.28515625" style="179" customWidth="1"/>
    <col min="8454" max="8454" width="18.28515625" style="179" customWidth="1"/>
    <col min="8455" max="8455" width="17.42578125" style="179" customWidth="1"/>
    <col min="8456" max="8456" width="15.85546875" style="179" customWidth="1"/>
    <col min="8457" max="8457" width="17" style="179" customWidth="1"/>
    <col min="8458" max="8458" width="19.7109375" style="179" customWidth="1"/>
    <col min="8459" max="8459" width="17.28515625" style="179" customWidth="1"/>
    <col min="8460" max="8460" width="18.140625" style="179" customWidth="1"/>
    <col min="8461" max="8461" width="21.7109375" style="179" customWidth="1"/>
    <col min="8462" max="8462" width="0.42578125" style="179" customWidth="1"/>
    <col min="8463" max="8463" width="16.140625" style="179" bestFit="1" customWidth="1"/>
    <col min="8464" max="8464" width="11.5703125" style="179" bestFit="1" customWidth="1"/>
    <col min="8465" max="8703" width="9.140625" style="179"/>
    <col min="8704" max="8704" width="33" style="179" customWidth="1"/>
    <col min="8705" max="8705" width="17.42578125" style="179" customWidth="1"/>
    <col min="8706" max="8706" width="17.140625" style="179" customWidth="1"/>
    <col min="8707" max="8707" width="16" style="179" customWidth="1"/>
    <col min="8708" max="8708" width="16.5703125" style="179" customWidth="1"/>
    <col min="8709" max="8709" width="16.28515625" style="179" customWidth="1"/>
    <col min="8710" max="8710" width="18.28515625" style="179" customWidth="1"/>
    <col min="8711" max="8711" width="17.42578125" style="179" customWidth="1"/>
    <col min="8712" max="8712" width="15.85546875" style="179" customWidth="1"/>
    <col min="8713" max="8713" width="17" style="179" customWidth="1"/>
    <col min="8714" max="8714" width="19.7109375" style="179" customWidth="1"/>
    <col min="8715" max="8715" width="17.28515625" style="179" customWidth="1"/>
    <col min="8716" max="8716" width="18.140625" style="179" customWidth="1"/>
    <col min="8717" max="8717" width="21.7109375" style="179" customWidth="1"/>
    <col min="8718" max="8718" width="0.42578125" style="179" customWidth="1"/>
    <col min="8719" max="8719" width="16.140625" style="179" bestFit="1" customWidth="1"/>
    <col min="8720" max="8720" width="11.5703125" style="179" bestFit="1" customWidth="1"/>
    <col min="8721" max="8959" width="9.140625" style="179"/>
    <col min="8960" max="8960" width="33" style="179" customWidth="1"/>
    <col min="8961" max="8961" width="17.42578125" style="179" customWidth="1"/>
    <col min="8962" max="8962" width="17.140625" style="179" customWidth="1"/>
    <col min="8963" max="8963" width="16" style="179" customWidth="1"/>
    <col min="8964" max="8964" width="16.5703125" style="179" customWidth="1"/>
    <col min="8965" max="8965" width="16.28515625" style="179" customWidth="1"/>
    <col min="8966" max="8966" width="18.28515625" style="179" customWidth="1"/>
    <col min="8967" max="8967" width="17.42578125" style="179" customWidth="1"/>
    <col min="8968" max="8968" width="15.85546875" style="179" customWidth="1"/>
    <col min="8969" max="8969" width="17" style="179" customWidth="1"/>
    <col min="8970" max="8970" width="19.7109375" style="179" customWidth="1"/>
    <col min="8971" max="8971" width="17.28515625" style="179" customWidth="1"/>
    <col min="8972" max="8972" width="18.140625" style="179" customWidth="1"/>
    <col min="8973" max="8973" width="21.7109375" style="179" customWidth="1"/>
    <col min="8974" max="8974" width="0.42578125" style="179" customWidth="1"/>
    <col min="8975" max="8975" width="16.140625" style="179" bestFit="1" customWidth="1"/>
    <col min="8976" max="8976" width="11.5703125" style="179" bestFit="1" customWidth="1"/>
    <col min="8977" max="9215" width="9.140625" style="179"/>
    <col min="9216" max="9216" width="33" style="179" customWidth="1"/>
    <col min="9217" max="9217" width="17.42578125" style="179" customWidth="1"/>
    <col min="9218" max="9218" width="17.140625" style="179" customWidth="1"/>
    <col min="9219" max="9219" width="16" style="179" customWidth="1"/>
    <col min="9220" max="9220" width="16.5703125" style="179" customWidth="1"/>
    <col min="9221" max="9221" width="16.28515625" style="179" customWidth="1"/>
    <col min="9222" max="9222" width="18.28515625" style="179" customWidth="1"/>
    <col min="9223" max="9223" width="17.42578125" style="179" customWidth="1"/>
    <col min="9224" max="9224" width="15.85546875" style="179" customWidth="1"/>
    <col min="9225" max="9225" width="17" style="179" customWidth="1"/>
    <col min="9226" max="9226" width="19.7109375" style="179" customWidth="1"/>
    <col min="9227" max="9227" width="17.28515625" style="179" customWidth="1"/>
    <col min="9228" max="9228" width="18.140625" style="179" customWidth="1"/>
    <col min="9229" max="9229" width="21.7109375" style="179" customWidth="1"/>
    <col min="9230" max="9230" width="0.42578125" style="179" customWidth="1"/>
    <col min="9231" max="9231" width="16.140625" style="179" bestFit="1" customWidth="1"/>
    <col min="9232" max="9232" width="11.5703125" style="179" bestFit="1" customWidth="1"/>
    <col min="9233" max="9471" width="9.140625" style="179"/>
    <col min="9472" max="9472" width="33" style="179" customWidth="1"/>
    <col min="9473" max="9473" width="17.42578125" style="179" customWidth="1"/>
    <col min="9474" max="9474" width="17.140625" style="179" customWidth="1"/>
    <col min="9475" max="9475" width="16" style="179" customWidth="1"/>
    <col min="9476" max="9476" width="16.5703125" style="179" customWidth="1"/>
    <col min="9477" max="9477" width="16.28515625" style="179" customWidth="1"/>
    <col min="9478" max="9478" width="18.28515625" style="179" customWidth="1"/>
    <col min="9479" max="9479" width="17.42578125" style="179" customWidth="1"/>
    <col min="9480" max="9480" width="15.85546875" style="179" customWidth="1"/>
    <col min="9481" max="9481" width="17" style="179" customWidth="1"/>
    <col min="9482" max="9482" width="19.7109375" style="179" customWidth="1"/>
    <col min="9483" max="9483" width="17.28515625" style="179" customWidth="1"/>
    <col min="9484" max="9484" width="18.140625" style="179" customWidth="1"/>
    <col min="9485" max="9485" width="21.7109375" style="179" customWidth="1"/>
    <col min="9486" max="9486" width="0.42578125" style="179" customWidth="1"/>
    <col min="9487" max="9487" width="16.140625" style="179" bestFit="1" customWidth="1"/>
    <col min="9488" max="9488" width="11.5703125" style="179" bestFit="1" customWidth="1"/>
    <col min="9489" max="9727" width="9.140625" style="179"/>
    <col min="9728" max="9728" width="33" style="179" customWidth="1"/>
    <col min="9729" max="9729" width="17.42578125" style="179" customWidth="1"/>
    <col min="9730" max="9730" width="17.140625" style="179" customWidth="1"/>
    <col min="9731" max="9731" width="16" style="179" customWidth="1"/>
    <col min="9732" max="9732" width="16.5703125" style="179" customWidth="1"/>
    <col min="9733" max="9733" width="16.28515625" style="179" customWidth="1"/>
    <col min="9734" max="9734" width="18.28515625" style="179" customWidth="1"/>
    <col min="9735" max="9735" width="17.42578125" style="179" customWidth="1"/>
    <col min="9736" max="9736" width="15.85546875" style="179" customWidth="1"/>
    <col min="9737" max="9737" width="17" style="179" customWidth="1"/>
    <col min="9738" max="9738" width="19.7109375" style="179" customWidth="1"/>
    <col min="9739" max="9739" width="17.28515625" style="179" customWidth="1"/>
    <col min="9740" max="9740" width="18.140625" style="179" customWidth="1"/>
    <col min="9741" max="9741" width="21.7109375" style="179" customWidth="1"/>
    <col min="9742" max="9742" width="0.42578125" style="179" customWidth="1"/>
    <col min="9743" max="9743" width="16.140625" style="179" bestFit="1" customWidth="1"/>
    <col min="9744" max="9744" width="11.5703125" style="179" bestFit="1" customWidth="1"/>
    <col min="9745" max="9983" width="9.140625" style="179"/>
    <col min="9984" max="9984" width="33" style="179" customWidth="1"/>
    <col min="9985" max="9985" width="17.42578125" style="179" customWidth="1"/>
    <col min="9986" max="9986" width="17.140625" style="179" customWidth="1"/>
    <col min="9987" max="9987" width="16" style="179" customWidth="1"/>
    <col min="9988" max="9988" width="16.5703125" style="179" customWidth="1"/>
    <col min="9989" max="9989" width="16.28515625" style="179" customWidth="1"/>
    <col min="9990" max="9990" width="18.28515625" style="179" customWidth="1"/>
    <col min="9991" max="9991" width="17.42578125" style="179" customWidth="1"/>
    <col min="9992" max="9992" width="15.85546875" style="179" customWidth="1"/>
    <col min="9993" max="9993" width="17" style="179" customWidth="1"/>
    <col min="9994" max="9994" width="19.7109375" style="179" customWidth="1"/>
    <col min="9995" max="9995" width="17.28515625" style="179" customWidth="1"/>
    <col min="9996" max="9996" width="18.140625" style="179" customWidth="1"/>
    <col min="9997" max="9997" width="21.7109375" style="179" customWidth="1"/>
    <col min="9998" max="9998" width="0.42578125" style="179" customWidth="1"/>
    <col min="9999" max="9999" width="16.140625" style="179" bestFit="1" customWidth="1"/>
    <col min="10000" max="10000" width="11.5703125" style="179" bestFit="1" customWidth="1"/>
    <col min="10001" max="10239" width="9.140625" style="179"/>
    <col min="10240" max="10240" width="33" style="179" customWidth="1"/>
    <col min="10241" max="10241" width="17.42578125" style="179" customWidth="1"/>
    <col min="10242" max="10242" width="17.140625" style="179" customWidth="1"/>
    <col min="10243" max="10243" width="16" style="179" customWidth="1"/>
    <col min="10244" max="10244" width="16.5703125" style="179" customWidth="1"/>
    <col min="10245" max="10245" width="16.28515625" style="179" customWidth="1"/>
    <col min="10246" max="10246" width="18.28515625" style="179" customWidth="1"/>
    <col min="10247" max="10247" width="17.42578125" style="179" customWidth="1"/>
    <col min="10248" max="10248" width="15.85546875" style="179" customWidth="1"/>
    <col min="10249" max="10249" width="17" style="179" customWidth="1"/>
    <col min="10250" max="10250" width="19.7109375" style="179" customWidth="1"/>
    <col min="10251" max="10251" width="17.28515625" style="179" customWidth="1"/>
    <col min="10252" max="10252" width="18.140625" style="179" customWidth="1"/>
    <col min="10253" max="10253" width="21.7109375" style="179" customWidth="1"/>
    <col min="10254" max="10254" width="0.42578125" style="179" customWidth="1"/>
    <col min="10255" max="10255" width="16.140625" style="179" bestFit="1" customWidth="1"/>
    <col min="10256" max="10256" width="11.5703125" style="179" bestFit="1" customWidth="1"/>
    <col min="10257" max="10495" width="9.140625" style="179"/>
    <col min="10496" max="10496" width="33" style="179" customWidth="1"/>
    <col min="10497" max="10497" width="17.42578125" style="179" customWidth="1"/>
    <col min="10498" max="10498" width="17.140625" style="179" customWidth="1"/>
    <col min="10499" max="10499" width="16" style="179" customWidth="1"/>
    <col min="10500" max="10500" width="16.5703125" style="179" customWidth="1"/>
    <col min="10501" max="10501" width="16.28515625" style="179" customWidth="1"/>
    <col min="10502" max="10502" width="18.28515625" style="179" customWidth="1"/>
    <col min="10503" max="10503" width="17.42578125" style="179" customWidth="1"/>
    <col min="10504" max="10504" width="15.85546875" style="179" customWidth="1"/>
    <col min="10505" max="10505" width="17" style="179" customWidth="1"/>
    <col min="10506" max="10506" width="19.7109375" style="179" customWidth="1"/>
    <col min="10507" max="10507" width="17.28515625" style="179" customWidth="1"/>
    <col min="10508" max="10508" width="18.140625" style="179" customWidth="1"/>
    <col min="10509" max="10509" width="21.7109375" style="179" customWidth="1"/>
    <col min="10510" max="10510" width="0.42578125" style="179" customWidth="1"/>
    <col min="10511" max="10511" width="16.140625" style="179" bestFit="1" customWidth="1"/>
    <col min="10512" max="10512" width="11.5703125" style="179" bestFit="1" customWidth="1"/>
    <col min="10513" max="10751" width="9.140625" style="179"/>
    <col min="10752" max="10752" width="33" style="179" customWidth="1"/>
    <col min="10753" max="10753" width="17.42578125" style="179" customWidth="1"/>
    <col min="10754" max="10754" width="17.140625" style="179" customWidth="1"/>
    <col min="10755" max="10755" width="16" style="179" customWidth="1"/>
    <col min="10756" max="10756" width="16.5703125" style="179" customWidth="1"/>
    <col min="10757" max="10757" width="16.28515625" style="179" customWidth="1"/>
    <col min="10758" max="10758" width="18.28515625" style="179" customWidth="1"/>
    <col min="10759" max="10759" width="17.42578125" style="179" customWidth="1"/>
    <col min="10760" max="10760" width="15.85546875" style="179" customWidth="1"/>
    <col min="10761" max="10761" width="17" style="179" customWidth="1"/>
    <col min="10762" max="10762" width="19.7109375" style="179" customWidth="1"/>
    <col min="10763" max="10763" width="17.28515625" style="179" customWidth="1"/>
    <col min="10764" max="10764" width="18.140625" style="179" customWidth="1"/>
    <col min="10765" max="10765" width="21.7109375" style="179" customWidth="1"/>
    <col min="10766" max="10766" width="0.42578125" style="179" customWidth="1"/>
    <col min="10767" max="10767" width="16.140625" style="179" bestFit="1" customWidth="1"/>
    <col min="10768" max="10768" width="11.5703125" style="179" bestFit="1" customWidth="1"/>
    <col min="10769" max="11007" width="9.140625" style="179"/>
    <col min="11008" max="11008" width="33" style="179" customWidth="1"/>
    <col min="11009" max="11009" width="17.42578125" style="179" customWidth="1"/>
    <col min="11010" max="11010" width="17.140625" style="179" customWidth="1"/>
    <col min="11011" max="11011" width="16" style="179" customWidth="1"/>
    <col min="11012" max="11012" width="16.5703125" style="179" customWidth="1"/>
    <col min="11013" max="11013" width="16.28515625" style="179" customWidth="1"/>
    <col min="11014" max="11014" width="18.28515625" style="179" customWidth="1"/>
    <col min="11015" max="11015" width="17.42578125" style="179" customWidth="1"/>
    <col min="11016" max="11016" width="15.85546875" style="179" customWidth="1"/>
    <col min="11017" max="11017" width="17" style="179" customWidth="1"/>
    <col min="11018" max="11018" width="19.7109375" style="179" customWidth="1"/>
    <col min="11019" max="11019" width="17.28515625" style="179" customWidth="1"/>
    <col min="11020" max="11020" width="18.140625" style="179" customWidth="1"/>
    <col min="11021" max="11021" width="21.7109375" style="179" customWidth="1"/>
    <col min="11022" max="11022" width="0.42578125" style="179" customWidth="1"/>
    <col min="11023" max="11023" width="16.140625" style="179" bestFit="1" customWidth="1"/>
    <col min="11024" max="11024" width="11.5703125" style="179" bestFit="1" customWidth="1"/>
    <col min="11025" max="11263" width="9.140625" style="179"/>
    <col min="11264" max="11264" width="33" style="179" customWidth="1"/>
    <col min="11265" max="11265" width="17.42578125" style="179" customWidth="1"/>
    <col min="11266" max="11266" width="17.140625" style="179" customWidth="1"/>
    <col min="11267" max="11267" width="16" style="179" customWidth="1"/>
    <col min="11268" max="11268" width="16.5703125" style="179" customWidth="1"/>
    <col min="11269" max="11269" width="16.28515625" style="179" customWidth="1"/>
    <col min="11270" max="11270" width="18.28515625" style="179" customWidth="1"/>
    <col min="11271" max="11271" width="17.42578125" style="179" customWidth="1"/>
    <col min="11272" max="11272" width="15.85546875" style="179" customWidth="1"/>
    <col min="11273" max="11273" width="17" style="179" customWidth="1"/>
    <col min="11274" max="11274" width="19.7109375" style="179" customWidth="1"/>
    <col min="11275" max="11275" width="17.28515625" style="179" customWidth="1"/>
    <col min="11276" max="11276" width="18.140625" style="179" customWidth="1"/>
    <col min="11277" max="11277" width="21.7109375" style="179" customWidth="1"/>
    <col min="11278" max="11278" width="0.42578125" style="179" customWidth="1"/>
    <col min="11279" max="11279" width="16.140625" style="179" bestFit="1" customWidth="1"/>
    <col min="11280" max="11280" width="11.5703125" style="179" bestFit="1" customWidth="1"/>
    <col min="11281" max="11519" width="9.140625" style="179"/>
    <col min="11520" max="11520" width="33" style="179" customWidth="1"/>
    <col min="11521" max="11521" width="17.42578125" style="179" customWidth="1"/>
    <col min="11522" max="11522" width="17.140625" style="179" customWidth="1"/>
    <col min="11523" max="11523" width="16" style="179" customWidth="1"/>
    <col min="11524" max="11524" width="16.5703125" style="179" customWidth="1"/>
    <col min="11525" max="11525" width="16.28515625" style="179" customWidth="1"/>
    <col min="11526" max="11526" width="18.28515625" style="179" customWidth="1"/>
    <col min="11527" max="11527" width="17.42578125" style="179" customWidth="1"/>
    <col min="11528" max="11528" width="15.85546875" style="179" customWidth="1"/>
    <col min="11529" max="11529" width="17" style="179" customWidth="1"/>
    <col min="11530" max="11530" width="19.7109375" style="179" customWidth="1"/>
    <col min="11531" max="11531" width="17.28515625" style="179" customWidth="1"/>
    <col min="11532" max="11532" width="18.140625" style="179" customWidth="1"/>
    <col min="11533" max="11533" width="21.7109375" style="179" customWidth="1"/>
    <col min="11534" max="11534" width="0.42578125" style="179" customWidth="1"/>
    <col min="11535" max="11535" width="16.140625" style="179" bestFit="1" customWidth="1"/>
    <col min="11536" max="11536" width="11.5703125" style="179" bestFit="1" customWidth="1"/>
    <col min="11537" max="11775" width="9.140625" style="179"/>
    <col min="11776" max="11776" width="33" style="179" customWidth="1"/>
    <col min="11777" max="11777" width="17.42578125" style="179" customWidth="1"/>
    <col min="11778" max="11778" width="17.140625" style="179" customWidth="1"/>
    <col min="11779" max="11779" width="16" style="179" customWidth="1"/>
    <col min="11780" max="11780" width="16.5703125" style="179" customWidth="1"/>
    <col min="11781" max="11781" width="16.28515625" style="179" customWidth="1"/>
    <col min="11782" max="11782" width="18.28515625" style="179" customWidth="1"/>
    <col min="11783" max="11783" width="17.42578125" style="179" customWidth="1"/>
    <col min="11784" max="11784" width="15.85546875" style="179" customWidth="1"/>
    <col min="11785" max="11785" width="17" style="179" customWidth="1"/>
    <col min="11786" max="11786" width="19.7109375" style="179" customWidth="1"/>
    <col min="11787" max="11787" width="17.28515625" style="179" customWidth="1"/>
    <col min="11788" max="11788" width="18.140625" style="179" customWidth="1"/>
    <col min="11789" max="11789" width="21.7109375" style="179" customWidth="1"/>
    <col min="11790" max="11790" width="0.42578125" style="179" customWidth="1"/>
    <col min="11791" max="11791" width="16.140625" style="179" bestFit="1" customWidth="1"/>
    <col min="11792" max="11792" width="11.5703125" style="179" bestFit="1" customWidth="1"/>
    <col min="11793" max="12031" width="9.140625" style="179"/>
    <col min="12032" max="12032" width="33" style="179" customWidth="1"/>
    <col min="12033" max="12033" width="17.42578125" style="179" customWidth="1"/>
    <col min="12034" max="12034" width="17.140625" style="179" customWidth="1"/>
    <col min="12035" max="12035" width="16" style="179" customWidth="1"/>
    <col min="12036" max="12036" width="16.5703125" style="179" customWidth="1"/>
    <col min="12037" max="12037" width="16.28515625" style="179" customWidth="1"/>
    <col min="12038" max="12038" width="18.28515625" style="179" customWidth="1"/>
    <col min="12039" max="12039" width="17.42578125" style="179" customWidth="1"/>
    <col min="12040" max="12040" width="15.85546875" style="179" customWidth="1"/>
    <col min="12041" max="12041" width="17" style="179" customWidth="1"/>
    <col min="12042" max="12042" width="19.7109375" style="179" customWidth="1"/>
    <col min="12043" max="12043" width="17.28515625" style="179" customWidth="1"/>
    <col min="12044" max="12044" width="18.140625" style="179" customWidth="1"/>
    <col min="12045" max="12045" width="21.7109375" style="179" customWidth="1"/>
    <col min="12046" max="12046" width="0.42578125" style="179" customWidth="1"/>
    <col min="12047" max="12047" width="16.140625" style="179" bestFit="1" customWidth="1"/>
    <col min="12048" max="12048" width="11.5703125" style="179" bestFit="1" customWidth="1"/>
    <col min="12049" max="12287" width="9.140625" style="179"/>
    <col min="12288" max="12288" width="33" style="179" customWidth="1"/>
    <col min="12289" max="12289" width="17.42578125" style="179" customWidth="1"/>
    <col min="12290" max="12290" width="17.140625" style="179" customWidth="1"/>
    <col min="12291" max="12291" width="16" style="179" customWidth="1"/>
    <col min="12292" max="12292" width="16.5703125" style="179" customWidth="1"/>
    <col min="12293" max="12293" width="16.28515625" style="179" customWidth="1"/>
    <col min="12294" max="12294" width="18.28515625" style="179" customWidth="1"/>
    <col min="12295" max="12295" width="17.42578125" style="179" customWidth="1"/>
    <col min="12296" max="12296" width="15.85546875" style="179" customWidth="1"/>
    <col min="12297" max="12297" width="17" style="179" customWidth="1"/>
    <col min="12298" max="12298" width="19.7109375" style="179" customWidth="1"/>
    <col min="12299" max="12299" width="17.28515625" style="179" customWidth="1"/>
    <col min="12300" max="12300" width="18.140625" style="179" customWidth="1"/>
    <col min="12301" max="12301" width="21.7109375" style="179" customWidth="1"/>
    <col min="12302" max="12302" width="0.42578125" style="179" customWidth="1"/>
    <col min="12303" max="12303" width="16.140625" style="179" bestFit="1" customWidth="1"/>
    <col min="12304" max="12304" width="11.5703125" style="179" bestFit="1" customWidth="1"/>
    <col min="12305" max="12543" width="9.140625" style="179"/>
    <col min="12544" max="12544" width="33" style="179" customWidth="1"/>
    <col min="12545" max="12545" width="17.42578125" style="179" customWidth="1"/>
    <col min="12546" max="12546" width="17.140625" style="179" customWidth="1"/>
    <col min="12547" max="12547" width="16" style="179" customWidth="1"/>
    <col min="12548" max="12548" width="16.5703125" style="179" customWidth="1"/>
    <col min="12549" max="12549" width="16.28515625" style="179" customWidth="1"/>
    <col min="12550" max="12550" width="18.28515625" style="179" customWidth="1"/>
    <col min="12551" max="12551" width="17.42578125" style="179" customWidth="1"/>
    <col min="12552" max="12552" width="15.85546875" style="179" customWidth="1"/>
    <col min="12553" max="12553" width="17" style="179" customWidth="1"/>
    <col min="12554" max="12554" width="19.7109375" style="179" customWidth="1"/>
    <col min="12555" max="12555" width="17.28515625" style="179" customWidth="1"/>
    <col min="12556" max="12556" width="18.140625" style="179" customWidth="1"/>
    <col min="12557" max="12557" width="21.7109375" style="179" customWidth="1"/>
    <col min="12558" max="12558" width="0.42578125" style="179" customWidth="1"/>
    <col min="12559" max="12559" width="16.140625" style="179" bestFit="1" customWidth="1"/>
    <col min="12560" max="12560" width="11.5703125" style="179" bestFit="1" customWidth="1"/>
    <col min="12561" max="12799" width="9.140625" style="179"/>
    <col min="12800" max="12800" width="33" style="179" customWidth="1"/>
    <col min="12801" max="12801" width="17.42578125" style="179" customWidth="1"/>
    <col min="12802" max="12802" width="17.140625" style="179" customWidth="1"/>
    <col min="12803" max="12803" width="16" style="179" customWidth="1"/>
    <col min="12804" max="12804" width="16.5703125" style="179" customWidth="1"/>
    <col min="12805" max="12805" width="16.28515625" style="179" customWidth="1"/>
    <col min="12806" max="12806" width="18.28515625" style="179" customWidth="1"/>
    <col min="12807" max="12807" width="17.42578125" style="179" customWidth="1"/>
    <col min="12808" max="12808" width="15.85546875" style="179" customWidth="1"/>
    <col min="12809" max="12809" width="17" style="179" customWidth="1"/>
    <col min="12810" max="12810" width="19.7109375" style="179" customWidth="1"/>
    <col min="12811" max="12811" width="17.28515625" style="179" customWidth="1"/>
    <col min="12812" max="12812" width="18.140625" style="179" customWidth="1"/>
    <col min="12813" max="12813" width="21.7109375" style="179" customWidth="1"/>
    <col min="12814" max="12814" width="0.42578125" style="179" customWidth="1"/>
    <col min="12815" max="12815" width="16.140625" style="179" bestFit="1" customWidth="1"/>
    <col min="12816" max="12816" width="11.5703125" style="179" bestFit="1" customWidth="1"/>
    <col min="12817" max="13055" width="9.140625" style="179"/>
    <col min="13056" max="13056" width="33" style="179" customWidth="1"/>
    <col min="13057" max="13057" width="17.42578125" style="179" customWidth="1"/>
    <col min="13058" max="13058" width="17.140625" style="179" customWidth="1"/>
    <col min="13059" max="13059" width="16" style="179" customWidth="1"/>
    <col min="13060" max="13060" width="16.5703125" style="179" customWidth="1"/>
    <col min="13061" max="13061" width="16.28515625" style="179" customWidth="1"/>
    <col min="13062" max="13062" width="18.28515625" style="179" customWidth="1"/>
    <col min="13063" max="13063" width="17.42578125" style="179" customWidth="1"/>
    <col min="13064" max="13064" width="15.85546875" style="179" customWidth="1"/>
    <col min="13065" max="13065" width="17" style="179" customWidth="1"/>
    <col min="13066" max="13066" width="19.7109375" style="179" customWidth="1"/>
    <col min="13067" max="13067" width="17.28515625" style="179" customWidth="1"/>
    <col min="13068" max="13068" width="18.140625" style="179" customWidth="1"/>
    <col min="13069" max="13069" width="21.7109375" style="179" customWidth="1"/>
    <col min="13070" max="13070" width="0.42578125" style="179" customWidth="1"/>
    <col min="13071" max="13071" width="16.140625" style="179" bestFit="1" customWidth="1"/>
    <col min="13072" max="13072" width="11.5703125" style="179" bestFit="1" customWidth="1"/>
    <col min="13073" max="13311" width="9.140625" style="179"/>
    <col min="13312" max="13312" width="33" style="179" customWidth="1"/>
    <col min="13313" max="13313" width="17.42578125" style="179" customWidth="1"/>
    <col min="13314" max="13314" width="17.140625" style="179" customWidth="1"/>
    <col min="13315" max="13315" width="16" style="179" customWidth="1"/>
    <col min="13316" max="13316" width="16.5703125" style="179" customWidth="1"/>
    <col min="13317" max="13317" width="16.28515625" style="179" customWidth="1"/>
    <col min="13318" max="13318" width="18.28515625" style="179" customWidth="1"/>
    <col min="13319" max="13319" width="17.42578125" style="179" customWidth="1"/>
    <col min="13320" max="13320" width="15.85546875" style="179" customWidth="1"/>
    <col min="13321" max="13321" width="17" style="179" customWidth="1"/>
    <col min="13322" max="13322" width="19.7109375" style="179" customWidth="1"/>
    <col min="13323" max="13323" width="17.28515625" style="179" customWidth="1"/>
    <col min="13324" max="13324" width="18.140625" style="179" customWidth="1"/>
    <col min="13325" max="13325" width="21.7109375" style="179" customWidth="1"/>
    <col min="13326" max="13326" width="0.42578125" style="179" customWidth="1"/>
    <col min="13327" max="13327" width="16.140625" style="179" bestFit="1" customWidth="1"/>
    <col min="13328" max="13328" width="11.5703125" style="179" bestFit="1" customWidth="1"/>
    <col min="13329" max="13567" width="9.140625" style="179"/>
    <col min="13568" max="13568" width="33" style="179" customWidth="1"/>
    <col min="13569" max="13569" width="17.42578125" style="179" customWidth="1"/>
    <col min="13570" max="13570" width="17.140625" style="179" customWidth="1"/>
    <col min="13571" max="13571" width="16" style="179" customWidth="1"/>
    <col min="13572" max="13572" width="16.5703125" style="179" customWidth="1"/>
    <col min="13573" max="13573" width="16.28515625" style="179" customWidth="1"/>
    <col min="13574" max="13574" width="18.28515625" style="179" customWidth="1"/>
    <col min="13575" max="13575" width="17.42578125" style="179" customWidth="1"/>
    <col min="13576" max="13576" width="15.85546875" style="179" customWidth="1"/>
    <col min="13577" max="13577" width="17" style="179" customWidth="1"/>
    <col min="13578" max="13578" width="19.7109375" style="179" customWidth="1"/>
    <col min="13579" max="13579" width="17.28515625" style="179" customWidth="1"/>
    <col min="13580" max="13580" width="18.140625" style="179" customWidth="1"/>
    <col min="13581" max="13581" width="21.7109375" style="179" customWidth="1"/>
    <col min="13582" max="13582" width="0.42578125" style="179" customWidth="1"/>
    <col min="13583" max="13583" width="16.140625" style="179" bestFit="1" customWidth="1"/>
    <col min="13584" max="13584" width="11.5703125" style="179" bestFit="1" customWidth="1"/>
    <col min="13585" max="13823" width="9.140625" style="179"/>
    <col min="13824" max="13824" width="33" style="179" customWidth="1"/>
    <col min="13825" max="13825" width="17.42578125" style="179" customWidth="1"/>
    <col min="13826" max="13826" width="17.140625" style="179" customWidth="1"/>
    <col min="13827" max="13827" width="16" style="179" customWidth="1"/>
    <col min="13828" max="13828" width="16.5703125" style="179" customWidth="1"/>
    <col min="13829" max="13829" width="16.28515625" style="179" customWidth="1"/>
    <col min="13830" max="13830" width="18.28515625" style="179" customWidth="1"/>
    <col min="13831" max="13831" width="17.42578125" style="179" customWidth="1"/>
    <col min="13832" max="13832" width="15.85546875" style="179" customWidth="1"/>
    <col min="13833" max="13833" width="17" style="179" customWidth="1"/>
    <col min="13834" max="13834" width="19.7109375" style="179" customWidth="1"/>
    <col min="13835" max="13835" width="17.28515625" style="179" customWidth="1"/>
    <col min="13836" max="13836" width="18.140625" style="179" customWidth="1"/>
    <col min="13837" max="13837" width="21.7109375" style="179" customWidth="1"/>
    <col min="13838" max="13838" width="0.42578125" style="179" customWidth="1"/>
    <col min="13839" max="13839" width="16.140625" style="179" bestFit="1" customWidth="1"/>
    <col min="13840" max="13840" width="11.5703125" style="179" bestFit="1" customWidth="1"/>
    <col min="13841" max="14079" width="9.140625" style="179"/>
    <col min="14080" max="14080" width="33" style="179" customWidth="1"/>
    <col min="14081" max="14081" width="17.42578125" style="179" customWidth="1"/>
    <col min="14082" max="14082" width="17.140625" style="179" customWidth="1"/>
    <col min="14083" max="14083" width="16" style="179" customWidth="1"/>
    <col min="14084" max="14084" width="16.5703125" style="179" customWidth="1"/>
    <col min="14085" max="14085" width="16.28515625" style="179" customWidth="1"/>
    <col min="14086" max="14086" width="18.28515625" style="179" customWidth="1"/>
    <col min="14087" max="14087" width="17.42578125" style="179" customWidth="1"/>
    <col min="14088" max="14088" width="15.85546875" style="179" customWidth="1"/>
    <col min="14089" max="14089" width="17" style="179" customWidth="1"/>
    <col min="14090" max="14090" width="19.7109375" style="179" customWidth="1"/>
    <col min="14091" max="14091" width="17.28515625" style="179" customWidth="1"/>
    <col min="14092" max="14092" width="18.140625" style="179" customWidth="1"/>
    <col min="14093" max="14093" width="21.7109375" style="179" customWidth="1"/>
    <col min="14094" max="14094" width="0.42578125" style="179" customWidth="1"/>
    <col min="14095" max="14095" width="16.140625" style="179" bestFit="1" customWidth="1"/>
    <col min="14096" max="14096" width="11.5703125" style="179" bestFit="1" customWidth="1"/>
    <col min="14097" max="14335" width="9.140625" style="179"/>
    <col min="14336" max="14336" width="33" style="179" customWidth="1"/>
    <col min="14337" max="14337" width="17.42578125" style="179" customWidth="1"/>
    <col min="14338" max="14338" width="17.140625" style="179" customWidth="1"/>
    <col min="14339" max="14339" width="16" style="179" customWidth="1"/>
    <col min="14340" max="14340" width="16.5703125" style="179" customWidth="1"/>
    <col min="14341" max="14341" width="16.28515625" style="179" customWidth="1"/>
    <col min="14342" max="14342" width="18.28515625" style="179" customWidth="1"/>
    <col min="14343" max="14343" width="17.42578125" style="179" customWidth="1"/>
    <col min="14344" max="14344" width="15.85546875" style="179" customWidth="1"/>
    <col min="14345" max="14345" width="17" style="179" customWidth="1"/>
    <col min="14346" max="14346" width="19.7109375" style="179" customWidth="1"/>
    <col min="14347" max="14347" width="17.28515625" style="179" customWidth="1"/>
    <col min="14348" max="14348" width="18.140625" style="179" customWidth="1"/>
    <col min="14349" max="14349" width="21.7109375" style="179" customWidth="1"/>
    <col min="14350" max="14350" width="0.42578125" style="179" customWidth="1"/>
    <col min="14351" max="14351" width="16.140625" style="179" bestFit="1" customWidth="1"/>
    <col min="14352" max="14352" width="11.5703125" style="179" bestFit="1" customWidth="1"/>
    <col min="14353" max="14591" width="9.140625" style="179"/>
    <col min="14592" max="14592" width="33" style="179" customWidth="1"/>
    <col min="14593" max="14593" width="17.42578125" style="179" customWidth="1"/>
    <col min="14594" max="14594" width="17.140625" style="179" customWidth="1"/>
    <col min="14595" max="14595" width="16" style="179" customWidth="1"/>
    <col min="14596" max="14596" width="16.5703125" style="179" customWidth="1"/>
    <col min="14597" max="14597" width="16.28515625" style="179" customWidth="1"/>
    <col min="14598" max="14598" width="18.28515625" style="179" customWidth="1"/>
    <col min="14599" max="14599" width="17.42578125" style="179" customWidth="1"/>
    <col min="14600" max="14600" width="15.85546875" style="179" customWidth="1"/>
    <col min="14601" max="14601" width="17" style="179" customWidth="1"/>
    <col min="14602" max="14602" width="19.7109375" style="179" customWidth="1"/>
    <col min="14603" max="14603" width="17.28515625" style="179" customWidth="1"/>
    <col min="14604" max="14604" width="18.140625" style="179" customWidth="1"/>
    <col min="14605" max="14605" width="21.7109375" style="179" customWidth="1"/>
    <col min="14606" max="14606" width="0.42578125" style="179" customWidth="1"/>
    <col min="14607" max="14607" width="16.140625" style="179" bestFit="1" customWidth="1"/>
    <col min="14608" max="14608" width="11.5703125" style="179" bestFit="1" customWidth="1"/>
    <col min="14609" max="14847" width="9.140625" style="179"/>
    <col min="14848" max="14848" width="33" style="179" customWidth="1"/>
    <col min="14849" max="14849" width="17.42578125" style="179" customWidth="1"/>
    <col min="14850" max="14850" width="17.140625" style="179" customWidth="1"/>
    <col min="14851" max="14851" width="16" style="179" customWidth="1"/>
    <col min="14852" max="14852" width="16.5703125" style="179" customWidth="1"/>
    <col min="14853" max="14853" width="16.28515625" style="179" customWidth="1"/>
    <col min="14854" max="14854" width="18.28515625" style="179" customWidth="1"/>
    <col min="14855" max="14855" width="17.42578125" style="179" customWidth="1"/>
    <col min="14856" max="14856" width="15.85546875" style="179" customWidth="1"/>
    <col min="14857" max="14857" width="17" style="179" customWidth="1"/>
    <col min="14858" max="14858" width="19.7109375" style="179" customWidth="1"/>
    <col min="14859" max="14859" width="17.28515625" style="179" customWidth="1"/>
    <col min="14860" max="14860" width="18.140625" style="179" customWidth="1"/>
    <col min="14861" max="14861" width="21.7109375" style="179" customWidth="1"/>
    <col min="14862" max="14862" width="0.42578125" style="179" customWidth="1"/>
    <col min="14863" max="14863" width="16.140625" style="179" bestFit="1" customWidth="1"/>
    <col min="14864" max="14864" width="11.5703125" style="179" bestFit="1" customWidth="1"/>
    <col min="14865" max="15103" width="9.140625" style="179"/>
    <col min="15104" max="15104" width="33" style="179" customWidth="1"/>
    <col min="15105" max="15105" width="17.42578125" style="179" customWidth="1"/>
    <col min="15106" max="15106" width="17.140625" style="179" customWidth="1"/>
    <col min="15107" max="15107" width="16" style="179" customWidth="1"/>
    <col min="15108" max="15108" width="16.5703125" style="179" customWidth="1"/>
    <col min="15109" max="15109" width="16.28515625" style="179" customWidth="1"/>
    <col min="15110" max="15110" width="18.28515625" style="179" customWidth="1"/>
    <col min="15111" max="15111" width="17.42578125" style="179" customWidth="1"/>
    <col min="15112" max="15112" width="15.85546875" style="179" customWidth="1"/>
    <col min="15113" max="15113" width="17" style="179" customWidth="1"/>
    <col min="15114" max="15114" width="19.7109375" style="179" customWidth="1"/>
    <col min="15115" max="15115" width="17.28515625" style="179" customWidth="1"/>
    <col min="15116" max="15116" width="18.140625" style="179" customWidth="1"/>
    <col min="15117" max="15117" width="21.7109375" style="179" customWidth="1"/>
    <col min="15118" max="15118" width="0.42578125" style="179" customWidth="1"/>
    <col min="15119" max="15119" width="16.140625" style="179" bestFit="1" customWidth="1"/>
    <col min="15120" max="15120" width="11.5703125" style="179" bestFit="1" customWidth="1"/>
    <col min="15121" max="15359" width="9.140625" style="179"/>
    <col min="15360" max="15360" width="33" style="179" customWidth="1"/>
    <col min="15361" max="15361" width="17.42578125" style="179" customWidth="1"/>
    <col min="15362" max="15362" width="17.140625" style="179" customWidth="1"/>
    <col min="15363" max="15363" width="16" style="179" customWidth="1"/>
    <col min="15364" max="15364" width="16.5703125" style="179" customWidth="1"/>
    <col min="15365" max="15365" width="16.28515625" style="179" customWidth="1"/>
    <col min="15366" max="15366" width="18.28515625" style="179" customWidth="1"/>
    <col min="15367" max="15367" width="17.42578125" style="179" customWidth="1"/>
    <col min="15368" max="15368" width="15.85546875" style="179" customWidth="1"/>
    <col min="15369" max="15369" width="17" style="179" customWidth="1"/>
    <col min="15370" max="15370" width="19.7109375" style="179" customWidth="1"/>
    <col min="15371" max="15371" width="17.28515625" style="179" customWidth="1"/>
    <col min="15372" max="15372" width="18.140625" style="179" customWidth="1"/>
    <col min="15373" max="15373" width="21.7109375" style="179" customWidth="1"/>
    <col min="15374" max="15374" width="0.42578125" style="179" customWidth="1"/>
    <col min="15375" max="15375" width="16.140625" style="179" bestFit="1" customWidth="1"/>
    <col min="15376" max="15376" width="11.5703125" style="179" bestFit="1" customWidth="1"/>
    <col min="15377" max="15615" width="9.140625" style="179"/>
    <col min="15616" max="15616" width="33" style="179" customWidth="1"/>
    <col min="15617" max="15617" width="17.42578125" style="179" customWidth="1"/>
    <col min="15618" max="15618" width="17.140625" style="179" customWidth="1"/>
    <col min="15619" max="15619" width="16" style="179" customWidth="1"/>
    <col min="15620" max="15620" width="16.5703125" style="179" customWidth="1"/>
    <col min="15621" max="15621" width="16.28515625" style="179" customWidth="1"/>
    <col min="15622" max="15622" width="18.28515625" style="179" customWidth="1"/>
    <col min="15623" max="15623" width="17.42578125" style="179" customWidth="1"/>
    <col min="15624" max="15624" width="15.85546875" style="179" customWidth="1"/>
    <col min="15625" max="15625" width="17" style="179" customWidth="1"/>
    <col min="15626" max="15626" width="19.7109375" style="179" customWidth="1"/>
    <col min="15627" max="15627" width="17.28515625" style="179" customWidth="1"/>
    <col min="15628" max="15628" width="18.140625" style="179" customWidth="1"/>
    <col min="15629" max="15629" width="21.7109375" style="179" customWidth="1"/>
    <col min="15630" max="15630" width="0.42578125" style="179" customWidth="1"/>
    <col min="15631" max="15631" width="16.140625" style="179" bestFit="1" customWidth="1"/>
    <col min="15632" max="15632" width="11.5703125" style="179" bestFit="1" customWidth="1"/>
    <col min="15633" max="15871" width="9.140625" style="179"/>
    <col min="15872" max="15872" width="33" style="179" customWidth="1"/>
    <col min="15873" max="15873" width="17.42578125" style="179" customWidth="1"/>
    <col min="15874" max="15874" width="17.140625" style="179" customWidth="1"/>
    <col min="15875" max="15875" width="16" style="179" customWidth="1"/>
    <col min="15876" max="15876" width="16.5703125" style="179" customWidth="1"/>
    <col min="15877" max="15877" width="16.28515625" style="179" customWidth="1"/>
    <col min="15878" max="15878" width="18.28515625" style="179" customWidth="1"/>
    <col min="15879" max="15879" width="17.42578125" style="179" customWidth="1"/>
    <col min="15880" max="15880" width="15.85546875" style="179" customWidth="1"/>
    <col min="15881" max="15881" width="17" style="179" customWidth="1"/>
    <col min="15882" max="15882" width="19.7109375" style="179" customWidth="1"/>
    <col min="15883" max="15883" width="17.28515625" style="179" customWidth="1"/>
    <col min="15884" max="15884" width="18.140625" style="179" customWidth="1"/>
    <col min="15885" max="15885" width="21.7109375" style="179" customWidth="1"/>
    <col min="15886" max="15886" width="0.42578125" style="179" customWidth="1"/>
    <col min="15887" max="15887" width="16.140625" style="179" bestFit="1" customWidth="1"/>
    <col min="15888" max="15888" width="11.5703125" style="179" bestFit="1" customWidth="1"/>
    <col min="15889" max="16127" width="9.140625" style="179"/>
    <col min="16128" max="16128" width="33" style="179" customWidth="1"/>
    <col min="16129" max="16129" width="17.42578125" style="179" customWidth="1"/>
    <col min="16130" max="16130" width="17.140625" style="179" customWidth="1"/>
    <col min="16131" max="16131" width="16" style="179" customWidth="1"/>
    <col min="16132" max="16132" width="16.5703125" style="179" customWidth="1"/>
    <col min="16133" max="16133" width="16.28515625" style="179" customWidth="1"/>
    <col min="16134" max="16134" width="18.28515625" style="179" customWidth="1"/>
    <col min="16135" max="16135" width="17.42578125" style="179" customWidth="1"/>
    <col min="16136" max="16136" width="15.85546875" style="179" customWidth="1"/>
    <col min="16137" max="16137" width="17" style="179" customWidth="1"/>
    <col min="16138" max="16138" width="19.7109375" style="179" customWidth="1"/>
    <col min="16139" max="16139" width="17.28515625" style="179" customWidth="1"/>
    <col min="16140" max="16140" width="18.140625" style="179" customWidth="1"/>
    <col min="16141" max="16141" width="21.7109375" style="179" customWidth="1"/>
    <col min="16142" max="16142" width="0.42578125" style="179" customWidth="1"/>
    <col min="16143" max="16143" width="16.140625" style="179" bestFit="1" customWidth="1"/>
    <col min="16144" max="16144" width="11.5703125" style="179" bestFit="1" customWidth="1"/>
    <col min="16145" max="16384" width="9.140625" style="179"/>
  </cols>
  <sheetData>
    <row r="1" spans="1:15" ht="120" customHeight="1" x14ac:dyDescent="0.25">
      <c r="B1" s="42"/>
    </row>
    <row r="2" spans="1:15" ht="25.5" customHeight="1" x14ac:dyDescent="0.25">
      <c r="A2" s="484"/>
      <c r="B2" s="484"/>
      <c r="C2" s="484"/>
      <c r="D2" s="484"/>
      <c r="E2" s="484"/>
      <c r="F2" s="484"/>
      <c r="G2" s="484"/>
      <c r="H2" s="484"/>
      <c r="I2" s="484"/>
      <c r="J2" s="484"/>
      <c r="K2" s="484"/>
      <c r="L2" s="484"/>
      <c r="M2" s="484"/>
      <c r="N2" s="484"/>
    </row>
    <row r="3" spans="1:15" x14ac:dyDescent="0.25">
      <c r="A3" s="448" t="s">
        <v>264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  <c r="M3" s="449"/>
      <c r="N3" s="450"/>
    </row>
    <row r="4" spans="1:15" x14ac:dyDescent="0.25">
      <c r="A4" s="181"/>
      <c r="B4" s="181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1"/>
    </row>
    <row r="5" spans="1:15" ht="20.100000000000001" customHeight="1" x14ac:dyDescent="0.25">
      <c r="A5" s="182" t="s">
        <v>218</v>
      </c>
      <c r="B5" s="45">
        <v>44197</v>
      </c>
      <c r="C5" s="45">
        <v>44228</v>
      </c>
      <c r="D5" s="45">
        <v>44256</v>
      </c>
      <c r="E5" s="45">
        <v>44287</v>
      </c>
      <c r="F5" s="45">
        <v>44317</v>
      </c>
      <c r="G5" s="45">
        <v>44348</v>
      </c>
      <c r="H5" s="45">
        <v>44378</v>
      </c>
      <c r="I5" s="45">
        <v>44409</v>
      </c>
      <c r="J5" s="45">
        <v>44440</v>
      </c>
      <c r="K5" s="45">
        <v>44470</v>
      </c>
      <c r="L5" s="45">
        <v>44501</v>
      </c>
      <c r="M5" s="45">
        <v>44531</v>
      </c>
      <c r="N5" s="46" t="s">
        <v>2</v>
      </c>
    </row>
    <row r="6" spans="1:15" ht="20.100000000000001" customHeight="1" x14ac:dyDescent="0.25">
      <c r="A6" s="178" t="s">
        <v>200</v>
      </c>
      <c r="B6" s="48">
        <v>2070468.94</v>
      </c>
      <c r="C6" s="48">
        <v>2681588.4300000002</v>
      </c>
      <c r="D6" s="48">
        <v>2455221.8199999998</v>
      </c>
      <c r="E6" s="48">
        <v>2465434.13</v>
      </c>
      <c r="F6" s="48">
        <v>2456366.9</v>
      </c>
      <c r="G6" s="48">
        <v>3630684.72</v>
      </c>
      <c r="H6" s="48">
        <v>2499754</v>
      </c>
      <c r="I6" s="48">
        <v>2465634.6</v>
      </c>
      <c r="J6" s="48">
        <v>2458507.41</v>
      </c>
      <c r="K6" s="48">
        <v>2489836.69</v>
      </c>
      <c r="L6" s="48">
        <v>2611259.63</v>
      </c>
      <c r="M6" s="48">
        <v>3572944</v>
      </c>
      <c r="N6" s="49">
        <f>SUM(B6:M6)</f>
        <v>31857701.270000003</v>
      </c>
    </row>
    <row r="7" spans="1:15" ht="20.100000000000001" customHeight="1" x14ac:dyDescent="0.25">
      <c r="A7" s="178" t="s">
        <v>201</v>
      </c>
      <c r="B7" s="48">
        <v>0</v>
      </c>
      <c r="C7" s="48">
        <v>0</v>
      </c>
      <c r="D7" s="48">
        <v>0</v>
      </c>
      <c r="E7" s="48">
        <v>0</v>
      </c>
      <c r="F7" s="48"/>
      <c r="G7" s="48"/>
      <c r="H7" s="48"/>
      <c r="I7" s="48"/>
      <c r="J7" s="48"/>
      <c r="K7" s="48"/>
      <c r="L7" s="48"/>
      <c r="M7" s="48"/>
      <c r="N7" s="49">
        <f t="shared" ref="N7:N11" si="0">SUM(B7:M7)</f>
        <v>0</v>
      </c>
      <c r="O7" s="50"/>
    </row>
    <row r="8" spans="1:15" ht="20.100000000000001" customHeight="1" x14ac:dyDescent="0.25">
      <c r="A8" s="178" t="s">
        <v>204</v>
      </c>
      <c r="B8" s="48">
        <v>0</v>
      </c>
      <c r="C8" s="48">
        <v>180515.91</v>
      </c>
      <c r="D8" s="48">
        <v>229527.05</v>
      </c>
      <c r="E8" s="48">
        <v>243094.13</v>
      </c>
      <c r="F8" s="48">
        <v>234079.17</v>
      </c>
      <c r="G8" s="48">
        <v>226372.1</v>
      </c>
      <c r="H8" s="48">
        <v>232467.44</v>
      </c>
      <c r="I8" s="48">
        <v>216942.06</v>
      </c>
      <c r="J8" s="48">
        <v>217675.41</v>
      </c>
      <c r="K8" s="48">
        <v>217612.38</v>
      </c>
      <c r="L8" s="48">
        <v>219167.07</v>
      </c>
      <c r="M8" s="39">
        <v>276649.89</v>
      </c>
      <c r="N8" s="49">
        <f t="shared" si="0"/>
        <v>2494102.61</v>
      </c>
      <c r="O8" s="159"/>
    </row>
    <row r="9" spans="1:15" ht="20.100000000000001" customHeight="1" x14ac:dyDescent="0.25">
      <c r="A9" s="178" t="s">
        <v>202</v>
      </c>
      <c r="B9" s="48">
        <v>0</v>
      </c>
      <c r="C9" s="48">
        <v>0</v>
      </c>
      <c r="D9" s="48">
        <v>0</v>
      </c>
      <c r="E9" s="48">
        <v>0</v>
      </c>
      <c r="F9" s="48">
        <v>0</v>
      </c>
      <c r="G9" s="48"/>
      <c r="H9" s="48"/>
      <c r="I9" s="48"/>
      <c r="J9" s="48"/>
      <c r="K9" s="48"/>
      <c r="L9" s="48"/>
      <c r="M9" s="48"/>
      <c r="N9" s="49">
        <f t="shared" si="0"/>
        <v>0</v>
      </c>
      <c r="O9" s="159"/>
    </row>
    <row r="10" spans="1:15" ht="20.100000000000001" customHeight="1" x14ac:dyDescent="0.25">
      <c r="A10" s="178" t="s">
        <v>206</v>
      </c>
      <c r="B10" s="48">
        <v>0</v>
      </c>
      <c r="C10" s="48">
        <f>12285.54+595.12</f>
        <v>12880.660000000002</v>
      </c>
      <c r="D10" s="48">
        <f>12285.54+595.12</f>
        <v>12880.660000000002</v>
      </c>
      <c r="E10" s="48">
        <f>12285.54+595.12</f>
        <v>12880.660000000002</v>
      </c>
      <c r="F10" s="48">
        <v>12880.66</v>
      </c>
      <c r="G10" s="48">
        <v>12880.66</v>
      </c>
      <c r="H10" s="48">
        <v>12880.66</v>
      </c>
      <c r="I10" s="48">
        <v>12880.66</v>
      </c>
      <c r="J10" s="48">
        <v>13514.41</v>
      </c>
      <c r="K10" s="48">
        <v>13514.41</v>
      </c>
      <c r="L10" s="48">
        <v>13514.41</v>
      </c>
      <c r="M10" s="48">
        <v>27028.82</v>
      </c>
      <c r="N10" s="49">
        <f t="shared" si="0"/>
        <v>157736.67000000001</v>
      </c>
      <c r="O10" s="159"/>
    </row>
    <row r="11" spans="1:15" ht="19.5" customHeight="1" x14ac:dyDescent="0.25">
      <c r="A11" s="178" t="s">
        <v>203</v>
      </c>
      <c r="B11" s="48"/>
      <c r="C11" s="48"/>
      <c r="D11" s="48"/>
      <c r="E11" s="48"/>
      <c r="F11" s="48"/>
      <c r="G11" s="48">
        <v>198650</v>
      </c>
      <c r="H11" s="48"/>
      <c r="I11" s="48"/>
      <c r="J11" s="48"/>
      <c r="K11" s="48"/>
      <c r="L11" s="48"/>
      <c r="M11" s="48">
        <f>198650+200000</f>
        <v>398650</v>
      </c>
      <c r="N11" s="49">
        <f t="shared" si="0"/>
        <v>597300</v>
      </c>
      <c r="O11" s="159"/>
    </row>
    <row r="12" spans="1:15" ht="9.75" customHeight="1" x14ac:dyDescent="0.25">
      <c r="A12" s="47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9"/>
      <c r="O12" s="159"/>
    </row>
    <row r="13" spans="1:15" s="204" customFormat="1" ht="19.5" customHeight="1" x14ac:dyDescent="0.25">
      <c r="A13" s="47" t="s">
        <v>205</v>
      </c>
      <c r="B13" s="49">
        <f>SUM(B6:B11)</f>
        <v>2070468.94</v>
      </c>
      <c r="C13" s="49">
        <f>SUM(C6:C11)</f>
        <v>2874985.0000000005</v>
      </c>
      <c r="D13" s="49">
        <f>SUM(D6:D11)</f>
        <v>2697629.53</v>
      </c>
      <c r="E13" s="49">
        <f>SUM(E6:E11)</f>
        <v>2721408.92</v>
      </c>
      <c r="F13" s="49">
        <f t="shared" ref="F13:L13" si="1">SUM(F6:F11)</f>
        <v>2703326.73</v>
      </c>
      <c r="G13" s="49">
        <f t="shared" si="1"/>
        <v>4068587.4800000004</v>
      </c>
      <c r="H13" s="49">
        <f t="shared" si="1"/>
        <v>2745102.1</v>
      </c>
      <c r="I13" s="49">
        <f t="shared" si="1"/>
        <v>2695457.3200000003</v>
      </c>
      <c r="J13" s="49">
        <f t="shared" si="1"/>
        <v>2689697.2300000004</v>
      </c>
      <c r="K13" s="49">
        <f t="shared" si="1"/>
        <v>2720963.48</v>
      </c>
      <c r="L13" s="49">
        <f t="shared" si="1"/>
        <v>2843941.11</v>
      </c>
      <c r="M13" s="49">
        <f>SUM(M6:M11)</f>
        <v>4275272.71</v>
      </c>
      <c r="N13" s="49">
        <f>SUM(N6:N11)</f>
        <v>35106840.550000004</v>
      </c>
      <c r="O13" s="203"/>
    </row>
    <row r="14" spans="1:15" ht="10.5" customHeight="1" x14ac:dyDescent="0.25">
      <c r="A14" s="47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9"/>
      <c r="O14" s="159"/>
    </row>
    <row r="15" spans="1:15" ht="20.100000000000001" customHeight="1" x14ac:dyDescent="0.25">
      <c r="A15" s="58" t="s">
        <v>138</v>
      </c>
      <c r="B15" s="177">
        <v>0</v>
      </c>
      <c r="C15" s="177">
        <v>0</v>
      </c>
      <c r="D15" s="177">
        <v>0</v>
      </c>
      <c r="E15" s="177">
        <v>0</v>
      </c>
      <c r="F15" s="60"/>
      <c r="G15" s="60"/>
      <c r="H15" s="60"/>
      <c r="I15" s="60"/>
      <c r="J15" s="60"/>
      <c r="K15" s="60"/>
      <c r="L15" s="60"/>
      <c r="M15" s="60"/>
      <c r="N15" s="49">
        <f>SUM(B15:M15)</f>
        <v>0</v>
      </c>
    </row>
    <row r="16" spans="1:15" ht="10.5" customHeight="1" x14ac:dyDescent="0.25">
      <c r="A16" s="58"/>
      <c r="B16" s="177"/>
      <c r="C16" s="177"/>
      <c r="D16" s="177"/>
      <c r="E16" s="177"/>
      <c r="F16" s="60"/>
      <c r="G16" s="60"/>
      <c r="H16" s="60"/>
      <c r="I16" s="60"/>
      <c r="J16" s="60"/>
      <c r="K16" s="60"/>
      <c r="L16" s="60"/>
      <c r="M16" s="60"/>
      <c r="N16" s="59"/>
    </row>
    <row r="17" spans="1:16" ht="20.100000000000001" customHeight="1" x14ac:dyDescent="0.25">
      <c r="A17" s="51" t="s">
        <v>217</v>
      </c>
      <c r="B17" s="51">
        <f>B13-B15</f>
        <v>2070468.94</v>
      </c>
      <c r="C17" s="51">
        <f>C13-C15</f>
        <v>2874985.0000000005</v>
      </c>
      <c r="D17" s="51">
        <f>D13-D15</f>
        <v>2697629.53</v>
      </c>
      <c r="E17" s="51">
        <f>E13-E15</f>
        <v>2721408.92</v>
      </c>
      <c r="F17" s="51">
        <f t="shared" ref="F17:M17" si="2">F13-F15</f>
        <v>2703326.73</v>
      </c>
      <c r="G17" s="51">
        <f t="shared" si="2"/>
        <v>4068587.4800000004</v>
      </c>
      <c r="H17" s="51">
        <f t="shared" si="2"/>
        <v>2745102.1</v>
      </c>
      <c r="I17" s="51">
        <f t="shared" si="2"/>
        <v>2695457.3200000003</v>
      </c>
      <c r="J17" s="51">
        <f t="shared" si="2"/>
        <v>2689697.2300000004</v>
      </c>
      <c r="K17" s="51">
        <f t="shared" si="2"/>
        <v>2720963.48</v>
      </c>
      <c r="L17" s="51">
        <f t="shared" si="2"/>
        <v>2843941.11</v>
      </c>
      <c r="M17" s="51">
        <f t="shared" si="2"/>
        <v>4275272.71</v>
      </c>
      <c r="N17" s="51">
        <f>N13-N15</f>
        <v>35106840.550000004</v>
      </c>
      <c r="P17" s="183"/>
    </row>
    <row r="18" spans="1:16" ht="9" customHeight="1" x14ac:dyDescent="0.25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P18" s="183"/>
    </row>
    <row r="19" spans="1:16" ht="20.100000000000001" customHeight="1" x14ac:dyDescent="0.25">
      <c r="A19" s="52" t="s">
        <v>215</v>
      </c>
      <c r="B19" s="52">
        <f>Receitas!B25</f>
        <v>3819219.5500000003</v>
      </c>
      <c r="C19" s="52">
        <f>Receitas!C25</f>
        <v>4656022.76</v>
      </c>
      <c r="D19" s="52">
        <f>Receitas!D25</f>
        <v>3859246.91</v>
      </c>
      <c r="E19" s="52">
        <f>Receitas!E25</f>
        <v>3607438.63</v>
      </c>
      <c r="F19" s="52">
        <f>Receitas!F25</f>
        <v>4094177.7899999991</v>
      </c>
      <c r="G19" s="52">
        <f>Receitas!G25</f>
        <v>4405932.97</v>
      </c>
      <c r="H19" s="52">
        <f>Receitas!H25</f>
        <v>4711818.209999999</v>
      </c>
      <c r="I19" s="52">
        <f>Receitas!I25</f>
        <v>4928506.55</v>
      </c>
      <c r="J19" s="52">
        <f>Receitas!J25</f>
        <v>3887933.5800000005</v>
      </c>
      <c r="K19" s="52">
        <f>Receitas!K25</f>
        <v>4146905.3300000005</v>
      </c>
      <c r="L19" s="52">
        <f>Receitas!L25</f>
        <v>5474357.2699999996</v>
      </c>
      <c r="M19" s="52">
        <f>Receitas!M25</f>
        <v>7942238.71</v>
      </c>
      <c r="N19" s="205">
        <f>SUM(B19:M19)</f>
        <v>55533798.259999998</v>
      </c>
      <c r="O19" s="184"/>
    </row>
    <row r="20" spans="1:16" ht="9.75" customHeight="1" x14ac:dyDescent="0.25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3"/>
      <c r="O20" s="184"/>
    </row>
    <row r="21" spans="1:16" ht="20.100000000000001" customHeight="1" x14ac:dyDescent="0.25">
      <c r="A21" s="51" t="s">
        <v>123</v>
      </c>
      <c r="B21" s="56">
        <f>B17/B19</f>
        <v>0.54211833409786558</v>
      </c>
      <c r="C21" s="56">
        <f>C17/C19</f>
        <v>0.61747657779920317</v>
      </c>
      <c r="D21" s="56">
        <f>D17/D19</f>
        <v>0.69900413031619157</v>
      </c>
      <c r="E21" s="56">
        <f>E17/E19</f>
        <v>0.75438814048515079</v>
      </c>
      <c r="F21" s="56">
        <f t="shared" ref="F21:M21" si="3">F17/F19</f>
        <v>0.66028562233004551</v>
      </c>
      <c r="G21" s="56">
        <f t="shared" si="3"/>
        <v>0.92343381247581724</v>
      </c>
      <c r="H21" s="56">
        <f t="shared" si="3"/>
        <v>0.58259932316022023</v>
      </c>
      <c r="I21" s="56">
        <f t="shared" si="3"/>
        <v>0.54691158318537703</v>
      </c>
      <c r="J21" s="56">
        <f t="shared" si="3"/>
        <v>0.69180637340003115</v>
      </c>
      <c r="K21" s="56">
        <f t="shared" si="3"/>
        <v>0.65614313891269849</v>
      </c>
      <c r="L21" s="56">
        <f t="shared" si="3"/>
        <v>0.51950228487736239</v>
      </c>
      <c r="M21" s="56">
        <f t="shared" si="3"/>
        <v>0.53829567028966818</v>
      </c>
      <c r="N21" s="56">
        <f>N17/N19</f>
        <v>0.63217070774874107</v>
      </c>
    </row>
    <row r="22" spans="1:16" x14ac:dyDescent="0.25">
      <c r="D22" s="160"/>
      <c r="M22" s="184"/>
    </row>
    <row r="23" spans="1:16" ht="21" customHeight="1" x14ac:dyDescent="0.3">
      <c r="B23" s="184"/>
      <c r="C23" s="184"/>
      <c r="D23" s="184"/>
      <c r="E23" s="184"/>
      <c r="K23" s="451" t="s">
        <v>258</v>
      </c>
      <c r="L23" s="451"/>
      <c r="M23" s="451"/>
      <c r="N23" s="208">
        <f>N21</f>
        <v>0.63217070774874107</v>
      </c>
    </row>
    <row r="24" spans="1:16" x14ac:dyDescent="0.25">
      <c r="B24" s="393"/>
      <c r="C24" s="393"/>
      <c r="D24" s="393"/>
      <c r="E24" s="393"/>
      <c r="F24" s="393"/>
      <c r="G24" s="393"/>
      <c r="H24" s="393"/>
      <c r="I24" s="390"/>
      <c r="J24" s="54"/>
      <c r="K24" s="185"/>
      <c r="L24" s="54"/>
      <c r="M24" s="54"/>
      <c r="N24" s="54"/>
    </row>
    <row r="25" spans="1:16" x14ac:dyDescent="0.25">
      <c r="B25" s="390"/>
      <c r="C25" s="389"/>
      <c r="D25" s="390"/>
      <c r="E25" s="390"/>
      <c r="F25" s="390"/>
      <c r="G25" s="390"/>
      <c r="H25" s="390"/>
      <c r="I25" s="390"/>
      <c r="J25" s="54"/>
      <c r="K25" s="392"/>
      <c r="L25" s="392"/>
      <c r="M25" s="392"/>
      <c r="N25" s="392"/>
    </row>
    <row r="26" spans="1:16" ht="16.5" customHeight="1" x14ac:dyDescent="0.25">
      <c r="B26" s="394"/>
      <c r="C26" s="394"/>
      <c r="D26" s="394"/>
      <c r="E26" s="394"/>
      <c r="F26" s="394"/>
      <c r="G26" s="394"/>
      <c r="H26" s="394"/>
      <c r="I26" s="395"/>
      <c r="K26" s="392"/>
      <c r="L26" s="392"/>
      <c r="M26" s="392"/>
      <c r="N26" s="392"/>
    </row>
    <row r="27" spans="1:16" ht="16.5" customHeight="1" x14ac:dyDescent="0.25">
      <c r="B27" s="396"/>
      <c r="C27" s="394"/>
      <c r="D27" s="394"/>
      <c r="E27" s="394"/>
      <c r="F27" s="394"/>
      <c r="G27" s="394"/>
      <c r="H27" s="394"/>
      <c r="I27" s="391"/>
      <c r="K27" s="392"/>
      <c r="L27" s="392"/>
      <c r="M27" s="392"/>
      <c r="N27" s="392"/>
    </row>
    <row r="28" spans="1:16" x14ac:dyDescent="0.25">
      <c r="A28" s="42"/>
      <c r="B28" s="397"/>
      <c r="C28" s="397"/>
      <c r="D28" s="397"/>
      <c r="E28" s="397"/>
      <c r="F28" s="397"/>
      <c r="G28" s="399"/>
      <c r="H28" s="399"/>
      <c r="I28" s="398"/>
      <c r="K28" s="392"/>
      <c r="L28" s="392"/>
      <c r="M28" s="392"/>
      <c r="N28" s="392"/>
    </row>
    <row r="29" spans="1:16" x14ac:dyDescent="0.25">
      <c r="A29" s="180"/>
      <c r="B29" s="54"/>
      <c r="C29" s="54"/>
      <c r="D29" s="54"/>
      <c r="E29" s="54"/>
      <c r="F29" s="54"/>
      <c r="G29" s="54" t="s">
        <v>103</v>
      </c>
      <c r="H29" s="54"/>
      <c r="K29" s="392"/>
      <c r="L29" s="392"/>
      <c r="M29" s="392"/>
      <c r="N29" s="392"/>
    </row>
    <row r="30" spans="1:16" ht="20.25" customHeight="1" x14ac:dyDescent="0.25">
      <c r="A30" s="180"/>
      <c r="B30" s="54"/>
      <c r="C30" s="54"/>
      <c r="D30" s="54"/>
      <c r="E30" s="54"/>
      <c r="F30" s="54"/>
      <c r="G30" s="180"/>
      <c r="H30" s="180"/>
      <c r="K30" s="392"/>
      <c r="L30" s="392"/>
      <c r="M30" s="392"/>
      <c r="N30" s="392"/>
    </row>
    <row r="31" spans="1:16" x14ac:dyDescent="0.25">
      <c r="A31" s="180"/>
      <c r="B31" s="54"/>
      <c r="C31" s="54"/>
      <c r="D31" s="54"/>
      <c r="E31" s="54"/>
      <c r="F31" s="54"/>
      <c r="G31" s="42"/>
      <c r="H31" s="180"/>
    </row>
    <row r="32" spans="1:16" x14ac:dyDescent="0.25">
      <c r="A32" s="180"/>
      <c r="B32" s="54"/>
      <c r="C32" s="54"/>
      <c r="D32" s="54"/>
      <c r="E32" s="54"/>
      <c r="F32" s="54"/>
      <c r="G32" s="42"/>
      <c r="H32" s="180"/>
    </row>
    <row r="33" spans="1:14" x14ac:dyDescent="0.25">
      <c r="A33" s="180"/>
      <c r="B33" s="187"/>
      <c r="C33" s="187"/>
      <c r="D33" s="187"/>
      <c r="E33" s="187"/>
      <c r="F33" s="187"/>
      <c r="G33" s="180"/>
      <c r="H33" s="180"/>
    </row>
    <row r="34" spans="1:14" x14ac:dyDescent="0.25">
      <c r="A34" s="180"/>
      <c r="B34" s="42"/>
      <c r="C34" s="188"/>
      <c r="D34" s="188"/>
      <c r="E34" s="188"/>
      <c r="F34" s="188"/>
      <c r="G34" s="181"/>
      <c r="H34" s="181"/>
    </row>
    <row r="35" spans="1:14" x14ac:dyDescent="0.25"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189"/>
    </row>
    <row r="36" spans="1:14" x14ac:dyDescent="0.25">
      <c r="B36" s="55"/>
      <c r="C36" s="55"/>
      <c r="D36" s="55"/>
      <c r="E36" s="55"/>
      <c r="F36" s="55"/>
      <c r="G36" s="55"/>
      <c r="H36" s="54"/>
      <c r="I36" s="55"/>
      <c r="J36" s="55"/>
      <c r="K36" s="55"/>
      <c r="L36" s="55"/>
      <c r="M36" s="55"/>
      <c r="N36" s="189"/>
    </row>
    <row r="37" spans="1:14" x14ac:dyDescent="0.25">
      <c r="A37" s="42" t="s">
        <v>124</v>
      </c>
      <c r="B37" s="55"/>
      <c r="C37" s="55"/>
      <c r="D37" s="55"/>
      <c r="E37" s="190"/>
      <c r="F37" s="55"/>
      <c r="G37" s="55"/>
      <c r="H37" s="55"/>
      <c r="I37" s="55"/>
      <c r="J37" s="55"/>
      <c r="K37" s="55"/>
      <c r="L37" s="55"/>
      <c r="M37" s="55"/>
      <c r="N37" s="189"/>
    </row>
    <row r="38" spans="1:14" x14ac:dyDescent="0.25">
      <c r="B38" s="55"/>
      <c r="C38" s="55"/>
      <c r="D38" s="55"/>
      <c r="E38" s="55"/>
      <c r="F38" s="55"/>
      <c r="G38" s="55"/>
      <c r="H38" s="54"/>
      <c r="I38" s="55"/>
      <c r="J38" s="55"/>
      <c r="K38" s="55"/>
      <c r="L38" s="55"/>
      <c r="M38" s="55"/>
      <c r="N38" s="189"/>
    </row>
    <row r="39" spans="1:14" x14ac:dyDescent="0.25">
      <c r="A39" s="180"/>
      <c r="B39" s="55"/>
      <c r="C39" s="189"/>
      <c r="D39" s="189"/>
      <c r="E39" s="191"/>
      <c r="F39" s="189"/>
      <c r="G39" s="189"/>
      <c r="H39" s="189"/>
      <c r="I39" s="189"/>
      <c r="J39" s="189"/>
      <c r="K39" s="189"/>
      <c r="L39" s="189"/>
      <c r="M39" s="189"/>
      <c r="N39" s="189"/>
    </row>
    <row r="40" spans="1:14" x14ac:dyDescent="0.25">
      <c r="A40" s="180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189"/>
    </row>
    <row r="41" spans="1:14" ht="47.25" x14ac:dyDescent="0.25">
      <c r="A41" s="57" t="s">
        <v>124</v>
      </c>
      <c r="B41" s="63">
        <v>43831</v>
      </c>
      <c r="C41" s="63">
        <v>43862</v>
      </c>
      <c r="D41" s="63">
        <v>43525</v>
      </c>
      <c r="E41" s="63">
        <v>43556</v>
      </c>
      <c r="F41" s="63">
        <v>43586</v>
      </c>
      <c r="G41" s="63">
        <v>43617</v>
      </c>
      <c r="H41" s="63">
        <v>43647</v>
      </c>
      <c r="I41" s="63">
        <v>43678</v>
      </c>
      <c r="J41" s="63">
        <v>43709</v>
      </c>
      <c r="K41" s="64">
        <v>43739</v>
      </c>
      <c r="L41" s="63">
        <v>43770</v>
      </c>
      <c r="M41" s="63">
        <v>43800</v>
      </c>
      <c r="N41" s="65" t="s">
        <v>2</v>
      </c>
    </row>
    <row r="42" spans="1:14" ht="21.75" customHeight="1" x14ac:dyDescent="0.25">
      <c r="A42" s="98" t="s">
        <v>135</v>
      </c>
      <c r="B42" s="40">
        <v>13416.82</v>
      </c>
      <c r="C42" s="40">
        <f>13077.75+829.79</f>
        <v>13907.54</v>
      </c>
      <c r="D42" s="40">
        <v>13077.75</v>
      </c>
      <c r="E42" s="40">
        <v>15569.66</v>
      </c>
      <c r="F42" s="40">
        <v>17569.66</v>
      </c>
      <c r="G42" s="40">
        <v>22279.01</v>
      </c>
      <c r="H42" s="40">
        <v>21938.58</v>
      </c>
      <c r="I42" s="40">
        <v>30544.84</v>
      </c>
      <c r="J42" s="40">
        <v>33372.120000000003</v>
      </c>
      <c r="K42" s="40">
        <v>31756</v>
      </c>
      <c r="L42" s="40">
        <v>33884.42</v>
      </c>
      <c r="M42" s="40">
        <v>47995.07</v>
      </c>
      <c r="N42" s="192"/>
    </row>
    <row r="43" spans="1:14" ht="19.5" customHeight="1" x14ac:dyDescent="0.25">
      <c r="A43" s="193" t="s">
        <v>136</v>
      </c>
      <c r="B43" s="62">
        <f>3747.9+829.79</f>
        <v>4577.6900000000005</v>
      </c>
      <c r="C43" s="62">
        <f>3747.9+829.79</f>
        <v>4577.6900000000005</v>
      </c>
      <c r="D43" s="62">
        <v>4344.1000000000004</v>
      </c>
      <c r="E43" s="62">
        <v>3926.78</v>
      </c>
      <c r="F43" s="62">
        <v>3944.24</v>
      </c>
      <c r="G43" s="62">
        <v>5916.37</v>
      </c>
      <c r="H43" s="62">
        <v>4144.24</v>
      </c>
      <c r="I43" s="62">
        <v>4114.24</v>
      </c>
      <c r="J43" s="62">
        <v>4144.24</v>
      </c>
      <c r="K43" s="40">
        <v>4144.24</v>
      </c>
      <c r="L43" s="40">
        <v>4144.24</v>
      </c>
      <c r="M43" s="40">
        <v>6942.36</v>
      </c>
      <c r="N43" s="192"/>
    </row>
    <row r="44" spans="1:14" x14ac:dyDescent="0.25">
      <c r="A44" s="194" t="s">
        <v>132</v>
      </c>
      <c r="B44" s="40">
        <f>59414.36+4765.73</f>
        <v>64180.09</v>
      </c>
      <c r="C44" s="40">
        <f>23658.66+5238.05</f>
        <v>28896.71</v>
      </c>
      <c r="D44" s="40">
        <v>95737.37</v>
      </c>
      <c r="E44" s="40">
        <v>105173.41</v>
      </c>
      <c r="F44" s="40">
        <f>76995+19033.13</f>
        <v>96028.13</v>
      </c>
      <c r="G44" s="40">
        <v>131842.4</v>
      </c>
      <c r="H44" s="40">
        <v>102419.16</v>
      </c>
      <c r="I44" s="40">
        <v>103452.65</v>
      </c>
      <c r="J44" s="40">
        <v>103252.65</v>
      </c>
      <c r="K44" s="40">
        <v>123805.99</v>
      </c>
      <c r="L44" s="40">
        <v>120929.04</v>
      </c>
      <c r="M44" s="40">
        <v>182167.32</v>
      </c>
      <c r="N44" s="139"/>
    </row>
    <row r="45" spans="1:14" x14ac:dyDescent="0.25">
      <c r="A45" s="194" t="s">
        <v>133</v>
      </c>
      <c r="B45" s="40"/>
      <c r="C45" s="40"/>
      <c r="D45" s="40"/>
      <c r="E45" s="40"/>
      <c r="F45" s="139"/>
      <c r="G45" s="139"/>
      <c r="H45" s="139"/>
      <c r="I45" s="139"/>
      <c r="J45" s="139"/>
      <c r="K45" s="40"/>
      <c r="L45" s="139"/>
      <c r="M45" s="139"/>
      <c r="N45" s="139"/>
    </row>
    <row r="46" spans="1:14" x14ac:dyDescent="0.25">
      <c r="A46" s="194" t="s">
        <v>134</v>
      </c>
      <c r="B46" s="40">
        <f>9089.08+2012.32</f>
        <v>11101.4</v>
      </c>
      <c r="C46" s="40">
        <f>9089.08+2012.32</f>
        <v>11101.4</v>
      </c>
      <c r="D46" s="40">
        <v>34600</v>
      </c>
      <c r="E46" s="40">
        <v>34600</v>
      </c>
      <c r="F46" s="40">
        <f>30600+9820.28</f>
        <v>40420.28</v>
      </c>
      <c r="G46" s="40">
        <v>58902.06</v>
      </c>
      <c r="H46" s="40">
        <v>44230.73</v>
      </c>
      <c r="I46" s="40">
        <v>50308.49</v>
      </c>
      <c r="J46" s="40">
        <v>48994</v>
      </c>
      <c r="K46" s="40">
        <v>50578.49</v>
      </c>
      <c r="L46" s="40">
        <v>176246.28</v>
      </c>
      <c r="M46" s="139">
        <v>258219.84</v>
      </c>
      <c r="N46" s="139"/>
    </row>
    <row r="47" spans="1:14" x14ac:dyDescent="0.25">
      <c r="A47" s="194" t="s">
        <v>137</v>
      </c>
      <c r="B47" s="40">
        <f>3577.54+792.07</f>
        <v>4369.6099999999997</v>
      </c>
      <c r="C47" s="40">
        <f>3577.54+792.07</f>
        <v>4369.6099999999997</v>
      </c>
      <c r="D47" s="40">
        <v>4173.74</v>
      </c>
      <c r="E47" s="40">
        <v>3756.42</v>
      </c>
      <c r="F47" s="40">
        <v>3756.42</v>
      </c>
      <c r="G47" s="40">
        <v>5634.64</v>
      </c>
      <c r="H47" s="40">
        <v>3956.42</v>
      </c>
      <c r="I47" s="40">
        <v>3956.42</v>
      </c>
      <c r="J47" s="40">
        <v>3956.42</v>
      </c>
      <c r="K47" s="40">
        <v>3856.42</v>
      </c>
      <c r="L47" s="40">
        <v>3956.42</v>
      </c>
      <c r="M47" s="139">
        <v>6034.62</v>
      </c>
      <c r="N47" s="139"/>
    </row>
    <row r="48" spans="1:14" x14ac:dyDescent="0.25">
      <c r="A48" s="206" t="s">
        <v>2</v>
      </c>
      <c r="B48" s="66">
        <f>SUM(B42:B47)</f>
        <v>97645.61</v>
      </c>
      <c r="C48" s="66">
        <f>SUM(C42:C47)</f>
        <v>62852.950000000004</v>
      </c>
      <c r="D48" s="66">
        <f t="shared" ref="D48:N48" si="4">SUM(D42:D47)</f>
        <v>151932.96</v>
      </c>
      <c r="E48" s="66">
        <f t="shared" si="4"/>
        <v>163026.27000000002</v>
      </c>
      <c r="F48" s="66">
        <f t="shared" si="4"/>
        <v>161718.73000000001</v>
      </c>
      <c r="G48" s="66">
        <f t="shared" si="4"/>
        <v>224574.48</v>
      </c>
      <c r="H48" s="66">
        <f t="shared" si="4"/>
        <v>176689.13000000003</v>
      </c>
      <c r="I48" s="66">
        <f t="shared" si="4"/>
        <v>192376.63999999998</v>
      </c>
      <c r="J48" s="66">
        <f t="shared" si="4"/>
        <v>193719.43000000002</v>
      </c>
      <c r="K48" s="66">
        <f t="shared" si="4"/>
        <v>214141.14</v>
      </c>
      <c r="L48" s="66">
        <f t="shared" si="4"/>
        <v>339160.39999999997</v>
      </c>
      <c r="M48" s="66">
        <f t="shared" si="4"/>
        <v>501359.20999999996</v>
      </c>
      <c r="N48" s="66">
        <f t="shared" si="4"/>
        <v>0</v>
      </c>
    </row>
    <row r="49" spans="1:14" x14ac:dyDescent="0.25"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43"/>
    </row>
    <row r="50" spans="1:14" x14ac:dyDescent="0.25">
      <c r="B50" s="44"/>
      <c r="C50" s="195"/>
      <c r="D50" s="195"/>
      <c r="E50" s="195"/>
      <c r="F50" s="195"/>
      <c r="G50" s="195"/>
      <c r="H50" s="195"/>
      <c r="I50" s="195"/>
      <c r="J50" s="195"/>
      <c r="K50" s="195"/>
      <c r="L50" s="195"/>
      <c r="M50" s="195"/>
      <c r="N50" s="195"/>
    </row>
    <row r="51" spans="1:14" x14ac:dyDescent="0.25">
      <c r="B51" s="180"/>
      <c r="C51" s="180"/>
      <c r="D51" s="180"/>
      <c r="E51" s="180"/>
      <c r="F51" s="180"/>
      <c r="G51" s="180"/>
      <c r="H51" s="180"/>
      <c r="I51" s="180"/>
      <c r="J51" s="180"/>
      <c r="K51" s="180"/>
      <c r="L51" s="196">
        <v>20934.79</v>
      </c>
      <c r="M51" s="180"/>
      <c r="N51" s="180"/>
    </row>
    <row r="52" spans="1:14" x14ac:dyDescent="0.25">
      <c r="A52" s="179" t="s">
        <v>126</v>
      </c>
      <c r="B52" s="42"/>
      <c r="C52" s="180"/>
      <c r="D52" s="180"/>
      <c r="E52" s="180"/>
      <c r="F52" s="180" t="s">
        <v>167</v>
      </c>
      <c r="G52" s="181" t="s">
        <v>162</v>
      </c>
      <c r="H52" s="181" t="s">
        <v>163</v>
      </c>
      <c r="I52" s="181" t="s">
        <v>164</v>
      </c>
      <c r="J52" s="181" t="s">
        <v>165</v>
      </c>
      <c r="K52" s="180" t="s">
        <v>166</v>
      </c>
      <c r="L52" s="197">
        <v>12949.63</v>
      </c>
      <c r="M52" s="180"/>
      <c r="N52" s="180"/>
    </row>
    <row r="53" spans="1:14" x14ac:dyDescent="0.25">
      <c r="A53" s="179" t="s">
        <v>127</v>
      </c>
      <c r="B53" s="180"/>
      <c r="C53" s="180"/>
      <c r="D53" s="180"/>
      <c r="E53" s="180"/>
      <c r="F53" s="180">
        <v>29806.25</v>
      </c>
      <c r="G53" s="197">
        <v>2172.11</v>
      </c>
      <c r="H53" s="197">
        <v>2078.1999999999998</v>
      </c>
      <c r="I53" s="197">
        <v>12459.57</v>
      </c>
      <c r="J53" s="197">
        <v>5184.45</v>
      </c>
      <c r="K53" s="180">
        <v>63659.61</v>
      </c>
      <c r="L53" s="198">
        <f>SUM(L51:L52)</f>
        <v>33884.42</v>
      </c>
      <c r="M53" s="180"/>
      <c r="N53" s="180"/>
    </row>
    <row r="54" spans="1:14" x14ac:dyDescent="0.25">
      <c r="A54" s="179" t="s">
        <v>128</v>
      </c>
      <c r="B54" s="199"/>
      <c r="C54" s="199"/>
      <c r="D54" s="199"/>
      <c r="E54" s="199"/>
      <c r="F54" s="180">
        <v>18188.82</v>
      </c>
      <c r="G54" s="180">
        <v>4770.25</v>
      </c>
      <c r="H54" s="197">
        <v>3956.42</v>
      </c>
      <c r="I54" s="197">
        <v>24621.48</v>
      </c>
      <c r="J54" s="197">
        <v>21950.04</v>
      </c>
      <c r="K54" s="180">
        <v>116737.12</v>
      </c>
      <c r="L54" s="180"/>
      <c r="M54" s="42"/>
      <c r="N54" s="42"/>
    </row>
    <row r="55" spans="1:14" x14ac:dyDescent="0.25">
      <c r="A55" s="179" t="s">
        <v>129</v>
      </c>
      <c r="B55" s="179">
        <v>21427.02</v>
      </c>
      <c r="F55" s="200"/>
      <c r="G55" s="200"/>
      <c r="H55" s="200"/>
      <c r="I55" s="201">
        <v>47656.6</v>
      </c>
      <c r="J55" s="201">
        <v>11188.62</v>
      </c>
      <c r="K55" s="201"/>
      <c r="L55" s="200"/>
    </row>
    <row r="56" spans="1:14" x14ac:dyDescent="0.25">
      <c r="A56" s="179" t="s">
        <v>130</v>
      </c>
      <c r="F56" s="200"/>
      <c r="G56" s="200"/>
      <c r="H56" s="200"/>
      <c r="I56" s="200">
        <v>97426.67</v>
      </c>
      <c r="J56" s="200">
        <v>39500</v>
      </c>
      <c r="K56" s="200"/>
      <c r="L56" s="200"/>
    </row>
    <row r="57" spans="1:14" x14ac:dyDescent="0.25">
      <c r="A57" s="179" t="s">
        <v>131</v>
      </c>
    </row>
    <row r="58" spans="1:14" x14ac:dyDescent="0.25">
      <c r="A58" s="179" t="s">
        <v>140</v>
      </c>
      <c r="B58" s="179">
        <v>37987.339999999997</v>
      </c>
      <c r="F58" s="202">
        <f t="shared" ref="F58:K58" si="5">SUM(F53:F57)</f>
        <v>47995.07</v>
      </c>
      <c r="G58" s="202">
        <f t="shared" si="5"/>
        <v>6942.3600000000006</v>
      </c>
      <c r="H58" s="202">
        <f t="shared" si="5"/>
        <v>6034.62</v>
      </c>
      <c r="I58" s="202">
        <f t="shared" si="5"/>
        <v>182164.32</v>
      </c>
      <c r="J58" s="202">
        <f t="shared" si="5"/>
        <v>77823.11</v>
      </c>
      <c r="K58" s="202">
        <f t="shared" si="5"/>
        <v>180396.72999999998</v>
      </c>
    </row>
    <row r="59" spans="1:14" x14ac:dyDescent="0.25">
      <c r="B59" s="179">
        <v>21427.02</v>
      </c>
    </row>
    <row r="60" spans="1:14" x14ac:dyDescent="0.25">
      <c r="B60" s="179">
        <f>SUM(B58:B59)</f>
        <v>59414.36</v>
      </c>
    </row>
    <row r="62" spans="1:14" x14ac:dyDescent="0.25">
      <c r="G62" s="179">
        <v>29806.25</v>
      </c>
    </row>
    <row r="63" spans="1:14" x14ac:dyDescent="0.25">
      <c r="G63" s="179">
        <v>18</v>
      </c>
    </row>
    <row r="71" spans="3:6" x14ac:dyDescent="0.25">
      <c r="F71" s="179">
        <v>8450.1200000000008</v>
      </c>
    </row>
    <row r="72" spans="3:6" x14ac:dyDescent="0.25">
      <c r="F72" s="179">
        <v>142723.28</v>
      </c>
    </row>
    <row r="73" spans="3:6" x14ac:dyDescent="0.25">
      <c r="F73" s="179">
        <f>SUM(F71:F72)</f>
        <v>151173.4</v>
      </c>
    </row>
    <row r="80" spans="3:6" x14ac:dyDescent="0.25">
      <c r="C80" s="184"/>
      <c r="D80" s="183"/>
    </row>
    <row r="81" spans="4:4" x14ac:dyDescent="0.25">
      <c r="D81" s="183"/>
    </row>
    <row r="82" spans="4:4" x14ac:dyDescent="0.25">
      <c r="D82" s="183"/>
    </row>
  </sheetData>
  <mergeCells count="3">
    <mergeCell ref="A2:N2"/>
    <mergeCell ref="A3:N3"/>
    <mergeCell ref="K23:M23"/>
  </mergeCells>
  <pageMargins left="0.511811024" right="0.511811024" top="0.78740157499999996" bottom="0.78740157499999996" header="0.31496062000000002" footer="0.31496062000000002"/>
  <pageSetup paperSize="9" scale="47" fitToHeight="0" orientation="landscape" r:id="rId1"/>
  <colBreaks count="1" manualBreakCount="1">
    <brk id="6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G82"/>
  <sheetViews>
    <sheetView zoomScaleNormal="100" workbookViewId="0">
      <selection activeCell="B1" sqref="B1"/>
    </sheetView>
  </sheetViews>
  <sheetFormatPr defaultRowHeight="12.75" x14ac:dyDescent="0.2"/>
  <cols>
    <col min="1" max="1" width="95.28515625" style="164" customWidth="1"/>
    <col min="2" max="2" width="23.140625" style="164" customWidth="1"/>
    <col min="3" max="5" width="9.140625" style="164"/>
    <col min="6" max="6" width="15.42578125" style="164" bestFit="1" customWidth="1"/>
    <col min="7" max="16384" width="9.140625" style="164"/>
  </cols>
  <sheetData>
    <row r="1" spans="1:7" ht="54" customHeight="1" thickBot="1" x14ac:dyDescent="0.25">
      <c r="A1" s="304" t="s">
        <v>251</v>
      </c>
      <c r="B1" s="305"/>
    </row>
    <row r="2" spans="1:7" ht="15" customHeight="1" x14ac:dyDescent="0.2">
      <c r="A2" s="291"/>
      <c r="B2" s="292"/>
    </row>
    <row r="3" spans="1:7" ht="12.75" customHeight="1" x14ac:dyDescent="0.2">
      <c r="A3" s="486" t="s">
        <v>256</v>
      </c>
      <c r="B3" s="299" t="s">
        <v>115</v>
      </c>
    </row>
    <row r="4" spans="1:7" ht="15" customHeight="1" x14ac:dyDescent="0.2">
      <c r="A4" s="487"/>
      <c r="B4" s="300">
        <v>2021</v>
      </c>
    </row>
    <row r="5" spans="1:7" x14ac:dyDescent="0.2">
      <c r="A5" s="293" t="s">
        <v>259</v>
      </c>
      <c r="B5" s="294">
        <f>Receitas!S44</f>
        <v>37349025.299999997</v>
      </c>
    </row>
    <row r="6" spans="1:7" x14ac:dyDescent="0.2">
      <c r="A6" s="325" t="s">
        <v>260</v>
      </c>
      <c r="B6" s="326">
        <f>Receitas!S49</f>
        <v>15851504.16</v>
      </c>
    </row>
    <row r="7" spans="1:7" ht="13.5" customHeight="1" x14ac:dyDescent="0.2">
      <c r="A7" s="168" t="s">
        <v>261</v>
      </c>
      <c r="B7" s="217">
        <f>Receitas!S45</f>
        <v>9337256.3249999993</v>
      </c>
    </row>
    <row r="8" spans="1:7" x14ac:dyDescent="0.2">
      <c r="A8" s="168" t="s">
        <v>262</v>
      </c>
      <c r="B8" s="217">
        <f>Receitas!S46</f>
        <v>6616928.6799999988</v>
      </c>
      <c r="F8" s="313"/>
      <c r="G8" s="313"/>
    </row>
    <row r="9" spans="1:7" x14ac:dyDescent="0.2">
      <c r="A9" s="168" t="s">
        <v>263</v>
      </c>
      <c r="B9" s="217">
        <f>Receitas!S47</f>
        <v>2720327.6450000005</v>
      </c>
      <c r="F9" s="313"/>
      <c r="G9" s="313"/>
    </row>
    <row r="10" spans="1:7" ht="7.5" customHeight="1" x14ac:dyDescent="0.2">
      <c r="F10" s="313"/>
      <c r="G10" s="313"/>
    </row>
    <row r="11" spans="1:7" x14ac:dyDescent="0.2">
      <c r="A11" s="489" t="s">
        <v>292</v>
      </c>
      <c r="B11" s="490"/>
      <c r="F11" s="314"/>
      <c r="G11" s="313"/>
    </row>
    <row r="12" spans="1:7" x14ac:dyDescent="0.2">
      <c r="A12" s="168" t="str">
        <f>Educação!R18</f>
        <v>FUNDEB - FONTE 18</v>
      </c>
      <c r="B12" s="165">
        <f>Despesas!S2</f>
        <v>11737628.630000001</v>
      </c>
      <c r="F12" s="313"/>
      <c r="G12" s="313"/>
    </row>
    <row r="13" spans="1:7" x14ac:dyDescent="0.2">
      <c r="A13" s="168" t="str">
        <f>Educação!R19</f>
        <v>FUNDEB - FONTE 19</v>
      </c>
      <c r="B13" s="165">
        <f>Despesas!S3</f>
        <v>4132855.2600000007</v>
      </c>
      <c r="F13" s="315"/>
      <c r="G13" s="313"/>
    </row>
    <row r="14" spans="1:7" x14ac:dyDescent="0.2">
      <c r="A14" s="168" t="str">
        <f>Educação!R20</f>
        <v>MDE - FONTE 01</v>
      </c>
      <c r="B14" s="165">
        <f>Despesas!S4</f>
        <v>3619031.55</v>
      </c>
      <c r="F14" s="313"/>
      <c r="G14" s="313"/>
    </row>
    <row r="15" spans="1:7" ht="6.75" customHeight="1" x14ac:dyDescent="0.2">
      <c r="B15" s="167"/>
      <c r="F15" s="313"/>
      <c r="G15" s="313"/>
    </row>
    <row r="16" spans="1:7" x14ac:dyDescent="0.2">
      <c r="A16" s="489" t="s">
        <v>311</v>
      </c>
      <c r="B16" s="490"/>
      <c r="F16" s="313"/>
      <c r="G16" s="313"/>
    </row>
    <row r="17" spans="1:2" ht="15.75" x14ac:dyDescent="0.25">
      <c r="A17" s="295" t="str">
        <f>Educação!R27</f>
        <v>APLICAÇÃO FUNDEB 70%</v>
      </c>
      <c r="B17" s="312">
        <f>Receitas!S57</f>
        <v>0.74047412229931875</v>
      </c>
    </row>
    <row r="18" spans="1:2" ht="15.75" x14ac:dyDescent="0.25">
      <c r="A18" s="443" t="str">
        <f>Educação!R29</f>
        <v>APLICAÇÃO MDE FONTE 01</v>
      </c>
      <c r="B18" s="312">
        <f>Receitas!S59</f>
        <v>0.3325915130712131</v>
      </c>
    </row>
    <row r="19" spans="1:2" ht="15.75" x14ac:dyDescent="0.25">
      <c r="A19" s="295" t="str">
        <f>Educação!R31</f>
        <v>APLICAÇÃO MDE 25% (TOTAL)</v>
      </c>
      <c r="B19" s="312">
        <f>Receitas!S61</f>
        <v>0.27498896791826055</v>
      </c>
    </row>
    <row r="20" spans="1:2" ht="8.25" customHeight="1" x14ac:dyDescent="0.2">
      <c r="B20" s="224"/>
    </row>
    <row r="21" spans="1:2" x14ac:dyDescent="0.2">
      <c r="A21" s="488" t="s">
        <v>310</v>
      </c>
      <c r="B21" s="488"/>
    </row>
    <row r="22" spans="1:2" x14ac:dyDescent="0.2">
      <c r="A22" s="168" t="str">
        <f>'Saúde 15%'!A4</f>
        <v>RECEITA DE IMPOSTOS LÍQUIDA (I)</v>
      </c>
      <c r="B22" s="217">
        <f>Receitas!D84</f>
        <v>2238168.88</v>
      </c>
    </row>
    <row r="23" spans="1:2" x14ac:dyDescent="0.2">
      <c r="A23" s="168" t="str">
        <f>'Saúde 15%'!A14</f>
        <v>RECEITA DE TRANSFERÊNCIAS CONSTITUCIONAIS E LEGAIS (II)</v>
      </c>
      <c r="B23" s="217">
        <f>Receitas!D94</f>
        <v>35106065.969999999</v>
      </c>
    </row>
    <row r="24" spans="1:2" x14ac:dyDescent="0.2">
      <c r="A24" s="168" t="str">
        <f>'Saúde 15%'!A22</f>
        <v>TOTAL DAS RECEITAS PARA APURAÇÃO EM AÇÕES E SERVIÇOS PÚBLICOS DE SAÚDE (III) = I + II</v>
      </c>
      <c r="B24" s="217">
        <f>Receitas!D102</f>
        <v>37344234.850000001</v>
      </c>
    </row>
    <row r="25" spans="1:2" x14ac:dyDescent="0.2">
      <c r="A25" s="168" t="str">
        <f>'Saúde 15%'!A37</f>
        <v>TOTAL DAS DESPESA COM AÇÕES E SEVIÇOS PÚBLICOS EM SAÚDE (VI) = (IV) -(V)</v>
      </c>
      <c r="B25" s="217">
        <f>Despesas!D24</f>
        <v>8902369.8899999987</v>
      </c>
    </row>
    <row r="26" spans="1:2" ht="6.75" customHeight="1" x14ac:dyDescent="0.2"/>
    <row r="27" spans="1:2" ht="15.75" x14ac:dyDescent="0.25">
      <c r="A27" s="298" t="str">
        <f>'Saúde 15%'!A39</f>
        <v>PERCENTUAL DE APLICAÇÃO EM AÇÕES E SERVIÇOS PÚBLICOS DE SAÚDE SOBRE AS RECEITAS (VII%) = (VIh/IIIb x 100)</v>
      </c>
      <c r="B27" s="311">
        <f>Receitas!E105</f>
        <v>0.23838672624457316</v>
      </c>
    </row>
    <row r="28" spans="1:2" x14ac:dyDescent="0.2">
      <c r="A28" s="168" t="s">
        <v>294</v>
      </c>
      <c r="B28" s="217">
        <f>Receitas!E107</f>
        <v>-3300734.6624999987</v>
      </c>
    </row>
    <row r="30" spans="1:2" x14ac:dyDescent="0.2">
      <c r="A30" s="488" t="s">
        <v>312</v>
      </c>
      <c r="B30" s="488"/>
    </row>
    <row r="31" spans="1:2" x14ac:dyDescent="0.2">
      <c r="A31" s="296" t="str">
        <f>Receitas!A25</f>
        <v>RECEITA CORRENTE LÍQUIDA</v>
      </c>
      <c r="B31" s="221">
        <f>Receitas!N25</f>
        <v>55533798.259999998</v>
      </c>
    </row>
    <row r="32" spans="1:2" x14ac:dyDescent="0.2">
      <c r="A32" s="301" t="str">
        <f>'Pessoal 54%'!A17</f>
        <v>DESPESA LÍQUIDA COM PESSOAL</v>
      </c>
      <c r="B32" s="302">
        <f>Receitas!N123</f>
        <v>35106840.550000004</v>
      </c>
    </row>
    <row r="33" spans="1:6" x14ac:dyDescent="0.2">
      <c r="A33" s="297" t="s">
        <v>252</v>
      </c>
      <c r="B33" s="303">
        <f>B32/B31</f>
        <v>0.63217070774874107</v>
      </c>
      <c r="F33" s="364"/>
    </row>
    <row r="35" spans="1:6" x14ac:dyDescent="0.2">
      <c r="F35" s="224"/>
    </row>
    <row r="36" spans="1:6" x14ac:dyDescent="0.2">
      <c r="A36" s="164" t="s">
        <v>293</v>
      </c>
      <c r="F36" s="216"/>
    </row>
    <row r="45" spans="1:6" ht="14.25" x14ac:dyDescent="0.2">
      <c r="A45" s="491" t="s">
        <v>223</v>
      </c>
      <c r="B45" s="491"/>
    </row>
    <row r="46" spans="1:6" ht="15" x14ac:dyDescent="0.25">
      <c r="A46" s="485" t="s">
        <v>224</v>
      </c>
      <c r="B46" s="485"/>
    </row>
    <row r="67" spans="1:2" x14ac:dyDescent="0.2">
      <c r="A67" s="316"/>
      <c r="B67" s="316"/>
    </row>
    <row r="68" spans="1:2" x14ac:dyDescent="0.2">
      <c r="A68" s="316"/>
      <c r="B68" s="316"/>
    </row>
    <row r="69" spans="1:2" x14ac:dyDescent="0.2">
      <c r="A69" s="316"/>
      <c r="B69" s="316"/>
    </row>
    <row r="70" spans="1:2" x14ac:dyDescent="0.2">
      <c r="A70" s="317"/>
      <c r="B70" s="318"/>
    </row>
    <row r="71" spans="1:2" x14ac:dyDescent="0.2">
      <c r="A71" s="317"/>
      <c r="B71" s="318"/>
    </row>
    <row r="72" spans="1:2" x14ac:dyDescent="0.2">
      <c r="A72" s="319"/>
      <c r="B72" s="318"/>
    </row>
    <row r="73" spans="1:2" x14ac:dyDescent="0.2">
      <c r="A73" s="319"/>
      <c r="B73" s="320"/>
    </row>
    <row r="74" spans="1:2" x14ac:dyDescent="0.2">
      <c r="A74" s="319"/>
      <c r="B74" s="319"/>
    </row>
    <row r="75" spans="1:2" x14ac:dyDescent="0.2">
      <c r="A75" s="319"/>
      <c r="B75" s="316"/>
    </row>
    <row r="76" spans="1:2" x14ac:dyDescent="0.2">
      <c r="A76" s="319"/>
      <c r="B76" s="319"/>
    </row>
    <row r="77" spans="1:2" x14ac:dyDescent="0.2">
      <c r="A77" s="317"/>
      <c r="B77" s="321"/>
    </row>
    <row r="78" spans="1:2" x14ac:dyDescent="0.2">
      <c r="A78" s="322"/>
      <c r="B78" s="316"/>
    </row>
    <row r="79" spans="1:2" x14ac:dyDescent="0.2">
      <c r="A79" s="319"/>
      <c r="B79" s="316"/>
    </row>
    <row r="80" spans="1:2" x14ac:dyDescent="0.2">
      <c r="A80" s="316"/>
      <c r="B80" s="316"/>
    </row>
    <row r="81" spans="1:2" x14ac:dyDescent="0.2">
      <c r="A81" s="316"/>
      <c r="B81" s="316"/>
    </row>
    <row r="82" spans="1:2" x14ac:dyDescent="0.2">
      <c r="A82" s="316"/>
      <c r="B82" s="316"/>
    </row>
  </sheetData>
  <mergeCells count="7">
    <mergeCell ref="A46:B46"/>
    <mergeCell ref="A3:A4"/>
    <mergeCell ref="A21:B21"/>
    <mergeCell ref="A16:B16"/>
    <mergeCell ref="A30:B30"/>
    <mergeCell ref="A45:B45"/>
    <mergeCell ref="A11:B11"/>
  </mergeCells>
  <conditionalFormatting sqref="A76 A79">
    <cfRule type="cellIs" dxfId="1" priority="1" stopIfTrue="1" operator="equal">
      <formula>"Déficit"</formula>
    </cfRule>
  </conditionalFormatting>
  <conditionalFormatting sqref="F11">
    <cfRule type="cellIs" dxfId="0" priority="3" stopIfTrue="1" operator="equal">
      <formula>"Déficit_Até Mês"</formula>
    </cfRule>
  </conditionalFormatting>
  <pageMargins left="0.511811024" right="0.511811024" top="0.78740157499999996" bottom="0.78740157499999996" header="0.31496062000000002" footer="0.31496062000000002"/>
  <pageSetup paperSize="9" scale="77" fitToHeight="0" orientation="portrait" r:id="rId1"/>
  <rowBreaks count="1" manualBreakCount="1">
    <brk id="68" max="1" man="1"/>
  </rowBreaks>
  <colBreaks count="1" manualBreakCount="1">
    <brk id="2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8"/>
  <sheetViews>
    <sheetView topLeftCell="K9" zoomScale="70" zoomScaleNormal="70" workbookViewId="0">
      <selection activeCell="S31" sqref="S31"/>
    </sheetView>
  </sheetViews>
  <sheetFormatPr defaultRowHeight="15.75" x14ac:dyDescent="0.25"/>
  <cols>
    <col min="1" max="1" width="86.5703125" style="77" customWidth="1"/>
    <col min="2" max="2" width="20" style="77" customWidth="1"/>
    <col min="3" max="8" width="19.85546875" style="77" bestFit="1" customWidth="1"/>
    <col min="9" max="9" width="19.85546875" style="77" customWidth="1"/>
    <col min="10" max="10" width="19.85546875" style="77" bestFit="1" customWidth="1"/>
    <col min="11" max="14" width="19.85546875" style="77" customWidth="1"/>
    <col min="15" max="15" width="22.28515625" style="137" customWidth="1"/>
    <col min="16" max="16" width="20.28515625" style="77" customWidth="1"/>
    <col min="17" max="17" width="10.28515625" style="77" bestFit="1" customWidth="1"/>
    <col min="18" max="18" width="81" style="77" customWidth="1"/>
    <col min="19" max="19" width="21.5703125" style="77" customWidth="1"/>
    <col min="20" max="20" width="21" style="77" bestFit="1" customWidth="1"/>
    <col min="21" max="21" width="16.140625" style="77" bestFit="1" customWidth="1"/>
    <col min="22" max="16384" width="9.140625" style="77"/>
  </cols>
  <sheetData>
    <row r="1" spans="1:21" ht="50.25" customHeight="1" thickBot="1" x14ac:dyDescent="0.3"/>
    <row r="2" spans="1:21" ht="18.75" thickBot="1" x14ac:dyDescent="0.25">
      <c r="A2" s="463" t="s">
        <v>15</v>
      </c>
      <c r="B2" s="464"/>
      <c r="C2" s="464"/>
      <c r="D2" s="464"/>
      <c r="E2" s="464"/>
      <c r="F2" s="464"/>
      <c r="G2" s="464"/>
      <c r="H2" s="464"/>
      <c r="I2" s="464"/>
      <c r="J2" s="464"/>
      <c r="K2" s="464"/>
      <c r="L2" s="464"/>
      <c r="M2" s="464"/>
      <c r="N2" s="464"/>
      <c r="O2" s="464"/>
      <c r="P2" s="465"/>
      <c r="R2" s="492" t="s">
        <v>102</v>
      </c>
      <c r="S2" s="493"/>
    </row>
    <row r="3" spans="1:21" ht="20.25" customHeight="1" thickBot="1" x14ac:dyDescent="0.3">
      <c r="A3" s="466" t="s">
        <v>168</v>
      </c>
      <c r="B3" s="468" t="s">
        <v>9</v>
      </c>
      <c r="C3" s="470" t="s">
        <v>10</v>
      </c>
      <c r="D3" s="471"/>
      <c r="E3" s="471"/>
      <c r="F3" s="471"/>
      <c r="G3" s="471"/>
      <c r="H3" s="471"/>
      <c r="I3" s="471"/>
      <c r="J3" s="471"/>
      <c r="K3" s="471"/>
      <c r="L3" s="471"/>
      <c r="M3" s="471"/>
      <c r="N3" s="471"/>
      <c r="O3" s="471"/>
      <c r="P3" s="472"/>
      <c r="R3" s="494"/>
      <c r="S3" s="495"/>
    </row>
    <row r="4" spans="1:21" ht="36.75" thickBot="1" x14ac:dyDescent="0.25">
      <c r="A4" s="467"/>
      <c r="B4" s="469"/>
      <c r="C4" s="115" t="s">
        <v>104</v>
      </c>
      <c r="D4" s="115" t="s">
        <v>105</v>
      </c>
      <c r="E4" s="115" t="s">
        <v>106</v>
      </c>
      <c r="F4" s="115" t="s">
        <v>107</v>
      </c>
      <c r="G4" s="115" t="s">
        <v>108</v>
      </c>
      <c r="H4" s="307" t="s">
        <v>109</v>
      </c>
      <c r="I4" s="336" t="s">
        <v>110</v>
      </c>
      <c r="J4" s="307" t="s">
        <v>111</v>
      </c>
      <c r="K4" s="336" t="s">
        <v>112</v>
      </c>
      <c r="L4" s="336" t="s">
        <v>113</v>
      </c>
      <c r="M4" s="336" t="s">
        <v>114</v>
      </c>
      <c r="N4" s="336" t="s">
        <v>115</v>
      </c>
      <c r="O4" s="115" t="s">
        <v>184</v>
      </c>
      <c r="P4" s="79" t="s">
        <v>11</v>
      </c>
      <c r="R4" s="238" t="s">
        <v>240</v>
      </c>
      <c r="S4" s="239" t="s">
        <v>242</v>
      </c>
    </row>
    <row r="5" spans="1:21" x14ac:dyDescent="0.25">
      <c r="A5" s="113" t="s">
        <v>17</v>
      </c>
      <c r="B5" s="127">
        <f t="shared" ref="B5:H5" si="0">SUM(B6:B9)</f>
        <v>1844300</v>
      </c>
      <c r="C5" s="127">
        <f t="shared" si="0"/>
        <v>42991.57</v>
      </c>
      <c r="D5" s="127">
        <f t="shared" si="0"/>
        <v>154909.76999999996</v>
      </c>
      <c r="E5" s="127">
        <f t="shared" si="0"/>
        <v>50370.47</v>
      </c>
      <c r="F5" s="127">
        <f t="shared" si="0"/>
        <v>60464.160000000003</v>
      </c>
      <c r="G5" s="127">
        <f t="shared" si="0"/>
        <v>44711.55</v>
      </c>
      <c r="H5" s="127">
        <f t="shared" si="0"/>
        <v>490520.85</v>
      </c>
      <c r="I5" s="127">
        <f>SUM(I6:I9)</f>
        <v>69493.919999999998</v>
      </c>
      <c r="J5" s="127">
        <f>SUM(J6:J9)</f>
        <v>68938.16</v>
      </c>
      <c r="K5" s="127">
        <f t="shared" ref="K5:N5" si="1">SUM(K6:K9)</f>
        <v>49137.45</v>
      </c>
      <c r="L5" s="127">
        <f t="shared" si="1"/>
        <v>55939.729999999996</v>
      </c>
      <c r="M5" s="127">
        <f t="shared" si="1"/>
        <v>815904.02</v>
      </c>
      <c r="N5" s="127">
        <f t="shared" si="1"/>
        <v>339577.68</v>
      </c>
      <c r="O5" s="127">
        <f>SUM(C5:N5)</f>
        <v>2242959.33</v>
      </c>
      <c r="P5" s="118"/>
      <c r="R5" s="145" t="str">
        <f>A5</f>
        <v>1. RECEITA DE IMPOSTOS</v>
      </c>
      <c r="S5" s="121">
        <f>O5</f>
        <v>2242959.33</v>
      </c>
    </row>
    <row r="6" spans="1:21" x14ac:dyDescent="0.25">
      <c r="A6" s="114" t="s">
        <v>169</v>
      </c>
      <c r="B6" s="122">
        <v>174400</v>
      </c>
      <c r="C6" s="122">
        <v>6509</v>
      </c>
      <c r="D6" s="122">
        <v>17112.64</v>
      </c>
      <c r="E6" s="122">
        <v>9046.89</v>
      </c>
      <c r="F6" s="124">
        <f>Receitas!E4</f>
        <v>6658.91</v>
      </c>
      <c r="G6" s="124">
        <f>Receitas!F4</f>
        <v>8118.39</v>
      </c>
      <c r="H6" s="124">
        <f>Receitas!G4</f>
        <v>8402.33</v>
      </c>
      <c r="I6" s="124">
        <f>Receitas!H4</f>
        <v>11054.76</v>
      </c>
      <c r="J6" s="124">
        <f>Receitas!I4</f>
        <v>16577.240000000002</v>
      </c>
      <c r="K6" s="124">
        <f>Receitas!J4</f>
        <v>11343.8</v>
      </c>
      <c r="L6" s="124">
        <f>Receitas!K4</f>
        <v>17936.61</v>
      </c>
      <c r="M6" s="124">
        <f>Receitas!L4</f>
        <v>19723.02</v>
      </c>
      <c r="N6" s="124">
        <v>34320.870000000003</v>
      </c>
      <c r="O6" s="127">
        <f>SUM(C6:N6)</f>
        <v>166804.46</v>
      </c>
      <c r="P6" s="118"/>
      <c r="R6" s="246" t="str">
        <f>A11</f>
        <v>2- RECEITA DE TRANSFERÊNCIAS CONSTITUCIONAIS E LEGAIS</v>
      </c>
      <c r="S6" s="247">
        <f>O11</f>
        <v>35106065.969999999</v>
      </c>
    </row>
    <row r="7" spans="1:21" x14ac:dyDescent="0.25">
      <c r="A7" s="114" t="s">
        <v>170</v>
      </c>
      <c r="B7" s="126">
        <v>226200</v>
      </c>
      <c r="C7" s="122">
        <v>3320.36</v>
      </c>
      <c r="D7" s="122">
        <v>56137.599999999999</v>
      </c>
      <c r="E7" s="122">
        <v>16198.22</v>
      </c>
      <c r="F7" s="136">
        <f>Receitas!E6</f>
        <v>26647.61</v>
      </c>
      <c r="G7" s="124">
        <f>Receitas!F5</f>
        <v>13004.62</v>
      </c>
      <c r="H7" s="124">
        <f>Receitas!G5</f>
        <v>20127.169999999998</v>
      </c>
      <c r="I7" s="124">
        <f>Receitas!H5</f>
        <v>14422.75</v>
      </c>
      <c r="J7" s="124">
        <f>Receitas!I5</f>
        <v>22188.880000000001</v>
      </c>
      <c r="K7" s="124">
        <f>Receitas!J5</f>
        <v>19364.32</v>
      </c>
      <c r="L7" s="124">
        <f>Receitas!K5</f>
        <v>21053.56</v>
      </c>
      <c r="M7" s="124">
        <f>Receitas!L5</f>
        <v>24582.11</v>
      </c>
      <c r="N7" s="124">
        <v>18201.22</v>
      </c>
      <c r="O7" s="127">
        <f>SUM(C7:N7)</f>
        <v>255248.42</v>
      </c>
      <c r="P7" s="118"/>
      <c r="R7" s="246" t="str">
        <f>A21</f>
        <v>3- TOTAL DA RECEITA DE IMPOSTOS (1 + 2)</v>
      </c>
      <c r="S7" s="247">
        <f>O21</f>
        <v>37349025.299999997</v>
      </c>
    </row>
    <row r="8" spans="1:21" x14ac:dyDescent="0.25">
      <c r="A8" s="114" t="s">
        <v>171</v>
      </c>
      <c r="B8" s="126">
        <v>813700</v>
      </c>
      <c r="C8" s="122">
        <v>33162.21</v>
      </c>
      <c r="D8" s="122">
        <v>63232.67</v>
      </c>
      <c r="E8" s="122">
        <v>16511.900000000001</v>
      </c>
      <c r="F8" s="125">
        <f>Receitas!E5</f>
        <v>18544.18</v>
      </c>
      <c r="G8" s="124">
        <f>Receitas!F6</f>
        <v>14975.08</v>
      </c>
      <c r="H8" s="124">
        <f>Receitas!G6</f>
        <v>461991.35</v>
      </c>
      <c r="I8" s="124">
        <f>Receitas!H6</f>
        <v>35394.36</v>
      </c>
      <c r="J8" s="124">
        <f>Receitas!I6</f>
        <v>21192.639999999999</v>
      </c>
      <c r="K8" s="124">
        <f>Receitas!J6</f>
        <v>9807.2800000000007</v>
      </c>
      <c r="L8" s="124">
        <f>Receitas!K6</f>
        <v>7069.95</v>
      </c>
      <c r="M8" s="124">
        <f>Receitas!L6</f>
        <v>18201.22</v>
      </c>
      <c r="N8" s="124">
        <v>39795.96</v>
      </c>
      <c r="O8" s="127">
        <f>SUM(C8:N8)</f>
        <v>739878.79999999981</v>
      </c>
      <c r="P8" s="134"/>
      <c r="R8" s="244" t="s">
        <v>243</v>
      </c>
      <c r="S8" s="250">
        <f>S7/4</f>
        <v>9337256.3249999993</v>
      </c>
      <c r="T8" s="249"/>
    </row>
    <row r="9" spans="1:21" ht="15" customHeight="1" x14ac:dyDescent="0.25">
      <c r="A9" s="114" t="s">
        <v>172</v>
      </c>
      <c r="B9" s="126">
        <v>630000</v>
      </c>
      <c r="C9" s="122">
        <v>0</v>
      </c>
      <c r="D9" s="122">
        <v>18426.86</v>
      </c>
      <c r="E9" s="122">
        <v>8613.4599999999991</v>
      </c>
      <c r="F9" s="125">
        <f>Receitas!E7</f>
        <v>8613.4599999999991</v>
      </c>
      <c r="G9" s="124">
        <f>Receitas!F7</f>
        <v>8613.4599999999991</v>
      </c>
      <c r="H9" s="124">
        <f>Receitas!G7</f>
        <v>0</v>
      </c>
      <c r="I9" s="124">
        <f>Receitas!H7</f>
        <v>8622.0499999999993</v>
      </c>
      <c r="J9" s="124">
        <f>Receitas!I7</f>
        <v>8979.4</v>
      </c>
      <c r="K9" s="124">
        <f>Receitas!J7</f>
        <v>8622.0499999999993</v>
      </c>
      <c r="L9" s="124">
        <f>Receitas!K7</f>
        <v>9879.61</v>
      </c>
      <c r="M9" s="124">
        <f>Receitas!L7</f>
        <v>753397.67</v>
      </c>
      <c r="N9" s="124">
        <v>247259.63</v>
      </c>
      <c r="O9" s="127">
        <f>SUM(C9:N9)</f>
        <v>1081027.6499999999</v>
      </c>
      <c r="P9" s="134"/>
      <c r="R9" s="246" t="str">
        <f>A23</f>
        <v>4- TOTAL DESTINADO AO FUNDEB - 20% DE ((2.1) + (2.2) + (2.3) + (2.4) + (2.5))</v>
      </c>
      <c r="S9" s="247">
        <f>O23</f>
        <v>6616928.6799999988</v>
      </c>
      <c r="T9" s="323"/>
      <c r="U9" s="323"/>
    </row>
    <row r="10" spans="1:21" x14ac:dyDescent="0.25">
      <c r="A10" s="143"/>
      <c r="B10" s="101"/>
      <c r="C10" s="81"/>
      <c r="D10" s="81"/>
      <c r="E10" s="81"/>
      <c r="F10" s="81"/>
      <c r="G10" s="101"/>
      <c r="H10" s="101"/>
      <c r="I10" s="101"/>
      <c r="J10" s="101"/>
      <c r="K10" s="101"/>
      <c r="L10" s="101"/>
      <c r="M10" s="101"/>
      <c r="N10" s="101"/>
      <c r="O10" s="140"/>
      <c r="P10" s="135"/>
      <c r="R10" s="240" t="str">
        <f>A25</f>
        <v>5- VALOR MÍNIMO A SER APLICADO ALÉM DO VALOR DESTINADO AO FUNDEB - 5% DE ((2.2) + (2.3) + (2.4) + (2.5)) + 25% DE ((1.1) + (1.2) + (1.3) + (1.4) + (2.1.1) + (2.6)+ (2.7))</v>
      </c>
      <c r="S10" s="241">
        <f>S8-S9</f>
        <v>2720327.6450000005</v>
      </c>
      <c r="T10" s="249"/>
    </row>
    <row r="11" spans="1:21" x14ac:dyDescent="0.25">
      <c r="A11" s="113" t="s">
        <v>173</v>
      </c>
      <c r="B11" s="120">
        <f>SUM(B12:B19)</f>
        <v>33206900</v>
      </c>
      <c r="C11" s="130">
        <f>SUM(C12:C19)</f>
        <v>2501025.2200000002</v>
      </c>
      <c r="D11" s="120">
        <f>SUM(D12:D19)</f>
        <v>3252051.37</v>
      </c>
      <c r="E11" s="120">
        <f t="shared" ref="E11:N11" si="2">SUM(E12:E19)</f>
        <v>2513057.64</v>
      </c>
      <c r="F11" s="120">
        <f t="shared" si="2"/>
        <v>2384480.2099999995</v>
      </c>
      <c r="G11" s="120">
        <f t="shared" si="2"/>
        <v>2885846.8399999994</v>
      </c>
      <c r="H11" s="120">
        <f t="shared" si="2"/>
        <v>2629162.9</v>
      </c>
      <c r="I11" s="120">
        <f t="shared" si="2"/>
        <v>3267662.76</v>
      </c>
      <c r="J11" s="120">
        <f t="shared" si="2"/>
        <v>2933984.87</v>
      </c>
      <c r="K11" s="120">
        <f t="shared" si="2"/>
        <v>2329770.7000000002</v>
      </c>
      <c r="L11" s="120">
        <f t="shared" si="2"/>
        <v>2625674.6800000002</v>
      </c>
      <c r="M11" s="120">
        <f t="shared" si="2"/>
        <v>3277929.25</v>
      </c>
      <c r="N11" s="120">
        <f t="shared" si="2"/>
        <v>4505419.5299999993</v>
      </c>
      <c r="O11" s="120">
        <f t="shared" ref="O11:O19" si="3">SUM(C11:N11)</f>
        <v>35106065.969999999</v>
      </c>
      <c r="P11" s="134"/>
    </row>
    <row r="12" spans="1:21" x14ac:dyDescent="0.25">
      <c r="A12" s="114" t="s">
        <v>174</v>
      </c>
      <c r="B12" s="131">
        <v>23908400</v>
      </c>
      <c r="C12" s="131">
        <v>1935290.93</v>
      </c>
      <c r="D12" s="131">
        <v>2536675.73</v>
      </c>
      <c r="E12" s="131">
        <v>1700280.46</v>
      </c>
      <c r="F12" s="41">
        <f>Receitas!E13</f>
        <v>1777514.38</v>
      </c>
      <c r="G12" s="41">
        <f>Receitas!F13</f>
        <v>2136327.5099999998</v>
      </c>
      <c r="H12" s="41">
        <f>Receitas!G13</f>
        <v>1847591.58</v>
      </c>
      <c r="I12" s="41">
        <f>Receitas!H13</f>
        <v>2524514.7599999998</v>
      </c>
      <c r="J12" s="41">
        <f>Receitas!I13</f>
        <v>2018430.1</v>
      </c>
      <c r="K12" s="41">
        <f>Receitas!J13</f>
        <v>1585148.65</v>
      </c>
      <c r="L12" s="41">
        <f>Receitas!K13</f>
        <v>1766384.57</v>
      </c>
      <c r="M12" s="41">
        <f>Receitas!L13</f>
        <v>2294050.71</v>
      </c>
      <c r="N12" s="41">
        <f>Receitas!M13</f>
        <v>3415142.5</v>
      </c>
      <c r="O12" s="120">
        <f t="shared" si="3"/>
        <v>25537351.879999999</v>
      </c>
      <c r="P12" s="134"/>
      <c r="R12" s="246" t="str">
        <f>A27</f>
        <v>6- RECEITAS RECEBIDAS DO FUNDEB</v>
      </c>
      <c r="S12" s="248">
        <f>O27</f>
        <v>15851504.16</v>
      </c>
    </row>
    <row r="13" spans="1:21" x14ac:dyDescent="0.25">
      <c r="A13" s="114" t="s">
        <v>180</v>
      </c>
      <c r="B13" s="129">
        <v>1726200</v>
      </c>
      <c r="C13" s="1"/>
      <c r="D13" s="128"/>
      <c r="E13" s="128"/>
      <c r="F13" s="41"/>
      <c r="G13" s="41">
        <f>Receitas!F15</f>
        <v>687723.84</v>
      </c>
      <c r="H13" s="41">
        <f>Receitas!G15</f>
        <v>726548.84</v>
      </c>
      <c r="I13" s="41">
        <f>Receitas!H15</f>
        <v>683527.6</v>
      </c>
      <c r="J13" s="41">
        <f>Receitas!I15</f>
        <v>860018.68</v>
      </c>
      <c r="K13" s="41">
        <f>Receitas!J15</f>
        <v>663551.87</v>
      </c>
      <c r="L13" s="41">
        <f>Receitas!K15</f>
        <v>777078.31</v>
      </c>
      <c r="M13" s="41">
        <f>Receitas!L15</f>
        <v>935856.81</v>
      </c>
      <c r="N13" s="41"/>
      <c r="O13" s="120">
        <f t="shared" si="3"/>
        <v>5334305.9500000011</v>
      </c>
      <c r="P13" s="134"/>
      <c r="R13" s="240" t="str">
        <f>A28</f>
        <v>6.1- FUNDEB - Impostos e Transferências de Impostos</v>
      </c>
      <c r="S13" s="241">
        <f>O28</f>
        <v>11661261.43</v>
      </c>
      <c r="T13" s="249"/>
    </row>
    <row r="14" spans="1:21" x14ac:dyDescent="0.25">
      <c r="A14" s="114" t="s">
        <v>175</v>
      </c>
      <c r="B14" s="129">
        <v>6880000</v>
      </c>
      <c r="C14" s="129">
        <v>526366.56000000006</v>
      </c>
      <c r="D14" s="129">
        <v>674408.62</v>
      </c>
      <c r="E14" s="129">
        <v>775420.52</v>
      </c>
      <c r="F14" s="121">
        <f>Receitas!E15</f>
        <v>569245.56999999995</v>
      </c>
      <c r="G14" s="41">
        <f>Receitas!F16</f>
        <v>52227.03</v>
      </c>
      <c r="H14" s="41">
        <f>Receitas!G16</f>
        <v>45725.99</v>
      </c>
      <c r="I14" s="41">
        <f>Receitas!H16</f>
        <v>52531.24</v>
      </c>
      <c r="J14" s="41">
        <f>Receitas!I16</f>
        <v>49578.79</v>
      </c>
      <c r="K14" s="41">
        <f>Receitas!J16</f>
        <v>66608.55</v>
      </c>
      <c r="L14" s="41">
        <f>Receitas!K16</f>
        <v>37620.25</v>
      </c>
      <c r="M14" s="41">
        <f>Receitas!L16</f>
        <v>38497.22</v>
      </c>
      <c r="N14" s="41">
        <v>1048475.1</v>
      </c>
      <c r="O14" s="120">
        <f t="shared" si="3"/>
        <v>3936705.4400000004</v>
      </c>
      <c r="P14" s="134"/>
      <c r="R14" s="240" t="s">
        <v>309</v>
      </c>
      <c r="S14" s="241">
        <f>O31+O34</f>
        <v>4190242.7299999995</v>
      </c>
    </row>
    <row r="15" spans="1:21" ht="16.5" customHeight="1" x14ac:dyDescent="0.25">
      <c r="A15" s="114" t="s">
        <v>182</v>
      </c>
      <c r="B15" s="129">
        <v>61400</v>
      </c>
      <c r="C15" s="129">
        <v>5810.28</v>
      </c>
      <c r="D15" s="129">
        <v>4752.8100000000004</v>
      </c>
      <c r="E15" s="129">
        <v>5643.61</v>
      </c>
      <c r="F15" s="41">
        <f>Receitas!E19</f>
        <v>5660.28</v>
      </c>
      <c r="G15" s="41">
        <f>Receitas!F17</f>
        <v>242.16</v>
      </c>
      <c r="H15" s="41">
        <f>Receitas!G17</f>
        <v>422.56</v>
      </c>
      <c r="I15" s="41">
        <f>Receitas!H17</f>
        <v>1292.6500000000001</v>
      </c>
      <c r="J15" s="41">
        <f>Receitas!I17</f>
        <v>1082.94</v>
      </c>
      <c r="K15" s="41">
        <f>Receitas!J17</f>
        <v>8661.91</v>
      </c>
      <c r="L15" s="41">
        <f>Receitas!K17</f>
        <v>38621.81</v>
      </c>
      <c r="M15" s="41">
        <f>Receitas!L17</f>
        <v>3805.59</v>
      </c>
      <c r="N15" s="41">
        <v>5846.76</v>
      </c>
      <c r="O15" s="120">
        <f t="shared" si="3"/>
        <v>81843.359999999986</v>
      </c>
      <c r="P15" s="134"/>
      <c r="R15" s="145"/>
      <c r="S15" s="242"/>
    </row>
    <row r="16" spans="1:21" x14ac:dyDescent="0.25">
      <c r="A16" s="114" t="s">
        <v>176</v>
      </c>
      <c r="B16" s="132">
        <v>27500</v>
      </c>
      <c r="C16" s="132">
        <v>2250.4699999999998</v>
      </c>
      <c r="D16" s="132">
        <v>1030.79</v>
      </c>
      <c r="E16" s="132">
        <v>385.33</v>
      </c>
      <c r="F16" s="41">
        <f>Receitas!E17</f>
        <v>305.33999999999997</v>
      </c>
      <c r="G16" s="41">
        <f>Receitas!F18</f>
        <v>3855.32</v>
      </c>
      <c r="H16" s="41">
        <f>Receitas!G18</f>
        <v>3855.32</v>
      </c>
      <c r="I16" s="41">
        <f>Receitas!H18</f>
        <v>0</v>
      </c>
      <c r="J16" s="41">
        <f>Receitas!I18</f>
        <v>0</v>
      </c>
      <c r="K16" s="41">
        <f>Receitas!J18</f>
        <v>0</v>
      </c>
      <c r="L16" s="41">
        <f>Receitas!K18</f>
        <v>0</v>
      </c>
      <c r="M16" s="41">
        <f>Receitas!L18</f>
        <v>0</v>
      </c>
      <c r="N16" s="41">
        <v>3471.21</v>
      </c>
      <c r="O16" s="120">
        <f t="shared" si="3"/>
        <v>15153.779999999999</v>
      </c>
      <c r="P16" s="134"/>
    </row>
    <row r="17" spans="1:20" x14ac:dyDescent="0.25">
      <c r="A17" s="114" t="s">
        <v>177</v>
      </c>
      <c r="B17" s="132">
        <v>603400</v>
      </c>
      <c r="C17" s="132">
        <v>31306.98</v>
      </c>
      <c r="D17" s="132">
        <v>35183.42</v>
      </c>
      <c r="E17" s="132">
        <v>31327.72</v>
      </c>
      <c r="F17" s="41">
        <f>Receitas!E16</f>
        <v>31754.639999999999</v>
      </c>
      <c r="G17" s="41">
        <f>Receitas!F19</f>
        <v>5470.98</v>
      </c>
      <c r="H17" s="41">
        <f>Receitas!G19</f>
        <v>5018.6099999999997</v>
      </c>
      <c r="I17" s="41">
        <f>Receitas!H19</f>
        <v>5796.51</v>
      </c>
      <c r="J17" s="41">
        <f>Receitas!I19</f>
        <v>4874.3599999999997</v>
      </c>
      <c r="K17" s="41">
        <f>Receitas!J19</f>
        <v>5799.72</v>
      </c>
      <c r="L17" s="41">
        <f>Receitas!K19</f>
        <v>5969.74</v>
      </c>
      <c r="M17" s="41">
        <f>Receitas!L19</f>
        <v>5718.92</v>
      </c>
      <c r="N17" s="41">
        <v>32483.96</v>
      </c>
      <c r="O17" s="120">
        <f t="shared" si="3"/>
        <v>200705.55999999997</v>
      </c>
      <c r="P17" s="134"/>
      <c r="R17" s="476" t="s">
        <v>292</v>
      </c>
      <c r="S17" s="477"/>
      <c r="T17" s="249"/>
    </row>
    <row r="18" spans="1:20" x14ac:dyDescent="0.25">
      <c r="A18" s="114" t="s">
        <v>178</v>
      </c>
      <c r="B18" s="133">
        <v>0</v>
      </c>
      <c r="C18" s="1"/>
      <c r="D18" s="1"/>
      <c r="E18" s="1"/>
      <c r="F18" s="41"/>
      <c r="G18" s="41"/>
      <c r="H18" s="41"/>
      <c r="I18" s="41"/>
      <c r="J18" s="41"/>
      <c r="K18" s="41"/>
      <c r="L18" s="41"/>
      <c r="M18" s="41"/>
      <c r="N18" s="41"/>
      <c r="O18" s="120">
        <f t="shared" si="3"/>
        <v>0</v>
      </c>
      <c r="P18" s="134"/>
      <c r="R18" s="145" t="str">
        <f>A45</f>
        <v>FUNDEB - FONTE 18</v>
      </c>
      <c r="S18" s="149">
        <f>O45</f>
        <v>11737628.630000001</v>
      </c>
    </row>
    <row r="19" spans="1:20" x14ac:dyDescent="0.25">
      <c r="A19" s="114" t="s">
        <v>185</v>
      </c>
      <c r="B19" s="133">
        <v>0</v>
      </c>
      <c r="C19" s="1"/>
      <c r="D19" s="1"/>
      <c r="E19" s="1"/>
      <c r="F19" s="41"/>
      <c r="G19" s="41"/>
      <c r="H19" s="41"/>
      <c r="I19" s="41"/>
      <c r="J19" s="41"/>
      <c r="K19" s="41"/>
      <c r="L19" s="41"/>
      <c r="M19" s="41"/>
      <c r="N19" s="41"/>
      <c r="O19" s="120">
        <f t="shared" si="3"/>
        <v>0</v>
      </c>
      <c r="P19" s="134"/>
      <c r="R19" s="145" t="str">
        <f>A46</f>
        <v>FUNDEB - FONTE 19</v>
      </c>
      <c r="S19" s="149">
        <f>O46</f>
        <v>4132855.2600000007</v>
      </c>
    </row>
    <row r="20" spans="1:20" x14ac:dyDescent="0.25">
      <c r="A20" s="80"/>
      <c r="B20" s="81"/>
      <c r="C20" s="81"/>
      <c r="D20" s="81"/>
      <c r="E20" s="81"/>
      <c r="F20" s="101"/>
      <c r="G20" s="101"/>
      <c r="H20" s="101"/>
      <c r="I20" s="101"/>
      <c r="J20" s="101"/>
      <c r="K20" s="101"/>
      <c r="L20" s="101"/>
      <c r="M20" s="101"/>
      <c r="N20" s="101"/>
      <c r="O20" s="117"/>
      <c r="P20" s="135"/>
      <c r="R20" s="145" t="str">
        <f>A49</f>
        <v>MDE - FONTE 01</v>
      </c>
      <c r="S20" s="149">
        <f>O49</f>
        <v>3619031.55</v>
      </c>
      <c r="T20" s="150">
        <f>S18+S19+S20-S14</f>
        <v>15299272.710000001</v>
      </c>
    </row>
    <row r="21" spans="1:20" x14ac:dyDescent="0.25">
      <c r="A21" s="113" t="s">
        <v>179</v>
      </c>
      <c r="B21" s="86">
        <f>B5+B11</f>
        <v>35051200</v>
      </c>
      <c r="C21" s="86">
        <f t="shared" ref="C21:N21" si="4">C5+C11</f>
        <v>2544016.79</v>
      </c>
      <c r="D21" s="86">
        <f t="shared" si="4"/>
        <v>3406961.14</v>
      </c>
      <c r="E21" s="86">
        <f t="shared" si="4"/>
        <v>2563428.1100000003</v>
      </c>
      <c r="F21" s="86">
        <f t="shared" si="4"/>
        <v>2444944.3699999996</v>
      </c>
      <c r="G21" s="86">
        <f t="shared" si="4"/>
        <v>2930558.3899999992</v>
      </c>
      <c r="H21" s="86">
        <f t="shared" si="4"/>
        <v>3119683.75</v>
      </c>
      <c r="I21" s="86">
        <f t="shared" si="4"/>
        <v>3337156.6799999997</v>
      </c>
      <c r="J21" s="86">
        <f t="shared" si="4"/>
        <v>3002923.0300000003</v>
      </c>
      <c r="K21" s="86">
        <f t="shared" si="4"/>
        <v>2378908.1500000004</v>
      </c>
      <c r="L21" s="86">
        <f t="shared" si="4"/>
        <v>2681614.41</v>
      </c>
      <c r="M21" s="86">
        <f t="shared" si="4"/>
        <v>4093833.27</v>
      </c>
      <c r="N21" s="86">
        <f t="shared" si="4"/>
        <v>4844997.209999999</v>
      </c>
      <c r="O21" s="86">
        <f>O5+O11</f>
        <v>37349025.299999997</v>
      </c>
      <c r="P21" s="134"/>
      <c r="R21" s="388" t="s">
        <v>308</v>
      </c>
      <c r="S21" s="415">
        <f>SUM(S18:S20)-S14-O38</f>
        <v>10270569.920000002</v>
      </c>
      <c r="T21" s="323">
        <v>15299272.710000001</v>
      </c>
    </row>
    <row r="22" spans="1:20" x14ac:dyDescent="0.25">
      <c r="A22" s="116"/>
      <c r="B22" s="117"/>
      <c r="C22" s="117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35"/>
      <c r="T22" s="344">
        <f>T21-O38</f>
        <v>10270569.920000002</v>
      </c>
    </row>
    <row r="23" spans="1:20" x14ac:dyDescent="0.25">
      <c r="A23" s="113" t="s">
        <v>181</v>
      </c>
      <c r="B23" s="86">
        <f>SUM(B12+B14+B15+B16+B17)*20%</f>
        <v>6296140</v>
      </c>
      <c r="C23" s="86">
        <f>Receitas!B23</f>
        <v>499042.89</v>
      </c>
      <c r="D23" s="86">
        <f>Receitas!C23</f>
        <v>649459.57999999996</v>
      </c>
      <c r="E23" s="86">
        <f>Receitas!D23</f>
        <v>501482.66</v>
      </c>
      <c r="F23" s="86">
        <f>Receitas!E23</f>
        <v>475763.88</v>
      </c>
      <c r="G23" s="86">
        <f>Receitas!F23</f>
        <v>575303.97</v>
      </c>
      <c r="H23" s="86">
        <f>Receitas!G23</f>
        <v>524057.66</v>
      </c>
      <c r="I23" s="86">
        <f>Receitas!H23</f>
        <v>469700.54</v>
      </c>
      <c r="J23" s="86">
        <f>Receitas!I23</f>
        <v>585821.96</v>
      </c>
      <c r="K23" s="86">
        <f>Receitas!J23</f>
        <v>464794.06</v>
      </c>
      <c r="L23" s="86">
        <f>Receitas!K23</f>
        <v>523940.89</v>
      </c>
      <c r="M23" s="86">
        <f>Receitas!L23</f>
        <v>654441.94999999995</v>
      </c>
      <c r="N23" s="86">
        <f>Receitas!M23</f>
        <v>693118.64</v>
      </c>
      <c r="O23" s="86">
        <f>SUM(C23:N23)</f>
        <v>6616928.6799999988</v>
      </c>
      <c r="P23" s="134"/>
      <c r="R23" s="413"/>
      <c r="S23" s="414"/>
    </row>
    <row r="24" spans="1:20" x14ac:dyDescent="0.25">
      <c r="A24" s="116"/>
      <c r="B24" s="117"/>
      <c r="C24" s="117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35"/>
    </row>
    <row r="25" spans="1:20" ht="45.75" customHeight="1" x14ac:dyDescent="0.25">
      <c r="A25" s="142" t="s">
        <v>183</v>
      </c>
      <c r="B25" s="86">
        <f>((B12+B14+B15+B16+B17)*5%)+((B5+B13+B18+B19)*25%)</f>
        <v>2466660</v>
      </c>
      <c r="C25" s="86">
        <f t="shared" ref="C25:G25" si="5">((C12+C14+C15+C16+C17)*5%)+((C5+C13+C18+C19)*25%)</f>
        <v>135799.15350000001</v>
      </c>
      <c r="D25" s="86">
        <f t="shared" si="5"/>
        <v>201330.011</v>
      </c>
      <c r="E25" s="86">
        <f t="shared" si="5"/>
        <v>138245.49950000001</v>
      </c>
      <c r="F25" s="86">
        <f t="shared" si="5"/>
        <v>134340.05049999998</v>
      </c>
      <c r="G25" s="86">
        <f t="shared" si="5"/>
        <v>293014.9975</v>
      </c>
      <c r="H25" s="86">
        <f>((H12+H14+H15+H16+H17)*5%)+((H5+H13+H18+H19)*25%)</f>
        <v>399398.12550000002</v>
      </c>
      <c r="I25" s="86">
        <f t="shared" ref="I25:N25" si="6">((I12+I14+I15+I16+I17)*5%)+((I5+I13+I18+I19)*25%)</f>
        <v>317462.13799999998</v>
      </c>
      <c r="J25" s="86">
        <f t="shared" si="6"/>
        <v>335937.51950000005</v>
      </c>
      <c r="K25" s="86">
        <f t="shared" si="6"/>
        <v>261483.27149999997</v>
      </c>
      <c r="L25" s="86">
        <f t="shared" si="6"/>
        <v>300684.3285</v>
      </c>
      <c r="M25" s="86">
        <f t="shared" si="6"/>
        <v>555043.82949999999</v>
      </c>
      <c r="N25" s="86">
        <f t="shared" si="6"/>
        <v>310165.39649999997</v>
      </c>
      <c r="O25" s="86">
        <f>SUM(C25:N25)</f>
        <v>3382904.3209999995</v>
      </c>
      <c r="P25" s="324"/>
      <c r="R25" s="245" t="s">
        <v>241</v>
      </c>
      <c r="S25" s="243" t="s">
        <v>257</v>
      </c>
    </row>
    <row r="26" spans="1:20" ht="19.5" customHeight="1" x14ac:dyDescent="0.25">
      <c r="A26" s="119"/>
      <c r="B26" s="117"/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35"/>
    </row>
    <row r="27" spans="1:20" s="137" customFormat="1" ht="19.5" customHeight="1" x14ac:dyDescent="0.25">
      <c r="A27" s="142" t="s">
        <v>186</v>
      </c>
      <c r="B27" s="151">
        <f>B28+B31+B34</f>
        <v>18060600</v>
      </c>
      <c r="C27" s="151">
        <f t="shared" ref="C27:L27" si="7">C28+C31+C34</f>
        <v>1374381.21</v>
      </c>
      <c r="D27" s="151">
        <f t="shared" si="7"/>
        <v>1377213.16</v>
      </c>
      <c r="E27" s="151">
        <f t="shared" si="7"/>
        <v>1184543.78</v>
      </c>
      <c r="F27" s="151">
        <f t="shared" si="7"/>
        <v>1223174.45</v>
      </c>
      <c r="G27" s="151">
        <f t="shared" si="7"/>
        <v>1052239.3500000001</v>
      </c>
      <c r="H27" s="151">
        <f t="shared" si="7"/>
        <v>1192035.2</v>
      </c>
      <c r="I27" s="151">
        <f t="shared" si="7"/>
        <v>1110393.8</v>
      </c>
      <c r="J27" s="151">
        <f t="shared" si="7"/>
        <v>1187446.17</v>
      </c>
      <c r="K27" s="151">
        <f t="shared" si="7"/>
        <v>1415451.06</v>
      </c>
      <c r="L27" s="151">
        <f t="shared" si="7"/>
        <v>1383025.68</v>
      </c>
      <c r="M27" s="151">
        <f>M28+M31+M34</f>
        <v>1484138.87</v>
      </c>
      <c r="N27" s="151">
        <f>N28+N31+N34</f>
        <v>1867461.43</v>
      </c>
      <c r="O27" s="148">
        <f>SUM(C27:N27)</f>
        <v>15851504.16</v>
      </c>
      <c r="P27" s="359">
        <f>O27</f>
        <v>15851504.16</v>
      </c>
      <c r="R27" s="145" t="s">
        <v>239</v>
      </c>
      <c r="S27" s="87">
        <f>S18/S12</f>
        <v>0.74047412229931875</v>
      </c>
    </row>
    <row r="28" spans="1:20" s="137" customFormat="1" ht="19.5" customHeight="1" x14ac:dyDescent="0.25">
      <c r="A28" s="142" t="s">
        <v>187</v>
      </c>
      <c r="B28" s="151">
        <f>B29+B30</f>
        <v>13173500</v>
      </c>
      <c r="C28" s="151">
        <f t="shared" ref="C28:M28" si="8">C29+C30</f>
        <v>831721.69</v>
      </c>
      <c r="D28" s="151">
        <f t="shared" si="8"/>
        <v>1075563.24</v>
      </c>
      <c r="E28" s="151">
        <f t="shared" si="8"/>
        <v>980273.4</v>
      </c>
      <c r="F28" s="151">
        <f t="shared" si="8"/>
        <v>821466.79999999993</v>
      </c>
      <c r="G28" s="151">
        <f t="shared" si="8"/>
        <v>815362.38</v>
      </c>
      <c r="H28" s="151">
        <f t="shared" si="8"/>
        <v>945446.91</v>
      </c>
      <c r="I28" s="151">
        <f t="shared" si="8"/>
        <v>869319.42</v>
      </c>
      <c r="J28" s="151">
        <f t="shared" si="8"/>
        <v>964275.69</v>
      </c>
      <c r="K28" s="151">
        <f t="shared" si="8"/>
        <v>954781.73</v>
      </c>
      <c r="L28" s="151">
        <f t="shared" si="8"/>
        <v>964246.77</v>
      </c>
      <c r="M28" s="151">
        <f t="shared" si="8"/>
        <v>1065359.9600000002</v>
      </c>
      <c r="N28" s="151">
        <f>N29+N30</f>
        <v>1373443.44</v>
      </c>
      <c r="O28" s="148">
        <f>SUM(C28:N28)</f>
        <v>11661261.43</v>
      </c>
      <c r="P28" s="359">
        <f>O44</f>
        <v>15870483.889999999</v>
      </c>
      <c r="R28" s="77"/>
      <c r="S28" s="77"/>
    </row>
    <row r="29" spans="1:20" ht="19.5" customHeight="1" x14ac:dyDescent="0.25">
      <c r="A29" s="146" t="s">
        <v>188</v>
      </c>
      <c r="B29" s="123">
        <v>13169500</v>
      </c>
      <c r="C29" s="147">
        <f>Receitas!B31</f>
        <v>831695</v>
      </c>
      <c r="D29" s="147">
        <f>Receitas!C31</f>
        <v>1075490.55</v>
      </c>
      <c r="E29" s="147">
        <f>Receitas!D31</f>
        <v>980020.86</v>
      </c>
      <c r="F29" s="147">
        <f>Receitas!E31</f>
        <v>821264.69</v>
      </c>
      <c r="G29" s="147">
        <f>Receitas!F31</f>
        <v>814536.68</v>
      </c>
      <c r="H29" s="147">
        <f>Receitas!G31</f>
        <v>944842.5</v>
      </c>
      <c r="I29" s="147">
        <f>Receitas!H31</f>
        <v>867784.8</v>
      </c>
      <c r="J29" s="147">
        <f>Receitas!I31</f>
        <v>962270.83</v>
      </c>
      <c r="K29" s="147">
        <f>Receitas!J31</f>
        <v>953218.9</v>
      </c>
      <c r="L29" s="147">
        <f>Receitas!K31</f>
        <v>961450.52</v>
      </c>
      <c r="M29" s="147">
        <f>Receitas!L31</f>
        <v>1062044.1000000001</v>
      </c>
      <c r="N29" s="147">
        <f>Receitas!M31</f>
        <v>1371012.04</v>
      </c>
      <c r="O29" s="148">
        <f>SUM(C29:N29)</f>
        <v>11645631.469999999</v>
      </c>
      <c r="P29" s="359">
        <f>P27-P28</f>
        <v>-18979.729999998584</v>
      </c>
      <c r="R29" s="145" t="s">
        <v>244</v>
      </c>
      <c r="S29" s="87">
        <f>S20/S10/4</f>
        <v>0.3325915130712131</v>
      </c>
    </row>
    <row r="30" spans="1:20" ht="19.5" customHeight="1" x14ac:dyDescent="0.25">
      <c r="A30" s="146" t="s">
        <v>189</v>
      </c>
      <c r="B30" s="123">
        <v>4000</v>
      </c>
      <c r="C30" s="147">
        <v>26.69</v>
      </c>
      <c r="D30" s="147">
        <v>72.69</v>
      </c>
      <c r="E30" s="149">
        <v>252.54</v>
      </c>
      <c r="F30" s="147">
        <f>Receitas!E32</f>
        <v>202.11</v>
      </c>
      <c r="G30" s="147">
        <f>Receitas!F32</f>
        <v>825.7</v>
      </c>
      <c r="H30" s="147">
        <f>Receitas!G32</f>
        <v>604.41</v>
      </c>
      <c r="I30" s="147">
        <f>Receitas!H32</f>
        <v>1534.62</v>
      </c>
      <c r="J30" s="147">
        <f>Receitas!I32</f>
        <v>2004.86</v>
      </c>
      <c r="K30" s="147">
        <f>Receitas!J32</f>
        <v>1562.83</v>
      </c>
      <c r="L30" s="147">
        <f>Receitas!K32</f>
        <v>2796.25</v>
      </c>
      <c r="M30" s="147">
        <f>Receitas!L32</f>
        <v>3315.86</v>
      </c>
      <c r="N30" s="147">
        <f>Receitas!M32</f>
        <v>2431.4</v>
      </c>
      <c r="O30" s="148">
        <f>SUM(C30:N30)</f>
        <v>15629.960000000001</v>
      </c>
      <c r="P30" s="359"/>
    </row>
    <row r="31" spans="1:20" s="137" customFormat="1" ht="19.5" customHeight="1" x14ac:dyDescent="0.25">
      <c r="A31" s="142" t="s">
        <v>190</v>
      </c>
      <c r="B31" s="151">
        <f>B32+B33</f>
        <v>4887100</v>
      </c>
      <c r="C31" s="151">
        <f t="shared" ref="C31:G31" si="9">C32+C33</f>
        <v>542659.52</v>
      </c>
      <c r="D31" s="151">
        <f t="shared" si="9"/>
        <v>301649.91999999998</v>
      </c>
      <c r="E31" s="151">
        <f t="shared" si="9"/>
        <v>204270.38</v>
      </c>
      <c r="F31" s="151">
        <f t="shared" si="9"/>
        <v>401707.65</v>
      </c>
      <c r="G31" s="151">
        <f t="shared" si="9"/>
        <v>236876.97</v>
      </c>
      <c r="H31" s="148">
        <f>Receitas!G33</f>
        <v>246588.29</v>
      </c>
      <c r="I31" s="148">
        <f>Receitas!H33</f>
        <v>241074.38</v>
      </c>
      <c r="J31" s="148">
        <f>Receitas!I33</f>
        <v>223170.48</v>
      </c>
      <c r="K31" s="148">
        <f>Receitas!J33</f>
        <v>377221.64</v>
      </c>
      <c r="L31" s="148">
        <f>Receitas!K33</f>
        <v>335331.21999999997</v>
      </c>
      <c r="M31" s="148">
        <f>Receitas!L33</f>
        <v>335331.21999999997</v>
      </c>
      <c r="N31" s="148">
        <f>Receitas!M33</f>
        <v>389532.82</v>
      </c>
      <c r="O31" s="148">
        <f t="shared" ref="O31:O36" si="10">SUM(C31:N31)</f>
        <v>3835414.4899999998</v>
      </c>
      <c r="P31" s="359"/>
      <c r="R31" s="251" t="s">
        <v>245</v>
      </c>
      <c r="S31" s="252">
        <f>S21/S8/4</f>
        <v>0.27498896791826055</v>
      </c>
    </row>
    <row r="32" spans="1:20" ht="19.5" customHeight="1" x14ac:dyDescent="0.25">
      <c r="A32" s="146" t="s">
        <v>191</v>
      </c>
      <c r="B32" s="123">
        <v>4887100</v>
      </c>
      <c r="C32" s="147">
        <f>Receitas!B34</f>
        <v>542659.52</v>
      </c>
      <c r="D32" s="147">
        <f>Receitas!C34</f>
        <v>301649.91999999998</v>
      </c>
      <c r="E32" s="147">
        <f>Receitas!D34</f>
        <v>204270.38</v>
      </c>
      <c r="F32" s="147">
        <f>Receitas!E34</f>
        <v>401707.65</v>
      </c>
      <c r="G32" s="147">
        <f>Receitas!F34</f>
        <v>236876.97</v>
      </c>
      <c r="H32" s="147">
        <f>Receitas!G34</f>
        <v>246588.29</v>
      </c>
      <c r="I32" s="147">
        <f>Receitas!H34</f>
        <v>241074.38</v>
      </c>
      <c r="J32" s="147">
        <f>Receitas!I34</f>
        <v>223170.48</v>
      </c>
      <c r="K32" s="147">
        <f>Receitas!J34</f>
        <v>377221.64</v>
      </c>
      <c r="L32" s="147">
        <f>Receitas!K34</f>
        <v>335331.21999999997</v>
      </c>
      <c r="M32" s="147">
        <f>Receitas!L34</f>
        <v>335331.21999999997</v>
      </c>
      <c r="N32" s="147">
        <f>Receitas!M34</f>
        <v>389532.82</v>
      </c>
      <c r="O32" s="148">
        <f t="shared" si="10"/>
        <v>3835414.4899999998</v>
      </c>
      <c r="P32" s="411"/>
    </row>
    <row r="33" spans="1:19" ht="19.5" customHeight="1" x14ac:dyDescent="0.25">
      <c r="A33" s="146" t="s">
        <v>192</v>
      </c>
      <c r="B33" s="123">
        <v>0</v>
      </c>
      <c r="C33" s="147">
        <v>0</v>
      </c>
      <c r="D33" s="147">
        <v>0</v>
      </c>
      <c r="E33" s="147">
        <v>0</v>
      </c>
      <c r="F33" s="147">
        <v>0</v>
      </c>
      <c r="G33" s="147">
        <v>0</v>
      </c>
      <c r="H33" s="147">
        <f>Receitas!G35</f>
        <v>0</v>
      </c>
      <c r="I33" s="147">
        <f>Receitas!H35</f>
        <v>0</v>
      </c>
      <c r="J33" s="147">
        <f>Receitas!I35</f>
        <v>0</v>
      </c>
      <c r="K33" s="147">
        <f>Receitas!J35</f>
        <v>0</v>
      </c>
      <c r="L33" s="147">
        <f>Receitas!K35</f>
        <v>0</v>
      </c>
      <c r="M33" s="147">
        <f>Receitas!L35</f>
        <v>0</v>
      </c>
      <c r="N33" s="147">
        <f>Receitas!M35</f>
        <v>0</v>
      </c>
      <c r="O33" s="148">
        <f t="shared" si="10"/>
        <v>0</v>
      </c>
      <c r="P33" s="411">
        <f>O29-P36</f>
        <v>11643205.459999999</v>
      </c>
    </row>
    <row r="34" spans="1:19" s="137" customFormat="1" ht="19.5" customHeight="1" x14ac:dyDescent="0.25">
      <c r="A34" s="142" t="s">
        <v>193</v>
      </c>
      <c r="B34" s="151">
        <f>B35+B36</f>
        <v>0</v>
      </c>
      <c r="C34" s="151">
        <f t="shared" ref="C34:F34" si="11">C35+C36</f>
        <v>0</v>
      </c>
      <c r="D34" s="151">
        <f t="shared" si="11"/>
        <v>0</v>
      </c>
      <c r="E34" s="151">
        <f t="shared" si="11"/>
        <v>0</v>
      </c>
      <c r="F34" s="151">
        <f t="shared" si="11"/>
        <v>0</v>
      </c>
      <c r="G34" s="151">
        <f t="shared" ref="G34:N34" si="12">G35+G36</f>
        <v>0</v>
      </c>
      <c r="H34" s="151">
        <f t="shared" si="12"/>
        <v>0</v>
      </c>
      <c r="I34" s="151">
        <f t="shared" si="12"/>
        <v>0</v>
      </c>
      <c r="J34" s="151">
        <f t="shared" si="12"/>
        <v>0</v>
      </c>
      <c r="K34" s="151">
        <f t="shared" si="12"/>
        <v>83447.69</v>
      </c>
      <c r="L34" s="151">
        <f t="shared" si="12"/>
        <v>83447.69</v>
      </c>
      <c r="M34" s="151">
        <f t="shared" si="12"/>
        <v>83447.69</v>
      </c>
      <c r="N34" s="151">
        <f t="shared" si="12"/>
        <v>104485.17</v>
      </c>
      <c r="O34" s="148">
        <f>SUM(C34:N34)</f>
        <v>354828.24</v>
      </c>
      <c r="P34" s="359">
        <f>O31+O34</f>
        <v>4190242.7299999995</v>
      </c>
    </row>
    <row r="35" spans="1:19" ht="19.5" customHeight="1" x14ac:dyDescent="0.25">
      <c r="A35" s="146" t="s">
        <v>194</v>
      </c>
      <c r="B35" s="144">
        <v>0</v>
      </c>
      <c r="C35" s="150">
        <v>0</v>
      </c>
      <c r="D35" s="147">
        <v>0</v>
      </c>
      <c r="E35" s="150">
        <v>0</v>
      </c>
      <c r="F35" s="147">
        <f>Receitas!E37</f>
        <v>0</v>
      </c>
      <c r="G35" s="147">
        <f>Receitas!F37</f>
        <v>0</v>
      </c>
      <c r="H35" s="147">
        <f>Receitas!G37</f>
        <v>0</v>
      </c>
      <c r="I35" s="147">
        <f>Receitas!H37</f>
        <v>0</v>
      </c>
      <c r="J35" s="147">
        <f>Receitas!I37</f>
        <v>0</v>
      </c>
      <c r="K35" s="147">
        <f>Receitas!J37</f>
        <v>83447.69</v>
      </c>
      <c r="L35" s="147">
        <f>Receitas!K37</f>
        <v>83447.69</v>
      </c>
      <c r="M35" s="147">
        <f>Receitas!L37</f>
        <v>83447.69</v>
      </c>
      <c r="N35" s="147">
        <f>Receitas!M37</f>
        <v>104485.17</v>
      </c>
      <c r="O35" s="148">
        <f t="shared" si="10"/>
        <v>354828.24</v>
      </c>
      <c r="P35" s="359"/>
    </row>
    <row r="36" spans="1:19" ht="16.5" customHeight="1" x14ac:dyDescent="0.25">
      <c r="A36" s="146" t="s">
        <v>195</v>
      </c>
      <c r="B36" s="144">
        <v>0</v>
      </c>
      <c r="C36" s="149">
        <v>0</v>
      </c>
      <c r="D36" s="147">
        <v>0</v>
      </c>
      <c r="E36" s="147">
        <v>0</v>
      </c>
      <c r="F36" s="147">
        <v>0</v>
      </c>
      <c r="G36" s="147">
        <f>Receitas!F38</f>
        <v>0</v>
      </c>
      <c r="H36" s="147">
        <f>Receitas!G38</f>
        <v>0</v>
      </c>
      <c r="I36" s="147">
        <f>Receitas!H38</f>
        <v>0</v>
      </c>
      <c r="J36" s="147">
        <f>Receitas!I38</f>
        <v>0</v>
      </c>
      <c r="K36" s="147">
        <f>Receitas!J38</f>
        <v>0</v>
      </c>
      <c r="L36" s="147">
        <f>Receitas!K38</f>
        <v>0</v>
      </c>
      <c r="M36" s="147">
        <f>Receitas!L38</f>
        <v>0</v>
      </c>
      <c r="N36" s="147">
        <f>Receitas!M38</f>
        <v>0</v>
      </c>
      <c r="O36" s="148">
        <f t="shared" si="10"/>
        <v>0</v>
      </c>
      <c r="P36" s="359">
        <v>2426.0100000000002</v>
      </c>
      <c r="R36" s="253"/>
      <c r="S36" s="253"/>
    </row>
    <row r="37" spans="1:19" ht="9" customHeight="1" x14ac:dyDescent="0.25">
      <c r="A37" s="142"/>
      <c r="B37" s="145"/>
      <c r="C37" s="145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154"/>
      <c r="P37" s="359"/>
    </row>
    <row r="38" spans="1:19" s="137" customFormat="1" ht="18" customHeight="1" x14ac:dyDescent="0.25">
      <c r="A38" s="142" t="s">
        <v>196</v>
      </c>
      <c r="B38" s="152">
        <f t="shared" ref="B38:G38" si="13">B29-B23</f>
        <v>6873360</v>
      </c>
      <c r="C38" s="152">
        <f>C29-C23</f>
        <v>332652.11</v>
      </c>
      <c r="D38" s="152">
        <f t="shared" si="13"/>
        <v>426030.97000000009</v>
      </c>
      <c r="E38" s="152">
        <f t="shared" si="13"/>
        <v>478538.2</v>
      </c>
      <c r="F38" s="152">
        <f t="shared" si="13"/>
        <v>345500.80999999994</v>
      </c>
      <c r="G38" s="152">
        <f t="shared" si="13"/>
        <v>239232.71000000008</v>
      </c>
      <c r="H38" s="152">
        <f t="shared" ref="H38:M38" si="14">H29-H23</f>
        <v>420784.84</v>
      </c>
      <c r="I38" s="152">
        <f t="shared" si="14"/>
        <v>398084.26000000007</v>
      </c>
      <c r="J38" s="152">
        <f t="shared" si="14"/>
        <v>376448.87</v>
      </c>
      <c r="K38" s="152">
        <f t="shared" si="14"/>
        <v>488424.84</v>
      </c>
      <c r="L38" s="152">
        <f t="shared" si="14"/>
        <v>437509.63</v>
      </c>
      <c r="M38" s="152">
        <f t="shared" si="14"/>
        <v>407602.15000000014</v>
      </c>
      <c r="N38" s="152">
        <f>N29-N23</f>
        <v>677893.4</v>
      </c>
      <c r="O38" s="153">
        <f>SUM(C38:N38)</f>
        <v>5028702.79</v>
      </c>
      <c r="P38" s="359"/>
    </row>
    <row r="39" spans="1:19" s="137" customFormat="1" ht="18" customHeight="1" x14ac:dyDescent="0.25">
      <c r="A39" s="119"/>
      <c r="B39" s="155"/>
      <c r="C39" s="155"/>
      <c r="D39" s="155"/>
      <c r="E39" s="155"/>
      <c r="F39" s="155"/>
      <c r="G39" s="155"/>
      <c r="H39" s="155"/>
      <c r="J39" s="155"/>
      <c r="K39" s="155"/>
      <c r="L39" s="155"/>
      <c r="M39" s="155"/>
      <c r="N39" s="155"/>
      <c r="O39" s="156"/>
      <c r="P39" s="359"/>
    </row>
    <row r="40" spans="1:19" s="137" customFormat="1" ht="18" customHeight="1" x14ac:dyDescent="0.25">
      <c r="A40" s="119" t="s">
        <v>103</v>
      </c>
      <c r="B40" s="155"/>
      <c r="C40" s="155"/>
      <c r="D40" s="155"/>
      <c r="E40" s="155"/>
      <c r="F40" s="155"/>
      <c r="G40" s="155"/>
      <c r="H40" s="155"/>
      <c r="I40" s="155"/>
      <c r="J40" s="155"/>
      <c r="K40" s="155"/>
      <c r="L40" s="155"/>
      <c r="M40" s="155"/>
      <c r="N40" s="155"/>
      <c r="O40" s="156"/>
      <c r="P40" s="135"/>
    </row>
    <row r="41" spans="1:19" s="137" customFormat="1" ht="18" customHeight="1" x14ac:dyDescent="0.25">
      <c r="A41" s="473" t="s">
        <v>234</v>
      </c>
      <c r="B41" s="474"/>
      <c r="C41" s="474"/>
      <c r="D41" s="474"/>
      <c r="E41" s="474"/>
      <c r="F41" s="474"/>
      <c r="G41" s="474"/>
      <c r="H41" s="474"/>
      <c r="I41" s="474"/>
      <c r="J41" s="475"/>
      <c r="K41" s="338"/>
      <c r="L41" s="338"/>
      <c r="M41" s="338"/>
      <c r="N41" s="338"/>
      <c r="O41" s="237" t="s">
        <v>184</v>
      </c>
      <c r="P41" s="237" t="s">
        <v>11</v>
      </c>
    </row>
    <row r="42" spans="1:19" s="137" customFormat="1" ht="18" customHeight="1" x14ac:dyDescent="0.25">
      <c r="A42" s="339"/>
      <c r="B42" s="340"/>
      <c r="C42" s="341" t="s">
        <v>104</v>
      </c>
      <c r="D42" s="341" t="s">
        <v>105</v>
      </c>
      <c r="E42" s="341" t="s">
        <v>106</v>
      </c>
      <c r="F42" s="341" t="s">
        <v>107</v>
      </c>
      <c r="G42" s="341" t="s">
        <v>108</v>
      </c>
      <c r="H42" s="341" t="s">
        <v>109</v>
      </c>
      <c r="I42" s="341" t="s">
        <v>110</v>
      </c>
      <c r="J42" s="341" t="s">
        <v>111</v>
      </c>
      <c r="K42" s="341" t="s">
        <v>112</v>
      </c>
      <c r="L42" s="341" t="s">
        <v>113</v>
      </c>
      <c r="M42" s="341" t="s">
        <v>114</v>
      </c>
      <c r="N42" s="341" t="s">
        <v>115</v>
      </c>
      <c r="O42" s="237"/>
      <c r="P42" s="237"/>
    </row>
    <row r="43" spans="1:19" s="137" customFormat="1" ht="18" customHeight="1" x14ac:dyDescent="0.25">
      <c r="A43" s="225" t="s">
        <v>253</v>
      </c>
      <c r="B43" s="225"/>
      <c r="C43" s="225"/>
      <c r="D43" s="225"/>
      <c r="E43" s="229">
        <f>E44+E48</f>
        <v>0</v>
      </c>
      <c r="F43" s="229">
        <f>F44+F48</f>
        <v>5756357.5700000003</v>
      </c>
      <c r="G43" s="229">
        <f>G44+G48</f>
        <v>1512758.67</v>
      </c>
      <c r="H43" s="229">
        <f t="shared" ref="H43:N43" si="15">H44+H48</f>
        <v>2082207.1099999999</v>
      </c>
      <c r="I43" s="229">
        <f t="shared" si="15"/>
        <v>1503823.84</v>
      </c>
      <c r="J43" s="229">
        <f t="shared" si="15"/>
        <v>1502476.7599999998</v>
      </c>
      <c r="K43" s="229">
        <f t="shared" si="15"/>
        <v>1496998.75</v>
      </c>
      <c r="L43" s="229">
        <f t="shared" si="15"/>
        <v>1593290.75</v>
      </c>
      <c r="M43" s="229">
        <f t="shared" si="15"/>
        <v>1697241.82</v>
      </c>
      <c r="N43" s="229">
        <f t="shared" si="15"/>
        <v>2344360.17</v>
      </c>
      <c r="O43" s="229">
        <f>O44+O48</f>
        <v>19489515.439999998</v>
      </c>
      <c r="P43" s="225"/>
      <c r="R43" s="137" t="s">
        <v>324</v>
      </c>
    </row>
    <row r="44" spans="1:19" s="137" customFormat="1" ht="18" customHeight="1" x14ac:dyDescent="0.25">
      <c r="A44" s="142" t="s">
        <v>246</v>
      </c>
      <c r="B44" s="226">
        <f>SUM(B45:B46)</f>
        <v>0</v>
      </c>
      <c r="C44" s="226">
        <f t="shared" ref="C44:N44" si="16">SUM(C45:C46)</f>
        <v>0</v>
      </c>
      <c r="D44" s="226">
        <f t="shared" si="16"/>
        <v>0</v>
      </c>
      <c r="E44" s="226">
        <f t="shared" si="16"/>
        <v>0</v>
      </c>
      <c r="F44" s="226">
        <f t="shared" si="16"/>
        <v>5120853.6400000006</v>
      </c>
      <c r="G44" s="226">
        <f t="shared" si="16"/>
        <v>1108643.68</v>
      </c>
      <c r="H44" s="226">
        <f t="shared" si="16"/>
        <v>995262.63</v>
      </c>
      <c r="I44" s="226">
        <f t="shared" si="16"/>
        <v>1300221.03</v>
      </c>
      <c r="J44" s="226">
        <f t="shared" si="16"/>
        <v>1414130.6099999999</v>
      </c>
      <c r="K44" s="226">
        <f t="shared" si="16"/>
        <v>1199755.76</v>
      </c>
      <c r="L44" s="226">
        <f t="shared" si="16"/>
        <v>1384928.6</v>
      </c>
      <c r="M44" s="226">
        <f t="shared" si="16"/>
        <v>1519472.85</v>
      </c>
      <c r="N44" s="226">
        <f t="shared" si="16"/>
        <v>1827215.09</v>
      </c>
      <c r="O44" s="153">
        <f>SUM(B44:N44)</f>
        <v>15870483.889999999</v>
      </c>
      <c r="P44" s="134"/>
    </row>
    <row r="45" spans="1:19" ht="18" customHeight="1" x14ac:dyDescent="0.25">
      <c r="A45" s="146" t="s">
        <v>235</v>
      </c>
      <c r="B45" s="227">
        <v>0</v>
      </c>
      <c r="C45" s="235">
        <v>0</v>
      </c>
      <c r="D45" s="235">
        <v>0</v>
      </c>
      <c r="E45" s="145">
        <v>0</v>
      </c>
      <c r="F45" s="332">
        <v>3809408.18</v>
      </c>
      <c r="G45" s="332">
        <v>740737.76</v>
      </c>
      <c r="H45" s="332">
        <v>609639.63</v>
      </c>
      <c r="I45" s="332">
        <v>912142.84</v>
      </c>
      <c r="J45" s="144">
        <v>1031066.49</v>
      </c>
      <c r="K45" s="144">
        <v>1031017.04</v>
      </c>
      <c r="L45" s="144">
        <v>1058138.02</v>
      </c>
      <c r="M45" s="144">
        <v>1106719.57</v>
      </c>
      <c r="N45" s="385">
        <v>1438759.1</v>
      </c>
      <c r="O45" s="153">
        <f>SUM(B45:N45)</f>
        <v>11737628.630000001</v>
      </c>
      <c r="P45" s="87">
        <f>O45/O27</f>
        <v>0.74047412229931875</v>
      </c>
      <c r="R45" s="437">
        <f>6899726.83+5141426.81</f>
        <v>12041153.640000001</v>
      </c>
    </row>
    <row r="46" spans="1:19" ht="18" customHeight="1" x14ac:dyDescent="0.25">
      <c r="A46" s="146" t="s">
        <v>236</v>
      </c>
      <c r="B46" s="227">
        <v>0</v>
      </c>
      <c r="C46" s="235">
        <v>0</v>
      </c>
      <c r="D46" s="235">
        <v>0</v>
      </c>
      <c r="E46" s="145">
        <v>0</v>
      </c>
      <c r="F46" s="332">
        <v>1311445.46</v>
      </c>
      <c r="G46" s="332">
        <v>367905.92</v>
      </c>
      <c r="H46" s="332">
        <v>385623</v>
      </c>
      <c r="I46" s="332">
        <v>388078.19</v>
      </c>
      <c r="J46" s="144">
        <v>383064.12</v>
      </c>
      <c r="K46" s="144">
        <v>168738.72</v>
      </c>
      <c r="L46" s="144">
        <v>326790.58</v>
      </c>
      <c r="M46" s="144">
        <v>412753.28</v>
      </c>
      <c r="N46" s="385">
        <v>388455.99</v>
      </c>
      <c r="O46" s="153">
        <f>SUM(B46:N46)</f>
        <v>4132855.2600000007</v>
      </c>
      <c r="P46" s="87"/>
      <c r="Q46" s="387"/>
    </row>
    <row r="47" spans="1:19" s="116" customFormat="1" ht="9.75" customHeight="1" x14ac:dyDescent="0.25">
      <c r="A47" s="119"/>
      <c r="B47" s="228"/>
      <c r="C47" s="155"/>
      <c r="D47" s="155"/>
      <c r="E47" s="155"/>
      <c r="F47" s="155"/>
      <c r="G47" s="155"/>
      <c r="H47" s="155"/>
      <c r="I47" s="155"/>
      <c r="J47" s="155"/>
      <c r="K47" s="155"/>
      <c r="L47" s="155"/>
      <c r="M47" s="155"/>
      <c r="N47" s="155"/>
      <c r="O47" s="153"/>
      <c r="P47" s="135"/>
    </row>
    <row r="48" spans="1:19" s="137" customFormat="1" ht="18" customHeight="1" x14ac:dyDescent="0.25">
      <c r="A48" s="142" t="s">
        <v>237</v>
      </c>
      <c r="B48" s="152">
        <f t="shared" ref="B48:N48" si="17">B49</f>
        <v>0</v>
      </c>
      <c r="C48" s="152">
        <f t="shared" si="17"/>
        <v>0</v>
      </c>
      <c r="D48" s="152">
        <f t="shared" si="17"/>
        <v>0</v>
      </c>
      <c r="E48" s="152">
        <f t="shared" si="17"/>
        <v>0</v>
      </c>
      <c r="F48" s="152">
        <f t="shared" si="17"/>
        <v>635503.93000000005</v>
      </c>
      <c r="G48" s="152">
        <f t="shared" si="17"/>
        <v>404114.99</v>
      </c>
      <c r="H48" s="152">
        <f t="shared" si="17"/>
        <v>1086944.48</v>
      </c>
      <c r="I48" s="152">
        <f t="shared" si="17"/>
        <v>203602.81</v>
      </c>
      <c r="J48" s="152">
        <f t="shared" si="17"/>
        <v>88346.15</v>
      </c>
      <c r="K48" s="152">
        <f t="shared" si="17"/>
        <v>297242.99</v>
      </c>
      <c r="L48" s="152">
        <f t="shared" si="17"/>
        <v>208362.15</v>
      </c>
      <c r="M48" s="152">
        <f t="shared" si="17"/>
        <v>177768.97</v>
      </c>
      <c r="N48" s="152">
        <f t="shared" si="17"/>
        <v>517145.08</v>
      </c>
      <c r="O48" s="153">
        <f>SUM(B48:N48)</f>
        <v>3619031.55</v>
      </c>
      <c r="P48" s="134">
        <f>O48/O25/4</f>
        <v>0.26745003749693697</v>
      </c>
      <c r="R48" s="437">
        <f>2132082.49+2025362.31</f>
        <v>4157444.8000000003</v>
      </c>
    </row>
    <row r="49" spans="1:16" s="137" customFormat="1" ht="18" customHeight="1" x14ac:dyDescent="0.25">
      <c r="A49" s="146" t="s">
        <v>238</v>
      </c>
      <c r="B49" s="236">
        <v>0</v>
      </c>
      <c r="C49" s="152">
        <v>0</v>
      </c>
      <c r="D49" s="152">
        <v>0</v>
      </c>
      <c r="E49" s="137">
        <v>0</v>
      </c>
      <c r="F49" s="144">
        <v>635503.93000000005</v>
      </c>
      <c r="G49" s="144">
        <v>404114.99</v>
      </c>
      <c r="H49" s="144">
        <v>1086944.48</v>
      </c>
      <c r="I49" s="144">
        <v>203602.81</v>
      </c>
      <c r="J49" s="144">
        <v>88346.15</v>
      </c>
      <c r="K49" s="144">
        <v>297242.99</v>
      </c>
      <c r="L49" s="144">
        <v>208362.15</v>
      </c>
      <c r="M49" s="144">
        <v>177768.97</v>
      </c>
      <c r="N49" s="385">
        <v>517145.08</v>
      </c>
      <c r="O49" s="153">
        <f>SUM(B49:N49)</f>
        <v>3619031.55</v>
      </c>
      <c r="P49" s="134"/>
    </row>
    <row r="50" spans="1:16" s="137" customFormat="1" ht="18" customHeight="1" x14ac:dyDescent="0.25">
      <c r="A50" s="142"/>
      <c r="B50" s="226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3"/>
      <c r="P50" s="134"/>
    </row>
    <row r="51" spans="1:16" s="137" customFormat="1" ht="18" customHeight="1" x14ac:dyDescent="0.25">
      <c r="A51" s="142"/>
      <c r="B51" s="226"/>
      <c r="C51" s="152"/>
      <c r="D51" s="152"/>
      <c r="E51" s="152"/>
      <c r="F51" s="152"/>
      <c r="G51" s="152"/>
      <c r="H51" s="152"/>
      <c r="I51" s="152"/>
      <c r="J51" s="152"/>
      <c r="K51" s="152"/>
      <c r="L51" s="152"/>
      <c r="M51" s="152"/>
      <c r="N51" s="152"/>
      <c r="O51" s="153"/>
      <c r="P51" s="134"/>
    </row>
    <row r="52" spans="1:16" s="137" customFormat="1" ht="18" customHeight="1" x14ac:dyDescent="0.25">
      <c r="A52" s="142"/>
      <c r="B52" s="226"/>
      <c r="C52" s="152"/>
      <c r="D52" s="152"/>
      <c r="E52" s="152"/>
      <c r="F52" s="152"/>
      <c r="G52" s="152"/>
      <c r="H52" s="152"/>
      <c r="I52" s="152"/>
      <c r="J52" s="152"/>
      <c r="K52" s="152"/>
      <c r="L52" s="152"/>
      <c r="M52" s="152"/>
      <c r="N52" s="152"/>
      <c r="O52" s="153"/>
      <c r="P52" s="134"/>
    </row>
    <row r="53" spans="1:16" s="137" customFormat="1" ht="18" customHeight="1" x14ac:dyDescent="0.25">
      <c r="A53" s="142"/>
      <c r="B53" s="226"/>
      <c r="C53" s="152"/>
      <c r="D53" s="152"/>
      <c r="E53" s="152"/>
      <c r="F53" s="152"/>
      <c r="G53" s="152"/>
      <c r="H53" s="152"/>
      <c r="I53" s="152"/>
      <c r="J53" s="152"/>
      <c r="K53" s="152"/>
      <c r="L53" s="152"/>
      <c r="M53" s="152"/>
      <c r="N53" s="152"/>
      <c r="O53" s="153"/>
      <c r="P53" s="134"/>
    </row>
    <row r="54" spans="1:16" s="137" customFormat="1" ht="18" customHeight="1" x14ac:dyDescent="0.25">
      <c r="A54" s="142"/>
      <c r="B54" s="226"/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  <c r="N54" s="152"/>
      <c r="O54" s="153"/>
      <c r="P54" s="134"/>
    </row>
    <row r="55" spans="1:16" s="137" customFormat="1" ht="18" customHeight="1" x14ac:dyDescent="0.25">
      <c r="A55" s="142"/>
      <c r="B55" s="226"/>
      <c r="C55" s="152"/>
      <c r="D55" s="152"/>
      <c r="E55" s="152"/>
      <c r="F55" s="152"/>
      <c r="G55" s="152"/>
      <c r="H55" s="152"/>
      <c r="I55" s="152"/>
      <c r="J55" s="152"/>
      <c r="K55" s="152"/>
      <c r="L55" s="152"/>
      <c r="M55" s="152"/>
      <c r="N55" s="152"/>
      <c r="O55" s="153"/>
      <c r="P55" s="134"/>
    </row>
    <row r="56" spans="1:16" s="137" customFormat="1" ht="18" customHeight="1" x14ac:dyDescent="0.25">
      <c r="A56" s="142"/>
      <c r="B56" s="226"/>
      <c r="C56" s="152"/>
      <c r="D56" s="152"/>
      <c r="E56" s="152"/>
      <c r="F56" s="152"/>
      <c r="G56" s="152"/>
      <c r="H56" s="152"/>
      <c r="I56" s="152"/>
      <c r="J56" s="152"/>
      <c r="K56" s="152"/>
      <c r="L56" s="152"/>
      <c r="M56" s="152"/>
      <c r="N56" s="152"/>
      <c r="O56" s="153"/>
      <c r="P56" s="134"/>
    </row>
    <row r="57" spans="1:16" s="137" customFormat="1" ht="18" customHeight="1" x14ac:dyDescent="0.25">
      <c r="A57" s="142"/>
      <c r="B57" s="226"/>
      <c r="C57" s="152"/>
      <c r="D57" s="152"/>
      <c r="E57" s="152"/>
      <c r="F57" s="152"/>
      <c r="G57" s="152"/>
      <c r="H57" s="152"/>
      <c r="I57" s="152"/>
      <c r="J57" s="152"/>
      <c r="K57" s="152"/>
      <c r="L57" s="152"/>
      <c r="M57" s="152"/>
      <c r="N57" s="152"/>
      <c r="O57" s="153"/>
      <c r="P57" s="134"/>
    </row>
    <row r="58" spans="1:16" s="137" customFormat="1" ht="18" customHeight="1" x14ac:dyDescent="0.25">
      <c r="A58" s="142"/>
      <c r="B58" s="226"/>
      <c r="C58" s="152"/>
      <c r="D58" s="152"/>
      <c r="E58" s="152"/>
      <c r="F58" s="152"/>
      <c r="G58" s="152"/>
      <c r="H58" s="152"/>
      <c r="I58" s="152"/>
      <c r="J58" s="152"/>
      <c r="K58" s="152"/>
      <c r="L58" s="152"/>
      <c r="M58" s="152"/>
      <c r="N58" s="152"/>
      <c r="O58" s="153"/>
      <c r="P58" s="134"/>
    </row>
    <row r="59" spans="1:16" ht="18" customHeight="1" x14ac:dyDescent="0.2">
      <c r="A59" s="230"/>
      <c r="B59" s="231"/>
      <c r="C59" s="232"/>
      <c r="D59" s="232"/>
      <c r="E59" s="232"/>
      <c r="F59" s="232"/>
      <c r="G59" s="232"/>
      <c r="H59" s="232"/>
      <c r="I59" s="232"/>
      <c r="J59" s="232"/>
      <c r="K59" s="232"/>
      <c r="L59" s="232"/>
      <c r="M59" s="232"/>
      <c r="N59" s="232"/>
      <c r="O59" s="233" t="s">
        <v>324</v>
      </c>
      <c r="P59" s="234"/>
    </row>
    <row r="60" spans="1:16" ht="18" customHeight="1" x14ac:dyDescent="0.2">
      <c r="A60" s="230"/>
      <c r="B60" s="231"/>
      <c r="C60" s="232"/>
      <c r="D60" s="232"/>
      <c r="E60" s="232"/>
      <c r="F60" s="232"/>
      <c r="G60" s="232"/>
      <c r="H60" s="232"/>
      <c r="I60" s="232"/>
      <c r="J60" s="232"/>
      <c r="K60" s="232"/>
      <c r="L60" s="232"/>
      <c r="M60" s="232"/>
      <c r="N60" s="232"/>
      <c r="O60" s="233">
        <f>SUM(O61:O62)</f>
        <v>3613804.94</v>
      </c>
      <c r="P60" s="234"/>
    </row>
    <row r="61" spans="1:16" ht="18" customHeight="1" x14ac:dyDescent="0.2">
      <c r="A61" s="230"/>
      <c r="B61" s="231"/>
      <c r="C61" s="232"/>
      <c r="D61" s="232"/>
      <c r="E61" s="232"/>
      <c r="F61" s="232"/>
      <c r="G61" s="232"/>
      <c r="H61" s="232"/>
      <c r="I61" s="232"/>
      <c r="J61" s="232"/>
      <c r="K61" s="232"/>
      <c r="L61" s="232"/>
      <c r="M61" s="232"/>
      <c r="N61" s="232"/>
      <c r="O61" s="233">
        <v>1494019.29</v>
      </c>
      <c r="P61" s="234"/>
    </row>
    <row r="62" spans="1:16" ht="18" customHeight="1" x14ac:dyDescent="0.2">
      <c r="A62" s="230"/>
      <c r="B62" s="231"/>
      <c r="C62" s="232"/>
      <c r="D62" s="232"/>
      <c r="E62" s="232"/>
      <c r="F62" s="232"/>
      <c r="G62" s="232"/>
      <c r="H62" s="232"/>
      <c r="I62" s="232"/>
      <c r="J62" s="232"/>
      <c r="K62" s="232"/>
      <c r="L62" s="232"/>
      <c r="M62" s="232"/>
      <c r="N62" s="232">
        <f>SUM(I49:N49)</f>
        <v>1492468.15</v>
      </c>
      <c r="O62" s="233">
        <v>2119785.65</v>
      </c>
      <c r="P62" s="234"/>
    </row>
    <row r="63" spans="1:16" ht="18" customHeight="1" x14ac:dyDescent="0.2">
      <c r="A63" s="230"/>
      <c r="B63" s="231"/>
      <c r="C63" s="232"/>
      <c r="D63" s="232"/>
      <c r="E63" s="232"/>
      <c r="F63" s="232"/>
      <c r="G63" s="232"/>
      <c r="H63" s="232"/>
      <c r="I63" s="232"/>
      <c r="J63" s="232"/>
      <c r="K63" s="232"/>
      <c r="L63" s="232"/>
      <c r="M63" s="232"/>
      <c r="N63" s="232">
        <v>323134.69</v>
      </c>
      <c r="O63" s="233"/>
      <c r="P63" s="234"/>
    </row>
    <row r="64" spans="1:16" ht="18" customHeight="1" x14ac:dyDescent="0.2">
      <c r="A64" s="230"/>
      <c r="B64" s="231"/>
      <c r="C64" s="232"/>
      <c r="D64" s="232"/>
      <c r="E64" s="232"/>
      <c r="F64" s="232"/>
      <c r="G64" s="232"/>
      <c r="H64" s="232"/>
      <c r="I64" s="232"/>
      <c r="J64" s="232"/>
      <c r="K64" s="232"/>
      <c r="L64" s="232"/>
      <c r="M64" s="232"/>
      <c r="N64" s="232"/>
      <c r="O64" s="233"/>
      <c r="P64" s="234"/>
    </row>
    <row r="65" spans="1:19" ht="15" customHeight="1" x14ac:dyDescent="0.2">
      <c r="A65" s="515"/>
      <c r="B65" s="515"/>
      <c r="C65" s="515"/>
      <c r="D65" s="515"/>
      <c r="E65" s="515"/>
      <c r="F65" s="515"/>
      <c r="G65" s="515"/>
      <c r="H65" s="515"/>
      <c r="I65" s="515"/>
      <c r="J65" s="515"/>
      <c r="K65" s="515"/>
      <c r="L65" s="515"/>
      <c r="M65" s="515"/>
      <c r="N65" s="515"/>
      <c r="O65" s="515"/>
      <c r="P65" s="515"/>
    </row>
    <row r="66" spans="1:19" ht="21" customHeight="1" thickBot="1" x14ac:dyDescent="0.3">
      <c r="A66" s="516" t="s">
        <v>18</v>
      </c>
      <c r="B66" s="516"/>
      <c r="C66" s="516"/>
      <c r="D66" s="516"/>
      <c r="E66" s="516"/>
      <c r="F66" s="516"/>
      <c r="G66" s="516"/>
      <c r="H66" s="516"/>
      <c r="I66" s="516"/>
      <c r="J66" s="516"/>
      <c r="K66" s="516"/>
      <c r="L66" s="516"/>
      <c r="M66" s="516"/>
      <c r="N66" s="516"/>
      <c r="O66" s="516"/>
      <c r="P66" s="516"/>
    </row>
    <row r="67" spans="1:19" x14ac:dyDescent="0.2">
      <c r="A67" s="502" t="s">
        <v>19</v>
      </c>
      <c r="B67" s="500" t="s">
        <v>9</v>
      </c>
      <c r="C67" s="470" t="s">
        <v>16</v>
      </c>
      <c r="D67" s="471"/>
      <c r="E67" s="471"/>
      <c r="F67" s="471"/>
      <c r="G67" s="471"/>
      <c r="H67" s="471"/>
      <c r="I67" s="471"/>
      <c r="J67" s="471"/>
      <c r="K67" s="471"/>
      <c r="L67" s="471"/>
      <c r="M67" s="471"/>
      <c r="N67" s="471"/>
      <c r="O67" s="471"/>
      <c r="P67" s="472"/>
      <c r="S67" s="323"/>
    </row>
    <row r="68" spans="1:19" ht="16.5" thickBot="1" x14ac:dyDescent="0.25">
      <c r="A68" s="503"/>
      <c r="B68" s="501"/>
      <c r="C68" s="78" t="s">
        <v>104</v>
      </c>
      <c r="D68" s="78" t="s">
        <v>105</v>
      </c>
      <c r="E68" s="78" t="s">
        <v>106</v>
      </c>
      <c r="F68" s="78" t="s">
        <v>107</v>
      </c>
      <c r="G68" s="78" t="s">
        <v>108</v>
      </c>
      <c r="H68" s="308"/>
      <c r="I68" s="337"/>
      <c r="J68" s="308"/>
      <c r="K68" s="337"/>
      <c r="L68" s="337"/>
      <c r="M68" s="337"/>
      <c r="N68" s="337"/>
      <c r="O68" s="78" t="s">
        <v>197</v>
      </c>
      <c r="P68" s="79" t="s">
        <v>11</v>
      </c>
      <c r="S68" s="323">
        <v>78435.77</v>
      </c>
    </row>
    <row r="69" spans="1:19" x14ac:dyDescent="0.25">
      <c r="A69" s="82" t="s">
        <v>20</v>
      </c>
      <c r="B69" s="83">
        <v>8640000</v>
      </c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>
        <v>6466555.3799999999</v>
      </c>
      <c r="P69" s="84">
        <f>O69/B69</f>
        <v>0.74844390972222219</v>
      </c>
      <c r="S69" s="323">
        <v>25072.560000000001</v>
      </c>
    </row>
    <row r="70" spans="1:19" ht="16.5" thickBot="1" x14ac:dyDescent="0.3">
      <c r="A70" s="157"/>
      <c r="B70" s="83"/>
      <c r="C70" s="141"/>
      <c r="D70" s="141"/>
      <c r="E70" s="141"/>
      <c r="F70" s="141"/>
      <c r="G70" s="141"/>
      <c r="H70" s="141"/>
      <c r="I70" s="141"/>
      <c r="J70" s="141"/>
      <c r="K70" s="141"/>
      <c r="L70" s="141"/>
      <c r="M70" s="141"/>
      <c r="N70" s="141"/>
      <c r="O70" s="141"/>
      <c r="P70" s="158"/>
      <c r="S70" s="323">
        <f>SUM(S68:S69)</f>
        <v>103508.33</v>
      </c>
    </row>
    <row r="71" spans="1:19" x14ac:dyDescent="0.2">
      <c r="A71" s="502" t="s">
        <v>19</v>
      </c>
      <c r="B71" s="500" t="s">
        <v>9</v>
      </c>
      <c r="C71" s="104"/>
      <c r="D71" s="104"/>
      <c r="E71" s="104"/>
      <c r="F71" s="104"/>
      <c r="G71" s="104"/>
      <c r="H71" s="306"/>
      <c r="I71" s="335"/>
      <c r="J71" s="306"/>
      <c r="K71" s="335"/>
      <c r="L71" s="335"/>
      <c r="M71" s="335"/>
      <c r="N71" s="335"/>
      <c r="O71" s="470" t="s">
        <v>21</v>
      </c>
      <c r="P71" s="472"/>
      <c r="S71" s="323"/>
    </row>
    <row r="72" spans="1:19" ht="16.5" thickBot="1" x14ac:dyDescent="0.25">
      <c r="A72" s="503"/>
      <c r="B72" s="501"/>
      <c r="C72" s="78"/>
      <c r="D72" s="78"/>
      <c r="E72" s="78"/>
      <c r="F72" s="78"/>
      <c r="G72" s="78"/>
      <c r="H72" s="308"/>
      <c r="I72" s="337"/>
      <c r="J72" s="308"/>
      <c r="K72" s="337"/>
      <c r="L72" s="337"/>
      <c r="M72" s="337"/>
      <c r="N72" s="337"/>
      <c r="O72" s="78" t="s">
        <v>3</v>
      </c>
      <c r="P72" s="79" t="s">
        <v>11</v>
      </c>
      <c r="S72" s="323"/>
    </row>
    <row r="73" spans="1:19" x14ac:dyDescent="0.25">
      <c r="A73" s="85" t="s">
        <v>22</v>
      </c>
      <c r="B73" s="86">
        <v>415000</v>
      </c>
      <c r="C73" s="86"/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>
        <v>372315.23</v>
      </c>
      <c r="P73" s="87">
        <f t="shared" ref="P73:P83" si="18">O73/B73</f>
        <v>0.8971451325301204</v>
      </c>
      <c r="S73" s="323"/>
    </row>
    <row r="74" spans="1:19" x14ac:dyDescent="0.25">
      <c r="A74" s="88" t="s">
        <v>23</v>
      </c>
      <c r="B74" s="41">
        <v>0</v>
      </c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86">
        <v>0</v>
      </c>
      <c r="P74" s="87">
        <v>0</v>
      </c>
      <c r="S74" s="323">
        <v>189578.91</v>
      </c>
    </row>
    <row r="75" spans="1:19" x14ac:dyDescent="0.25">
      <c r="A75" s="88" t="s">
        <v>24</v>
      </c>
      <c r="B75" s="41">
        <v>415000</v>
      </c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86">
        <v>372315.23</v>
      </c>
      <c r="P75" s="87">
        <f t="shared" si="18"/>
        <v>0.8971451325301204</v>
      </c>
      <c r="S75" s="323">
        <v>17045.5</v>
      </c>
    </row>
    <row r="76" spans="1:19" x14ac:dyDescent="0.25">
      <c r="A76" s="89" t="s">
        <v>25</v>
      </c>
      <c r="B76" s="86">
        <v>14611900</v>
      </c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>
        <v>13920254.15</v>
      </c>
      <c r="P76" s="87">
        <f t="shared" si="18"/>
        <v>0.95266557737186819</v>
      </c>
      <c r="S76" s="323">
        <v>21261.97</v>
      </c>
    </row>
    <row r="77" spans="1:19" x14ac:dyDescent="0.25">
      <c r="A77" s="88" t="s">
        <v>23</v>
      </c>
      <c r="B77" s="41">
        <v>11043000</v>
      </c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86">
        <v>10676496.310000001</v>
      </c>
      <c r="P77" s="87">
        <f t="shared" si="18"/>
        <v>0.96681122068278558</v>
      </c>
      <c r="S77" s="323">
        <v>45000</v>
      </c>
    </row>
    <row r="78" spans="1:19" x14ac:dyDescent="0.25">
      <c r="A78" s="88" t="s">
        <v>24</v>
      </c>
      <c r="B78" s="41">
        <v>3568900</v>
      </c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86">
        <v>3243757.84</v>
      </c>
      <c r="P78" s="87">
        <f t="shared" si="18"/>
        <v>0.90889569335089238</v>
      </c>
      <c r="S78" s="323"/>
    </row>
    <row r="79" spans="1:19" x14ac:dyDescent="0.25">
      <c r="A79" s="89" t="s">
        <v>26</v>
      </c>
      <c r="B79" s="41">
        <v>5000</v>
      </c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86">
        <v>0</v>
      </c>
      <c r="P79" s="87">
        <f t="shared" si="18"/>
        <v>0</v>
      </c>
      <c r="S79" s="323">
        <f>SUM(S74:S78)</f>
        <v>272886.38</v>
      </c>
    </row>
    <row r="80" spans="1:19" x14ac:dyDescent="0.25">
      <c r="A80" s="89" t="s">
        <v>27</v>
      </c>
      <c r="B80" s="41">
        <v>0</v>
      </c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86">
        <v>0</v>
      </c>
      <c r="P80" s="87">
        <v>0</v>
      </c>
    </row>
    <row r="81" spans="1:16" x14ac:dyDescent="0.25">
      <c r="A81" s="89" t="s">
        <v>28</v>
      </c>
      <c r="B81" s="41">
        <v>10000</v>
      </c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86">
        <v>0</v>
      </c>
      <c r="P81" s="87">
        <f t="shared" si="18"/>
        <v>0</v>
      </c>
    </row>
    <row r="82" spans="1:16" x14ac:dyDescent="0.25">
      <c r="A82" s="89" t="s">
        <v>29</v>
      </c>
      <c r="B82" s="41">
        <v>1368000</v>
      </c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86">
        <v>1149824.48</v>
      </c>
      <c r="P82" s="87">
        <f t="shared" si="18"/>
        <v>0.84051497076023396</v>
      </c>
    </row>
    <row r="83" spans="1:16" x14ac:dyDescent="0.25">
      <c r="A83" s="90" t="s">
        <v>30</v>
      </c>
      <c r="B83" s="91">
        <f>SUM(B73,B76,B79,B80,B81,B82)</f>
        <v>16409900</v>
      </c>
      <c r="C83" s="91"/>
      <c r="D83" s="91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>
        <f>SUM(O73,O76,O79,O80,O81,O82)</f>
        <v>15442393.860000001</v>
      </c>
      <c r="P83" s="92">
        <f t="shared" si="18"/>
        <v>0.9410413140847903</v>
      </c>
    </row>
    <row r="84" spans="1:16" ht="16.5" thickBot="1" x14ac:dyDescent="0.3">
      <c r="A84" s="504"/>
      <c r="B84" s="505"/>
      <c r="C84" s="505"/>
      <c r="D84" s="505"/>
      <c r="E84" s="505"/>
      <c r="F84" s="505"/>
      <c r="G84" s="505"/>
      <c r="H84" s="505"/>
      <c r="I84" s="505"/>
      <c r="J84" s="505"/>
      <c r="K84" s="505"/>
      <c r="L84" s="505"/>
      <c r="M84" s="505"/>
      <c r="N84" s="505"/>
      <c r="O84" s="505"/>
      <c r="P84" s="506"/>
    </row>
    <row r="85" spans="1:16" ht="24.75" customHeight="1" thickBot="1" x14ac:dyDescent="0.25">
      <c r="A85" s="511" t="s">
        <v>31</v>
      </c>
      <c r="B85" s="512"/>
      <c r="C85" s="105"/>
      <c r="D85" s="105"/>
      <c r="E85" s="105"/>
      <c r="F85" s="105"/>
      <c r="G85" s="105"/>
      <c r="H85" s="105"/>
      <c r="I85" s="105"/>
      <c r="J85" s="105"/>
      <c r="K85" s="105"/>
      <c r="L85" s="105"/>
      <c r="M85" s="105"/>
      <c r="N85" s="105"/>
      <c r="O85" s="513" t="s">
        <v>13</v>
      </c>
      <c r="P85" s="514"/>
    </row>
    <row r="86" spans="1:16" ht="15" x14ac:dyDescent="0.2">
      <c r="A86" s="496" t="s">
        <v>32</v>
      </c>
      <c r="B86" s="497"/>
      <c r="C86" s="106"/>
      <c r="D86" s="106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509">
        <v>6346169.2300000004</v>
      </c>
      <c r="P86" s="510"/>
    </row>
    <row r="87" spans="1:16" ht="15" x14ac:dyDescent="0.2">
      <c r="A87" s="498" t="s">
        <v>33</v>
      </c>
      <c r="B87" s="499"/>
      <c r="C87" s="107"/>
      <c r="D87" s="107"/>
      <c r="E87" s="107"/>
      <c r="F87" s="107"/>
      <c r="G87" s="107"/>
      <c r="H87" s="107"/>
      <c r="I87" s="107"/>
      <c r="J87" s="107"/>
      <c r="K87" s="107"/>
      <c r="L87" s="107"/>
      <c r="M87" s="107"/>
      <c r="N87" s="107"/>
      <c r="O87" s="507">
        <v>0</v>
      </c>
      <c r="P87" s="508"/>
    </row>
    <row r="88" spans="1:16" ht="15" x14ac:dyDescent="0.2">
      <c r="A88" s="498" t="s">
        <v>34</v>
      </c>
      <c r="B88" s="499"/>
      <c r="C88" s="107"/>
      <c r="D88" s="107"/>
      <c r="E88" s="107"/>
      <c r="F88" s="107"/>
      <c r="G88" s="107"/>
      <c r="H88" s="107"/>
      <c r="I88" s="107"/>
      <c r="J88" s="107"/>
      <c r="K88" s="107"/>
      <c r="L88" s="107"/>
      <c r="M88" s="107"/>
      <c r="N88" s="107"/>
      <c r="O88" s="507">
        <v>0</v>
      </c>
      <c r="P88" s="508"/>
    </row>
    <row r="89" spans="1:16" ht="15" x14ac:dyDescent="0.2">
      <c r="A89" s="498" t="s">
        <v>35</v>
      </c>
      <c r="B89" s="499"/>
      <c r="C89" s="107"/>
      <c r="D89" s="107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507">
        <v>0</v>
      </c>
      <c r="P89" s="508"/>
    </row>
    <row r="90" spans="1:16" ht="15" x14ac:dyDescent="0.2">
      <c r="A90" s="498" t="s">
        <v>36</v>
      </c>
      <c r="B90" s="499"/>
      <c r="C90" s="107"/>
      <c r="D90" s="107"/>
      <c r="E90" s="107"/>
      <c r="F90" s="107"/>
      <c r="G90" s="107"/>
      <c r="H90" s="107"/>
      <c r="I90" s="107"/>
      <c r="J90" s="107"/>
      <c r="K90" s="107"/>
      <c r="L90" s="107"/>
      <c r="M90" s="107"/>
      <c r="N90" s="107"/>
      <c r="O90" s="507">
        <v>0</v>
      </c>
      <c r="P90" s="508"/>
    </row>
    <row r="91" spans="1:16" ht="15" x14ac:dyDescent="0.2">
      <c r="A91" s="498" t="s">
        <v>37</v>
      </c>
      <c r="B91" s="499"/>
      <c r="C91" s="107"/>
      <c r="D91" s="107"/>
      <c r="E91" s="107"/>
      <c r="F91" s="107"/>
      <c r="G91" s="107"/>
      <c r="H91" s="107"/>
      <c r="I91" s="107"/>
      <c r="J91" s="107"/>
      <c r="K91" s="107"/>
      <c r="L91" s="107"/>
      <c r="M91" s="107"/>
      <c r="N91" s="107"/>
      <c r="O91" s="507">
        <v>0</v>
      </c>
      <c r="P91" s="508"/>
    </row>
    <row r="92" spans="1:16" ht="15" x14ac:dyDescent="0.2">
      <c r="A92" s="498" t="s">
        <v>38</v>
      </c>
      <c r="B92" s="499"/>
      <c r="C92" s="107"/>
      <c r="D92" s="107"/>
      <c r="E92" s="107"/>
      <c r="F92" s="107"/>
      <c r="G92" s="107"/>
      <c r="H92" s="107"/>
      <c r="I92" s="107"/>
      <c r="J92" s="107"/>
      <c r="K92" s="107"/>
      <c r="L92" s="107"/>
      <c r="M92" s="107"/>
      <c r="N92" s="107"/>
      <c r="O92" s="507">
        <v>3591.84</v>
      </c>
      <c r="P92" s="508"/>
    </row>
    <row r="93" spans="1:16" x14ac:dyDescent="0.25">
      <c r="A93" s="521" t="s">
        <v>39</v>
      </c>
      <c r="B93" s="522"/>
      <c r="C93" s="108"/>
      <c r="D93" s="108"/>
      <c r="E93" s="108"/>
      <c r="F93" s="108"/>
      <c r="G93" s="108"/>
      <c r="H93" s="108"/>
      <c r="I93" s="108"/>
      <c r="J93" s="108"/>
      <c r="K93" s="108"/>
      <c r="L93" s="108"/>
      <c r="M93" s="108"/>
      <c r="N93" s="108"/>
      <c r="O93" s="507">
        <v>6349761.0700000003</v>
      </c>
      <c r="P93" s="508"/>
    </row>
    <row r="94" spans="1:16" x14ac:dyDescent="0.25">
      <c r="A94" s="521" t="s">
        <v>40</v>
      </c>
      <c r="B94" s="522"/>
      <c r="C94" s="108"/>
      <c r="D94" s="108"/>
      <c r="E94" s="108"/>
      <c r="F94" s="108"/>
      <c r="G94" s="108"/>
      <c r="H94" s="108"/>
      <c r="I94" s="108"/>
      <c r="J94" s="108"/>
      <c r="K94" s="108"/>
      <c r="L94" s="108"/>
      <c r="M94" s="108"/>
      <c r="N94" s="108"/>
      <c r="O94" s="523">
        <v>7942808.3099999996</v>
      </c>
      <c r="P94" s="524"/>
    </row>
    <row r="95" spans="1:16" ht="16.5" thickBot="1" x14ac:dyDescent="0.3">
      <c r="A95" s="517" t="s">
        <v>41</v>
      </c>
      <c r="B95" s="518"/>
      <c r="C95" s="109"/>
      <c r="D95" s="109"/>
      <c r="E95" s="109"/>
      <c r="F95" s="109"/>
      <c r="G95" s="109"/>
      <c r="H95" s="109"/>
      <c r="I95" s="109"/>
      <c r="J95" s="109"/>
      <c r="K95" s="109"/>
      <c r="L95" s="109"/>
      <c r="M95" s="109"/>
      <c r="N95" s="109"/>
      <c r="O95" s="519">
        <f>O94/O21</f>
        <v>0.21266440680046342</v>
      </c>
      <c r="P95" s="520"/>
    </row>
    <row r="96" spans="1:16" ht="16.5" thickBot="1" x14ac:dyDescent="0.3">
      <c r="A96" s="528"/>
      <c r="B96" s="528"/>
      <c r="C96" s="528"/>
      <c r="D96" s="528"/>
      <c r="E96" s="528"/>
      <c r="F96" s="528"/>
      <c r="G96" s="528"/>
      <c r="H96" s="528"/>
      <c r="I96" s="528"/>
      <c r="J96" s="528"/>
      <c r="K96" s="528"/>
      <c r="L96" s="528"/>
      <c r="M96" s="528"/>
      <c r="N96" s="528"/>
      <c r="O96" s="528"/>
      <c r="P96" s="528"/>
    </row>
    <row r="97" spans="1:16" ht="16.5" thickBot="1" x14ac:dyDescent="0.3">
      <c r="A97" s="529" t="s">
        <v>42</v>
      </c>
      <c r="B97" s="530"/>
      <c r="C97" s="530"/>
      <c r="D97" s="530"/>
      <c r="E97" s="530"/>
      <c r="F97" s="530"/>
      <c r="G97" s="530"/>
      <c r="H97" s="530"/>
      <c r="I97" s="530"/>
      <c r="J97" s="530"/>
      <c r="K97" s="530"/>
      <c r="L97" s="530"/>
      <c r="M97" s="530"/>
      <c r="N97" s="530"/>
      <c r="O97" s="530"/>
      <c r="P97" s="531"/>
    </row>
    <row r="98" spans="1:16" ht="11.25" customHeight="1" x14ac:dyDescent="0.2">
      <c r="A98" s="532" t="s">
        <v>43</v>
      </c>
      <c r="B98" s="534" t="s">
        <v>12</v>
      </c>
      <c r="C98" s="110"/>
      <c r="D98" s="110"/>
      <c r="E98" s="110"/>
      <c r="F98" s="110"/>
      <c r="G98" s="110"/>
      <c r="H98" s="310"/>
      <c r="I98" s="334"/>
      <c r="J98" s="310"/>
      <c r="K98" s="334"/>
      <c r="L98" s="334"/>
      <c r="M98" s="334"/>
      <c r="N98" s="334"/>
      <c r="O98" s="536" t="s">
        <v>10</v>
      </c>
      <c r="P98" s="537"/>
    </row>
    <row r="99" spans="1:16" ht="16.5" thickBot="1" x14ac:dyDescent="0.25">
      <c r="A99" s="533"/>
      <c r="B99" s="535"/>
      <c r="C99" s="93"/>
      <c r="D99" s="93"/>
      <c r="E99" s="93"/>
      <c r="F99" s="93"/>
      <c r="G99" s="93"/>
      <c r="H99" s="309"/>
      <c r="I99" s="333"/>
      <c r="J99" s="309"/>
      <c r="K99" s="333"/>
      <c r="L99" s="333"/>
      <c r="M99" s="333"/>
      <c r="N99" s="333"/>
      <c r="O99" s="93" t="s">
        <v>3</v>
      </c>
      <c r="P99" s="94" t="s">
        <v>11</v>
      </c>
    </row>
    <row r="100" spans="1:16" ht="30.75" x14ac:dyDescent="0.25">
      <c r="A100" s="95" t="s">
        <v>44</v>
      </c>
      <c r="B100" s="96">
        <v>0</v>
      </c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138">
        <v>0</v>
      </c>
      <c r="P100" s="97">
        <v>0</v>
      </c>
    </row>
    <row r="101" spans="1:16" ht="30.75" x14ac:dyDescent="0.25">
      <c r="A101" s="98" t="s">
        <v>45</v>
      </c>
      <c r="B101" s="40">
        <v>474000</v>
      </c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139">
        <v>435910.19</v>
      </c>
      <c r="P101" s="97" t="e">
        <f>O101/#REF!</f>
        <v>#REF!</v>
      </c>
    </row>
    <row r="102" spans="1:16" x14ac:dyDescent="0.25">
      <c r="A102" s="47" t="s">
        <v>46</v>
      </c>
      <c r="B102" s="40">
        <f>SUM(B103:B105)</f>
        <v>21072148.940000001</v>
      </c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139">
        <f>SUM(O103:O105)</f>
        <v>18791660.530000001</v>
      </c>
      <c r="P102" s="97" t="e">
        <f>O102/#REF!</f>
        <v>#REF!</v>
      </c>
    </row>
    <row r="103" spans="1:16" x14ac:dyDescent="0.25">
      <c r="A103" s="99" t="s">
        <v>47</v>
      </c>
      <c r="B103" s="40">
        <v>1238082.98</v>
      </c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139">
        <v>825815.43</v>
      </c>
      <c r="P103" s="97" t="e">
        <f>O103/#REF!</f>
        <v>#REF!</v>
      </c>
    </row>
    <row r="104" spans="1:16" x14ac:dyDescent="0.25">
      <c r="A104" s="99" t="s">
        <v>48</v>
      </c>
      <c r="B104" s="40">
        <v>1712082.98</v>
      </c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139">
        <v>1261725.6200000001</v>
      </c>
      <c r="P104" s="97" t="e">
        <f>O104/#REF!</f>
        <v>#REF!</v>
      </c>
    </row>
    <row r="105" spans="1:16" x14ac:dyDescent="0.25">
      <c r="A105" s="99" t="s">
        <v>49</v>
      </c>
      <c r="B105" s="40">
        <v>18121982.98</v>
      </c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139">
        <v>16704119.48</v>
      </c>
      <c r="P105" s="97" t="e">
        <f>O105/#REF!</f>
        <v>#REF!</v>
      </c>
    </row>
    <row r="106" spans="1:16" ht="31.5" x14ac:dyDescent="0.25">
      <c r="A106" s="100" t="s">
        <v>50</v>
      </c>
      <c r="B106" s="102"/>
      <c r="C106" s="111"/>
      <c r="D106" s="111"/>
      <c r="E106" s="111"/>
      <c r="F106" s="111"/>
      <c r="G106" s="111"/>
      <c r="H106" s="111"/>
      <c r="I106" s="111"/>
      <c r="J106" s="111"/>
      <c r="K106" s="111"/>
      <c r="L106" s="111"/>
      <c r="M106" s="111"/>
      <c r="N106" s="111"/>
      <c r="O106" s="538" t="s">
        <v>51</v>
      </c>
      <c r="P106" s="539"/>
    </row>
    <row r="107" spans="1:16" x14ac:dyDescent="0.25">
      <c r="A107" s="100" t="s">
        <v>52</v>
      </c>
      <c r="B107" s="103"/>
      <c r="C107" s="112"/>
      <c r="D107" s="112"/>
      <c r="E107" s="112"/>
      <c r="F107" s="112"/>
      <c r="G107" s="112"/>
      <c r="H107" s="112"/>
      <c r="I107" s="112"/>
      <c r="J107" s="112"/>
      <c r="K107" s="112"/>
      <c r="L107" s="112"/>
      <c r="M107" s="112"/>
      <c r="N107" s="112"/>
      <c r="O107" s="540">
        <v>3591.84</v>
      </c>
      <c r="P107" s="541"/>
    </row>
    <row r="108" spans="1:16" thickBot="1" x14ac:dyDescent="0.25">
      <c r="A108" s="525"/>
      <c r="B108" s="526"/>
      <c r="C108" s="526"/>
      <c r="D108" s="526"/>
      <c r="E108" s="526"/>
      <c r="F108" s="526"/>
      <c r="G108" s="526"/>
      <c r="H108" s="526"/>
      <c r="I108" s="526"/>
      <c r="J108" s="526"/>
      <c r="K108" s="526"/>
      <c r="L108" s="526"/>
      <c r="M108" s="526"/>
      <c r="N108" s="526"/>
      <c r="O108" s="526"/>
      <c r="P108" s="527"/>
    </row>
  </sheetData>
  <mergeCells count="47">
    <mergeCell ref="A108:P108"/>
    <mergeCell ref="A96:P96"/>
    <mergeCell ref="A97:P97"/>
    <mergeCell ref="A98:A99"/>
    <mergeCell ref="B98:B99"/>
    <mergeCell ref="O98:P98"/>
    <mergeCell ref="O106:P106"/>
    <mergeCell ref="O107:P107"/>
    <mergeCell ref="A95:B95"/>
    <mergeCell ref="O95:P95"/>
    <mergeCell ref="A91:B91"/>
    <mergeCell ref="A92:B92"/>
    <mergeCell ref="A93:B93"/>
    <mergeCell ref="A94:B94"/>
    <mergeCell ref="O94:P94"/>
    <mergeCell ref="O93:P93"/>
    <mergeCell ref="O92:P92"/>
    <mergeCell ref="O91:P91"/>
    <mergeCell ref="A90:B90"/>
    <mergeCell ref="R17:S17"/>
    <mergeCell ref="A3:A4"/>
    <mergeCell ref="O89:P89"/>
    <mergeCell ref="O88:P88"/>
    <mergeCell ref="A89:B89"/>
    <mergeCell ref="O90:P90"/>
    <mergeCell ref="O87:P87"/>
    <mergeCell ref="O86:P86"/>
    <mergeCell ref="C3:P3"/>
    <mergeCell ref="B3:B4"/>
    <mergeCell ref="A85:B85"/>
    <mergeCell ref="O85:P85"/>
    <mergeCell ref="A65:P65"/>
    <mergeCell ref="A66:P66"/>
    <mergeCell ref="A67:A68"/>
    <mergeCell ref="R2:S2"/>
    <mergeCell ref="R3:S3"/>
    <mergeCell ref="A86:B86"/>
    <mergeCell ref="A87:B87"/>
    <mergeCell ref="A88:B88"/>
    <mergeCell ref="B67:B68"/>
    <mergeCell ref="A71:A72"/>
    <mergeCell ref="B71:B72"/>
    <mergeCell ref="O71:P71"/>
    <mergeCell ref="A41:J41"/>
    <mergeCell ref="A84:P84"/>
    <mergeCell ref="A2:P2"/>
    <mergeCell ref="C67:P67"/>
  </mergeCells>
  <conditionalFormatting sqref="D1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{82A28E81-381F-455F-9DE4-53E6B26A1667}</x14:id>
        </ext>
      </extLst>
    </cfRule>
  </conditionalFormatting>
  <pageMargins left="0.511811024" right="0.511811024" top="0.78740157499999996" bottom="0.78740157499999996" header="0.31496062000000002" footer="0.31496062000000002"/>
  <pageSetup paperSize="9" scale="88" orientation="portrait" r:id="rId1"/>
  <colBreaks count="2" manualBreakCount="2">
    <brk id="2" max="106" man="1"/>
    <brk id="16" max="106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2A28E81-381F-455F-9DE4-53E6B26A16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H69"/>
  <sheetViews>
    <sheetView topLeftCell="A21" zoomScaleNormal="100" workbookViewId="0">
      <selection activeCell="E41" sqref="E41"/>
    </sheetView>
  </sheetViews>
  <sheetFormatPr defaultRowHeight="15" x14ac:dyDescent="0.25"/>
  <cols>
    <col min="1" max="1" width="71" customWidth="1"/>
    <col min="2" max="2" width="18.85546875" customWidth="1"/>
    <col min="3" max="3" width="16.7109375" customWidth="1"/>
    <col min="4" max="4" width="16.85546875" bestFit="1" customWidth="1"/>
    <col min="5" max="5" width="15.85546875" bestFit="1" customWidth="1"/>
    <col min="8" max="8" width="14.28515625" bestFit="1" customWidth="1"/>
  </cols>
  <sheetData>
    <row r="1" spans="1:5" ht="18.75" thickBot="1" x14ac:dyDescent="0.3">
      <c r="A1" s="452" t="s">
        <v>250</v>
      </c>
      <c r="B1" s="453"/>
      <c r="C1" s="453"/>
      <c r="D1" s="453"/>
      <c r="E1" s="454"/>
    </row>
    <row r="2" spans="1:5" x14ac:dyDescent="0.25">
      <c r="A2" s="455" t="s">
        <v>53</v>
      </c>
      <c r="B2" s="457" t="s">
        <v>8</v>
      </c>
      <c r="C2" s="459" t="s">
        <v>9</v>
      </c>
      <c r="D2" s="457" t="s">
        <v>10</v>
      </c>
      <c r="E2" s="461"/>
    </row>
    <row r="3" spans="1:5" ht="15.75" thickBot="1" x14ac:dyDescent="0.3">
      <c r="A3" s="456"/>
      <c r="B3" s="458"/>
      <c r="C3" s="460"/>
      <c r="D3" s="273" t="s">
        <v>3</v>
      </c>
      <c r="E3" s="274" t="s">
        <v>11</v>
      </c>
    </row>
    <row r="4" spans="1:5" x14ac:dyDescent="0.25">
      <c r="A4" s="275" t="s">
        <v>54</v>
      </c>
      <c r="B4" s="276">
        <f>SUM(B5:B12)</f>
        <v>1844300</v>
      </c>
      <c r="C4" s="276">
        <f>SUM(C5:C12)</f>
        <v>1844300</v>
      </c>
      <c r="D4" s="277">
        <f>SUM(D5:D13)</f>
        <v>2238168.88</v>
      </c>
      <c r="E4" s="278">
        <f>D4/C4</f>
        <v>1.2135600932603154</v>
      </c>
    </row>
    <row r="5" spans="1:5" x14ac:dyDescent="0.25">
      <c r="A5" s="279" t="s">
        <v>55</v>
      </c>
      <c r="B5" s="280">
        <v>174400</v>
      </c>
      <c r="C5" s="280">
        <f>B5</f>
        <v>174400</v>
      </c>
      <c r="D5" s="281">
        <f>Receitas!N4</f>
        <v>166804.46</v>
      </c>
      <c r="E5" s="278">
        <f t="shared" ref="E5:E22" si="0">D5/C5</f>
        <v>0.95644759174311922</v>
      </c>
    </row>
    <row r="6" spans="1:5" x14ac:dyDescent="0.25">
      <c r="A6" s="279" t="s">
        <v>56</v>
      </c>
      <c r="B6" s="280">
        <v>226200</v>
      </c>
      <c r="C6" s="280">
        <f>B6</f>
        <v>226200</v>
      </c>
      <c r="D6" s="281">
        <f>Receitas!N6</f>
        <v>684346.44</v>
      </c>
      <c r="E6" s="278">
        <f t="shared" si="0"/>
        <v>3.0254042440318298</v>
      </c>
    </row>
    <row r="7" spans="1:5" x14ac:dyDescent="0.25">
      <c r="A7" s="279" t="s">
        <v>57</v>
      </c>
      <c r="B7" s="280">
        <v>813700</v>
      </c>
      <c r="C7" s="280">
        <f>B7</f>
        <v>813700</v>
      </c>
      <c r="D7" s="281">
        <f>Receitas!N5</f>
        <v>305990.33</v>
      </c>
      <c r="E7" s="278">
        <f t="shared" si="0"/>
        <v>0.37604808897628123</v>
      </c>
    </row>
    <row r="8" spans="1:5" x14ac:dyDescent="0.25">
      <c r="A8" s="279" t="s">
        <v>58</v>
      </c>
      <c r="B8" s="280">
        <v>630000</v>
      </c>
      <c r="C8" s="280">
        <f>B8</f>
        <v>630000</v>
      </c>
      <c r="D8" s="281">
        <f>Receitas!N7</f>
        <v>1081027.6499999999</v>
      </c>
      <c r="E8" s="278">
        <f t="shared" si="0"/>
        <v>1.7159169047619045</v>
      </c>
    </row>
    <row r="9" spans="1:5" x14ac:dyDescent="0.25">
      <c r="A9" s="279" t="s">
        <v>59</v>
      </c>
      <c r="B9" s="280"/>
      <c r="C9" s="280"/>
      <c r="D9" s="281"/>
      <c r="E9" s="278"/>
    </row>
    <row r="10" spans="1:5" x14ac:dyDescent="0.25">
      <c r="A10" s="279" t="s">
        <v>247</v>
      </c>
      <c r="B10" s="280"/>
      <c r="C10" s="280"/>
      <c r="D10" s="164"/>
      <c r="E10" s="278"/>
    </row>
    <row r="11" spans="1:5" x14ac:dyDescent="0.25">
      <c r="A11" s="279" t="s">
        <v>60</v>
      </c>
      <c r="B11" s="280"/>
      <c r="C11" s="280"/>
      <c r="D11" s="281"/>
      <c r="E11" s="278"/>
    </row>
    <row r="12" spans="1:5" x14ac:dyDescent="0.25">
      <c r="A12" s="279" t="s">
        <v>61</v>
      </c>
      <c r="B12" s="280"/>
      <c r="C12" s="280"/>
      <c r="D12" s="281"/>
      <c r="E12" s="278"/>
    </row>
    <row r="13" spans="1:5" s="61" customFormat="1" x14ac:dyDescent="0.25">
      <c r="A13" s="279" t="s">
        <v>208</v>
      </c>
      <c r="B13" s="280"/>
      <c r="C13" s="280"/>
      <c r="D13" s="281"/>
      <c r="E13" s="278"/>
    </row>
    <row r="14" spans="1:5" x14ac:dyDescent="0.25">
      <c r="A14" s="282" t="s">
        <v>248</v>
      </c>
      <c r="B14" s="276">
        <f>SUM(B15:B21)</f>
        <v>31500600</v>
      </c>
      <c r="C14" s="276">
        <f>SUM(C15:C21)</f>
        <v>31500600</v>
      </c>
      <c r="D14" s="277">
        <f>SUM(D15:D21)</f>
        <v>35106065.969999999</v>
      </c>
      <c r="E14" s="278">
        <f t="shared" si="0"/>
        <v>1.114457057008438</v>
      </c>
    </row>
    <row r="15" spans="1:5" x14ac:dyDescent="0.25">
      <c r="A15" s="279" t="s">
        <v>62</v>
      </c>
      <c r="B15" s="280">
        <v>23908400</v>
      </c>
      <c r="C15" s="280">
        <f t="shared" ref="C15:C20" si="1">B15</f>
        <v>23908400</v>
      </c>
      <c r="D15" s="281">
        <f>Receitas!N13</f>
        <v>25537351.879999999</v>
      </c>
      <c r="E15" s="278">
        <v>0</v>
      </c>
    </row>
    <row r="16" spans="1:5" x14ac:dyDescent="0.25">
      <c r="A16" s="279" t="s">
        <v>63</v>
      </c>
      <c r="B16" s="280">
        <v>27500</v>
      </c>
      <c r="C16" s="280">
        <f t="shared" si="1"/>
        <v>27500</v>
      </c>
      <c r="D16" s="281">
        <f>Receitas!N17</f>
        <v>61572.76</v>
      </c>
      <c r="E16" s="278">
        <f t="shared" si="0"/>
        <v>2.2390094545454544</v>
      </c>
    </row>
    <row r="17" spans="1:5" x14ac:dyDescent="0.25">
      <c r="A17" s="279" t="s">
        <v>64</v>
      </c>
      <c r="B17" s="280">
        <v>603400</v>
      </c>
      <c r="C17" s="280">
        <f t="shared" si="1"/>
        <v>603400</v>
      </c>
      <c r="D17" s="281">
        <f>Receitas!N16</f>
        <v>504845.79</v>
      </c>
      <c r="E17" s="278">
        <f t="shared" si="0"/>
        <v>0.83666852833940997</v>
      </c>
    </row>
    <row r="18" spans="1:5" x14ac:dyDescent="0.25">
      <c r="A18" s="279" t="s">
        <v>65</v>
      </c>
      <c r="B18" s="280">
        <v>6880000</v>
      </c>
      <c r="C18" s="280">
        <f t="shared" si="1"/>
        <v>6880000</v>
      </c>
      <c r="D18" s="281">
        <f>Receitas!N15</f>
        <v>8928222.3200000003</v>
      </c>
      <c r="E18" s="278">
        <f t="shared" si="0"/>
        <v>1.2977067325581395</v>
      </c>
    </row>
    <row r="19" spans="1:5" x14ac:dyDescent="0.25">
      <c r="A19" s="279" t="s">
        <v>66</v>
      </c>
      <c r="B19" s="280">
        <v>61400</v>
      </c>
      <c r="C19" s="280">
        <f t="shared" si="1"/>
        <v>61400</v>
      </c>
      <c r="D19" s="281">
        <f>Receitas!N19</f>
        <v>66362.58</v>
      </c>
      <c r="E19" s="278">
        <f t="shared" si="0"/>
        <v>1.0808237785016286</v>
      </c>
    </row>
    <row r="20" spans="1:5" x14ac:dyDescent="0.25">
      <c r="A20" s="279" t="s">
        <v>67</v>
      </c>
      <c r="B20" s="280">
        <v>19900</v>
      </c>
      <c r="C20" s="280">
        <f t="shared" si="1"/>
        <v>19900</v>
      </c>
      <c r="D20" s="281">
        <f>Receitas!N18</f>
        <v>7710.64</v>
      </c>
      <c r="E20" s="278">
        <f t="shared" si="0"/>
        <v>0.38746934673366834</v>
      </c>
    </row>
    <row r="21" spans="1:5" x14ac:dyDescent="0.25">
      <c r="A21" s="279" t="s">
        <v>68</v>
      </c>
      <c r="B21" s="280">
        <v>0</v>
      </c>
      <c r="C21" s="280">
        <v>0</v>
      </c>
      <c r="D21" s="281">
        <v>0</v>
      </c>
      <c r="E21" s="278">
        <v>0</v>
      </c>
    </row>
    <row r="22" spans="1:5" ht="15.75" thickBot="1" x14ac:dyDescent="0.3">
      <c r="A22" s="286" t="s">
        <v>69</v>
      </c>
      <c r="B22" s="283">
        <f>SUM(B4,B14)</f>
        <v>33344900</v>
      </c>
      <c r="C22" s="283">
        <f>SUM(C4,C14)</f>
        <v>33344900</v>
      </c>
      <c r="D22" s="284">
        <f>SUM(D4,D14)</f>
        <v>37344234.850000001</v>
      </c>
      <c r="E22" s="285">
        <f t="shared" si="0"/>
        <v>1.1199384268658776</v>
      </c>
    </row>
    <row r="23" spans="1:5" x14ac:dyDescent="0.25">
      <c r="B23" s="263"/>
      <c r="C23" s="263"/>
    </row>
    <row r="24" spans="1:5" ht="15.75" thickBot="1" x14ac:dyDescent="0.3">
      <c r="B24" s="263"/>
      <c r="C24" s="263"/>
    </row>
    <row r="25" spans="1:5" x14ac:dyDescent="0.25">
      <c r="A25" s="269" t="s">
        <v>79</v>
      </c>
      <c r="B25" s="478" t="s">
        <v>8</v>
      </c>
      <c r="C25" s="480" t="s">
        <v>9</v>
      </c>
      <c r="D25" s="482" t="s">
        <v>16</v>
      </c>
      <c r="E25" s="483"/>
    </row>
    <row r="26" spans="1:5" ht="15.75" thickBot="1" x14ac:dyDescent="0.3">
      <c r="A26" s="270" t="s">
        <v>80</v>
      </c>
      <c r="B26" s="479"/>
      <c r="C26" s="481"/>
      <c r="D26" s="271" t="s">
        <v>3</v>
      </c>
      <c r="E26" s="272" t="s">
        <v>11</v>
      </c>
    </row>
    <row r="27" spans="1:5" x14ac:dyDescent="0.25">
      <c r="A27" s="15" t="s">
        <v>4</v>
      </c>
      <c r="B27" s="264">
        <v>4976450</v>
      </c>
      <c r="C27" s="264">
        <v>4971950</v>
      </c>
      <c r="D27" s="16">
        <v>8851823.4499999993</v>
      </c>
      <c r="E27" s="17">
        <f>D27/C27</f>
        <v>1.7803524673417872</v>
      </c>
    </row>
    <row r="28" spans="1:5" x14ac:dyDescent="0.25">
      <c r="A28" s="18" t="s">
        <v>81</v>
      </c>
      <c r="B28" s="265"/>
      <c r="C28" s="265"/>
      <c r="D28" s="2"/>
      <c r="E28" s="17"/>
    </row>
    <row r="29" spans="1:5" x14ac:dyDescent="0.25">
      <c r="A29" s="18" t="s">
        <v>82</v>
      </c>
      <c r="B29" s="265"/>
      <c r="C29" s="265"/>
      <c r="D29" s="2"/>
      <c r="E29" s="17"/>
    </row>
    <row r="30" spans="1:5" x14ac:dyDescent="0.25">
      <c r="A30" s="18" t="s">
        <v>83</v>
      </c>
      <c r="B30" s="265"/>
      <c r="C30" s="265"/>
      <c r="D30" s="2"/>
      <c r="E30" s="17"/>
    </row>
    <row r="31" spans="1:5" x14ac:dyDescent="0.25">
      <c r="A31" s="19" t="s">
        <v>5</v>
      </c>
      <c r="B31" s="266">
        <v>25700</v>
      </c>
      <c r="C31" s="266">
        <v>30200</v>
      </c>
      <c r="D31" s="11">
        <v>50546.44</v>
      </c>
      <c r="E31" s="17">
        <f>D31/C31</f>
        <v>1.6737231788079472</v>
      </c>
    </row>
    <row r="32" spans="1:5" x14ac:dyDescent="0.25">
      <c r="A32" s="18" t="s">
        <v>84</v>
      </c>
      <c r="B32" s="265"/>
      <c r="C32" s="265"/>
      <c r="D32" s="2"/>
      <c r="E32" s="17"/>
    </row>
    <row r="33" spans="1:8" x14ac:dyDescent="0.25">
      <c r="A33" s="18" t="s">
        <v>85</v>
      </c>
      <c r="B33" s="265"/>
      <c r="C33" s="265"/>
      <c r="D33" s="2"/>
      <c r="E33" s="17"/>
    </row>
    <row r="34" spans="1:8" x14ac:dyDescent="0.25">
      <c r="A34" s="18" t="s">
        <v>86</v>
      </c>
      <c r="B34" s="265"/>
      <c r="C34" s="265"/>
      <c r="D34" s="2"/>
      <c r="E34" s="17"/>
      <c r="H34" t="s">
        <v>324</v>
      </c>
    </row>
    <row r="35" spans="1:8" x14ac:dyDescent="0.25">
      <c r="A35" s="267" t="s">
        <v>87</v>
      </c>
      <c r="B35" s="266">
        <f>SUM(B31,B27)</f>
        <v>5002150</v>
      </c>
      <c r="C35" s="266">
        <f>SUM(C31,C27)</f>
        <v>5002150</v>
      </c>
      <c r="D35" s="266">
        <f>SUM(D27,D31)</f>
        <v>8902369.8899999987</v>
      </c>
      <c r="E35" s="268">
        <f>D35/C35</f>
        <v>1.7797087032575989</v>
      </c>
      <c r="H35" s="411">
        <v>3687979.55</v>
      </c>
    </row>
    <row r="36" spans="1:8" ht="15.75" thickBot="1" x14ac:dyDescent="0.3">
      <c r="H36" s="411">
        <v>5065141.7</v>
      </c>
    </row>
    <row r="37" spans="1:8" ht="15.75" thickBot="1" x14ac:dyDescent="0.3">
      <c r="A37" s="288" t="s">
        <v>99</v>
      </c>
      <c r="B37" s="289">
        <f>B35-B69</f>
        <v>5002150</v>
      </c>
      <c r="C37" s="289">
        <f>C35-C69</f>
        <v>5002150</v>
      </c>
      <c r="D37" s="289">
        <f>D35-D69</f>
        <v>8902369.8899999987</v>
      </c>
      <c r="E37" s="290">
        <f>D37/C37</f>
        <v>1.7797087032575989</v>
      </c>
      <c r="H37" s="411">
        <f>SUM(H35:H36)</f>
        <v>8753121.25</v>
      </c>
    </row>
    <row r="38" spans="1:8" ht="15.75" thickBot="1" x14ac:dyDescent="0.3">
      <c r="D38" t="s">
        <v>103</v>
      </c>
      <c r="H38" s="436">
        <f>D37-H37</f>
        <v>149248.63999999873</v>
      </c>
    </row>
    <row r="39" spans="1:8" ht="21.75" thickBot="1" x14ac:dyDescent="0.4">
      <c r="A39" s="444" t="s">
        <v>254</v>
      </c>
      <c r="B39" s="445"/>
      <c r="C39" s="445"/>
      <c r="D39" s="445"/>
      <c r="E39" s="287">
        <f>D37/D22</f>
        <v>0.23838672624457316</v>
      </c>
      <c r="H39" s="411"/>
    </row>
    <row r="40" spans="1:8" ht="15.75" thickBot="1" x14ac:dyDescent="0.3">
      <c r="H40" s="411"/>
    </row>
    <row r="41" spans="1:8" ht="15.75" thickBot="1" x14ac:dyDescent="0.3">
      <c r="A41" s="446" t="s">
        <v>255</v>
      </c>
      <c r="B41" s="447"/>
      <c r="C41" s="447"/>
      <c r="D41" s="447"/>
      <c r="E41" s="262">
        <f>(D22*15%)-D37</f>
        <v>-3300734.6624999987</v>
      </c>
    </row>
    <row r="43" spans="1:8" s="61" customFormat="1" x14ac:dyDescent="0.25"/>
    <row r="44" spans="1:8" s="61" customFormat="1" x14ac:dyDescent="0.25"/>
    <row r="45" spans="1:8" ht="15.75" thickBot="1" x14ac:dyDescent="0.3"/>
    <row r="46" spans="1:8" ht="15.75" thickBot="1" x14ac:dyDescent="0.3">
      <c r="A46" s="548" t="s">
        <v>70</v>
      </c>
      <c r="B46" s="550" t="s">
        <v>8</v>
      </c>
      <c r="C46" s="550" t="s">
        <v>9</v>
      </c>
      <c r="D46" s="552" t="s">
        <v>10</v>
      </c>
      <c r="E46" s="553"/>
    </row>
    <row r="47" spans="1:8" ht="15.75" thickBot="1" x14ac:dyDescent="0.3">
      <c r="A47" s="549"/>
      <c r="B47" s="551"/>
      <c r="C47" s="551"/>
      <c r="D47" s="3" t="s">
        <v>3</v>
      </c>
      <c r="E47" s="4" t="s">
        <v>11</v>
      </c>
    </row>
    <row r="48" spans="1:8" ht="15.75" thickBot="1" x14ac:dyDescent="0.3">
      <c r="A48" s="5" t="s">
        <v>249</v>
      </c>
      <c r="B48" s="254">
        <f>SUM(B49:B52)</f>
        <v>3267399.2</v>
      </c>
      <c r="C48" s="254">
        <f>SUM(C49:C52)</f>
        <v>3267399.2</v>
      </c>
      <c r="D48" s="6">
        <f>SUM(D49:D52)</f>
        <v>2898775.6599999997</v>
      </c>
      <c r="E48" s="7">
        <f>D48/C48</f>
        <v>0.8871813581884942</v>
      </c>
    </row>
    <row r="49" spans="1:5" ht="15.75" thickBot="1" x14ac:dyDescent="0.3">
      <c r="A49" s="8" t="s">
        <v>71</v>
      </c>
      <c r="B49" s="255">
        <v>3146399.2</v>
      </c>
      <c r="C49" s="255">
        <v>3146399.2</v>
      </c>
      <c r="D49" s="9">
        <v>2754577.51</v>
      </c>
      <c r="E49" s="7">
        <f>D49/C49</f>
        <v>0.87546981006097369</v>
      </c>
    </row>
    <row r="50" spans="1:5" ht="15.75" thickBot="1" x14ac:dyDescent="0.3">
      <c r="A50" s="8" t="s">
        <v>72</v>
      </c>
      <c r="B50" s="255">
        <v>121000</v>
      </c>
      <c r="C50" s="255">
        <v>121000</v>
      </c>
      <c r="D50" s="9">
        <v>144198.15</v>
      </c>
      <c r="E50" s="7">
        <f>D50/C50</f>
        <v>1.1917202479338842</v>
      </c>
    </row>
    <row r="51" spans="1:5" ht="15.75" thickBot="1" x14ac:dyDescent="0.3">
      <c r="A51" s="8" t="s">
        <v>73</v>
      </c>
      <c r="B51" s="255">
        <v>0</v>
      </c>
      <c r="C51" s="255"/>
      <c r="D51" s="9">
        <v>0</v>
      </c>
      <c r="E51" s="7">
        <v>0</v>
      </c>
    </row>
    <row r="52" spans="1:5" ht="15.75" thickBot="1" x14ac:dyDescent="0.3">
      <c r="A52" s="8" t="s">
        <v>74</v>
      </c>
      <c r="B52" s="255">
        <v>0</v>
      </c>
      <c r="C52" s="255"/>
      <c r="D52" s="9">
        <v>0</v>
      </c>
      <c r="E52" s="7">
        <v>0</v>
      </c>
    </row>
    <row r="53" spans="1:5" ht="15.75" thickBot="1" x14ac:dyDescent="0.3">
      <c r="A53" s="10" t="s">
        <v>75</v>
      </c>
      <c r="B53" s="255">
        <v>0</v>
      </c>
      <c r="C53" s="255">
        <v>0</v>
      </c>
      <c r="D53" s="9">
        <v>0</v>
      </c>
      <c r="E53" s="7" t="e">
        <f>D53/C53</f>
        <v>#DIV/0!</v>
      </c>
    </row>
    <row r="54" spans="1:5" ht="15.75" thickBot="1" x14ac:dyDescent="0.3">
      <c r="A54" s="10" t="s">
        <v>76</v>
      </c>
      <c r="B54" s="255">
        <v>0</v>
      </c>
      <c r="C54" s="255">
        <v>0</v>
      </c>
      <c r="D54" s="9">
        <v>0</v>
      </c>
      <c r="E54" s="7">
        <v>0</v>
      </c>
    </row>
    <row r="55" spans="1:5" ht="15.75" thickBot="1" x14ac:dyDescent="0.3">
      <c r="A55" s="28" t="s">
        <v>77</v>
      </c>
      <c r="B55" s="256">
        <v>0</v>
      </c>
      <c r="C55" s="256">
        <v>0</v>
      </c>
      <c r="D55" s="29">
        <v>0</v>
      </c>
      <c r="E55" s="38">
        <v>0</v>
      </c>
    </row>
    <row r="56" spans="1:5" ht="15.75" thickBot="1" x14ac:dyDescent="0.3">
      <c r="A56" s="12" t="s">
        <v>78</v>
      </c>
      <c r="B56" s="257">
        <f>SUM(B48,B53:B55)</f>
        <v>3267399.2</v>
      </c>
      <c r="C56" s="257">
        <f>SUM(C48,C53:C55)</f>
        <v>3267399.2</v>
      </c>
      <c r="D56" s="13">
        <f>SUM(D48,D53:D55)</f>
        <v>2898775.6599999997</v>
      </c>
      <c r="E56" s="14">
        <f>D56/C56</f>
        <v>0.8871813581884942</v>
      </c>
    </row>
    <row r="57" spans="1:5" ht="15.75" thickBot="1" x14ac:dyDescent="0.3"/>
    <row r="58" spans="1:5" x14ac:dyDescent="0.25">
      <c r="A58" s="542" t="s">
        <v>88</v>
      </c>
      <c r="B58" s="544" t="s">
        <v>14</v>
      </c>
      <c r="C58" s="544" t="s">
        <v>12</v>
      </c>
      <c r="D58" s="546" t="s">
        <v>10</v>
      </c>
      <c r="E58" s="547"/>
    </row>
    <row r="59" spans="1:5" ht="15.75" thickBot="1" x14ac:dyDescent="0.3">
      <c r="A59" s="543"/>
      <c r="B59" s="545"/>
      <c r="C59" s="545"/>
      <c r="D59" s="20" t="s">
        <v>3</v>
      </c>
      <c r="E59" s="21" t="s">
        <v>11</v>
      </c>
    </row>
    <row r="60" spans="1:5" x14ac:dyDescent="0.25">
      <c r="A60" s="30" t="s">
        <v>89</v>
      </c>
      <c r="B60" s="258">
        <v>0</v>
      </c>
      <c r="C60" s="258">
        <v>0</v>
      </c>
      <c r="D60" s="22">
        <v>0</v>
      </c>
      <c r="E60" s="23">
        <v>0</v>
      </c>
    </row>
    <row r="61" spans="1:5" ht="30" x14ac:dyDescent="0.25">
      <c r="A61" s="31" t="s">
        <v>90</v>
      </c>
      <c r="B61" s="259">
        <v>0</v>
      </c>
      <c r="C61" s="259">
        <v>0</v>
      </c>
      <c r="D61" s="24">
        <v>0</v>
      </c>
      <c r="E61" s="23">
        <v>0</v>
      </c>
    </row>
    <row r="62" spans="1:5" x14ac:dyDescent="0.25">
      <c r="A62" s="25" t="s">
        <v>91</v>
      </c>
      <c r="B62" s="259">
        <v>0</v>
      </c>
      <c r="C62" s="259">
        <v>0</v>
      </c>
      <c r="D62" s="24">
        <v>0</v>
      </c>
      <c r="E62" s="23">
        <f>D62/D35</f>
        <v>0</v>
      </c>
    </row>
    <row r="63" spans="1:5" x14ac:dyDescent="0.25">
      <c r="A63" s="26" t="s">
        <v>92</v>
      </c>
      <c r="B63" s="259">
        <v>0</v>
      </c>
      <c r="C63" s="259">
        <v>0</v>
      </c>
      <c r="D63" s="24">
        <v>0</v>
      </c>
      <c r="E63" s="23">
        <f>D63/D35</f>
        <v>0</v>
      </c>
    </row>
    <row r="64" spans="1:5" x14ac:dyDescent="0.25">
      <c r="A64" s="26" t="s">
        <v>93</v>
      </c>
      <c r="B64" s="259">
        <v>0</v>
      </c>
      <c r="C64" s="259">
        <v>0</v>
      </c>
      <c r="D64" s="24">
        <v>0</v>
      </c>
      <c r="E64" s="23">
        <v>0</v>
      </c>
    </row>
    <row r="65" spans="1:5" x14ac:dyDescent="0.25">
      <c r="A65" s="26" t="s">
        <v>94</v>
      </c>
      <c r="B65" s="259">
        <v>0</v>
      </c>
      <c r="C65" s="259">
        <v>0</v>
      </c>
      <c r="D65" s="24">
        <v>0</v>
      </c>
      <c r="E65" s="23">
        <v>0</v>
      </c>
    </row>
    <row r="66" spans="1:5" x14ac:dyDescent="0.25">
      <c r="A66" s="32" t="s">
        <v>95</v>
      </c>
      <c r="B66" s="259">
        <v>0</v>
      </c>
      <c r="C66" s="259">
        <v>0</v>
      </c>
      <c r="D66" s="24">
        <v>0</v>
      </c>
      <c r="E66" s="23">
        <v>0</v>
      </c>
    </row>
    <row r="67" spans="1:5" ht="30" x14ac:dyDescent="0.25">
      <c r="A67" s="27" t="s">
        <v>96</v>
      </c>
      <c r="B67" s="259">
        <v>0</v>
      </c>
      <c r="C67" s="259">
        <v>0</v>
      </c>
      <c r="D67" s="24">
        <v>0</v>
      </c>
      <c r="E67" s="23">
        <v>0</v>
      </c>
    </row>
    <row r="68" spans="1:5" ht="45.75" thickBot="1" x14ac:dyDescent="0.3">
      <c r="A68" s="33" t="s">
        <v>97</v>
      </c>
      <c r="B68" s="260">
        <v>0</v>
      </c>
      <c r="C68" s="260">
        <v>0</v>
      </c>
      <c r="D68" s="34">
        <v>0</v>
      </c>
      <c r="E68" s="23">
        <v>0</v>
      </c>
    </row>
    <row r="69" spans="1:5" ht="21.75" thickBot="1" x14ac:dyDescent="0.4">
      <c r="A69" s="35" t="s">
        <v>98</v>
      </c>
      <c r="B69" s="261">
        <f>SUM(B68,B67,B66,B62,B61,B60)</f>
        <v>0</v>
      </c>
      <c r="C69" s="261">
        <f>SUM(C68,C67,C66,C62,C61,C60)</f>
        <v>0</v>
      </c>
      <c r="D69" s="36">
        <f>SUM(D68,D67,D66,D62,D61,D60)</f>
        <v>0</v>
      </c>
      <c r="E69" s="37">
        <f>D69/D35</f>
        <v>0</v>
      </c>
    </row>
  </sheetData>
  <mergeCells count="18">
    <mergeCell ref="A39:D39"/>
    <mergeCell ref="A41:D41"/>
    <mergeCell ref="B25:B26"/>
    <mergeCell ref="C25:C26"/>
    <mergeCell ref="D25:E25"/>
    <mergeCell ref="A1:E1"/>
    <mergeCell ref="A2:A3"/>
    <mergeCell ref="B2:B3"/>
    <mergeCell ref="C2:C3"/>
    <mergeCell ref="D2:E2"/>
    <mergeCell ref="A58:A59"/>
    <mergeCell ref="B58:B59"/>
    <mergeCell ref="C58:C59"/>
    <mergeCell ref="D58:E58"/>
    <mergeCell ref="A46:A47"/>
    <mergeCell ref="B46:B47"/>
    <mergeCell ref="C46:C47"/>
    <mergeCell ref="D46:E46"/>
  </mergeCells>
  <pageMargins left="0.511811024" right="0.511811024" top="0.78740157499999996" bottom="0.78740157499999996" header="0.31496062000000002" footer="0.31496062000000002"/>
  <pageSetup paperSize="9" scale="67" fitToHeight="0" orientation="portrait" r:id="rId1"/>
  <rowBreaks count="1" manualBreakCount="1">
    <brk id="41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A047A-BB46-4BA0-B845-369ABDE398E8}">
  <dimension ref="A1:R37"/>
  <sheetViews>
    <sheetView topLeftCell="A22" zoomScaleNormal="100" workbookViewId="0">
      <selection activeCell="J24" sqref="J24"/>
    </sheetView>
  </sheetViews>
  <sheetFormatPr defaultRowHeight="15" x14ac:dyDescent="0.2"/>
  <cols>
    <col min="1" max="1" width="48" style="77" bestFit="1" customWidth="1"/>
    <col min="2" max="3" width="12.85546875" style="77" bestFit="1" customWidth="1"/>
    <col min="4" max="6" width="14.28515625" style="77" bestFit="1" customWidth="1"/>
    <col min="7" max="7" width="2" style="77" customWidth="1"/>
    <col min="8" max="10" width="14.28515625" style="77" bestFit="1" customWidth="1"/>
    <col min="11" max="16384" width="9.140625" style="77"/>
  </cols>
  <sheetData>
    <row r="1" spans="1:18" ht="15.75" x14ac:dyDescent="0.25">
      <c r="A1" s="554" t="s">
        <v>272</v>
      </c>
      <c r="B1" s="554"/>
      <c r="C1" s="554"/>
      <c r="D1" s="554"/>
      <c r="E1" s="554"/>
      <c r="F1" s="554"/>
      <c r="G1" s="554"/>
      <c r="H1" s="554"/>
    </row>
    <row r="2" spans="1:18" s="349" customFormat="1" x14ac:dyDescent="0.25">
      <c r="B2" s="350">
        <v>44440</v>
      </c>
      <c r="C2" s="350">
        <v>44470</v>
      </c>
      <c r="D2" s="350">
        <v>44501</v>
      </c>
      <c r="E2" s="350">
        <v>44531</v>
      </c>
      <c r="F2" s="350">
        <v>44562</v>
      </c>
      <c r="H2" s="351" t="s">
        <v>2</v>
      </c>
    </row>
    <row r="3" spans="1:18" ht="16.5" customHeight="1" x14ac:dyDescent="0.2">
      <c r="A3" s="145" t="s">
        <v>266</v>
      </c>
      <c r="B3" s="348">
        <v>83447.7</v>
      </c>
      <c r="C3" s="348">
        <v>83447.7</v>
      </c>
      <c r="D3" s="348">
        <v>83447.7</v>
      </c>
      <c r="E3" s="348">
        <v>83447.7</v>
      </c>
      <c r="F3" s="348">
        <v>82867.95</v>
      </c>
      <c r="G3" s="145"/>
      <c r="H3" s="129">
        <f>SUM(B3:F3)</f>
        <v>416658.75</v>
      </c>
    </row>
    <row r="4" spans="1:18" ht="12.75" customHeight="1" x14ac:dyDescent="0.2">
      <c r="B4" s="342"/>
      <c r="C4" s="342"/>
      <c r="D4" s="342"/>
      <c r="E4" s="342"/>
      <c r="F4" s="342"/>
      <c r="H4" s="344"/>
    </row>
    <row r="5" spans="1:18" ht="16.5" customHeight="1" x14ac:dyDescent="0.25">
      <c r="A5" s="355" t="s">
        <v>267</v>
      </c>
      <c r="B5" s="356">
        <v>83447.7</v>
      </c>
      <c r="C5" s="356">
        <v>83447.7</v>
      </c>
      <c r="D5" s="356">
        <v>83447.7</v>
      </c>
      <c r="E5" s="356">
        <v>104485.18</v>
      </c>
      <c r="F5" s="356">
        <v>94473.33</v>
      </c>
      <c r="G5" s="355"/>
      <c r="H5" s="357">
        <f t="shared" ref="H5" si="0">SUM(B5:F5)</f>
        <v>449301.61</v>
      </c>
      <c r="I5" s="344"/>
      <c r="J5" s="344"/>
    </row>
    <row r="6" spans="1:18" x14ac:dyDescent="0.2">
      <c r="B6" s="323"/>
      <c r="C6" s="323"/>
      <c r="D6" s="323"/>
      <c r="E6" s="323"/>
      <c r="F6" s="323"/>
      <c r="H6" s="344"/>
      <c r="I6" s="344"/>
      <c r="J6" s="344"/>
    </row>
    <row r="7" spans="1:18" x14ac:dyDescent="0.2">
      <c r="A7" s="345" t="s">
        <v>265</v>
      </c>
      <c r="B7" s="346">
        <v>83447.69</v>
      </c>
      <c r="C7" s="346">
        <v>83447.69</v>
      </c>
      <c r="D7" s="346">
        <v>83447.69</v>
      </c>
      <c r="E7" s="346">
        <v>104485.17</v>
      </c>
      <c r="F7" s="346"/>
      <c r="G7" s="345"/>
      <c r="H7" s="347">
        <f>SUM(B7:F7)</f>
        <v>354828.24</v>
      </c>
    </row>
    <row r="9" spans="1:18" x14ac:dyDescent="0.2">
      <c r="Q9" s="77">
        <v>4000</v>
      </c>
    </row>
    <row r="10" spans="1:18" ht="15.75" x14ac:dyDescent="0.25">
      <c r="A10" s="554" t="s">
        <v>268</v>
      </c>
      <c r="B10" s="554"/>
      <c r="C10" s="554"/>
      <c r="D10" s="554"/>
      <c r="E10" s="554"/>
      <c r="F10" s="554"/>
      <c r="G10" s="554"/>
      <c r="H10" s="554"/>
      <c r="Q10" s="77">
        <v>2000</v>
      </c>
    </row>
    <row r="11" spans="1:18" x14ac:dyDescent="0.2">
      <c r="B11" s="358">
        <v>44440</v>
      </c>
      <c r="C11" s="358">
        <v>44470</v>
      </c>
      <c r="D11" s="358">
        <v>44501</v>
      </c>
      <c r="E11" s="350">
        <v>44531</v>
      </c>
      <c r="F11" s="350"/>
      <c r="G11" s="349"/>
      <c r="H11" s="351" t="s">
        <v>2</v>
      </c>
      <c r="Q11" s="77">
        <f>SUM(Q9:Q10)</f>
        <v>6000</v>
      </c>
    </row>
    <row r="12" spans="1:18" x14ac:dyDescent="0.2">
      <c r="A12" s="145" t="s">
        <v>269</v>
      </c>
      <c r="B12" s="145"/>
      <c r="C12" s="145"/>
      <c r="D12" s="352">
        <v>133868.96</v>
      </c>
      <c r="E12" s="354">
        <v>94269.77</v>
      </c>
      <c r="F12" s="323"/>
      <c r="H12" s="129">
        <f>SUM(B12:E12)</f>
        <v>228138.72999999998</v>
      </c>
    </row>
    <row r="13" spans="1:18" x14ac:dyDescent="0.2">
      <c r="A13" s="145" t="s">
        <v>270</v>
      </c>
      <c r="B13" s="145"/>
      <c r="C13" s="145"/>
      <c r="D13" s="352">
        <v>76827.039999999994</v>
      </c>
      <c r="E13" s="352"/>
      <c r="F13" s="323"/>
      <c r="H13" s="129">
        <f t="shared" ref="H13:H15" si="1">SUM(B13:E13)</f>
        <v>76827.039999999994</v>
      </c>
      <c r="Q13" s="77">
        <v>1390</v>
      </c>
    </row>
    <row r="14" spans="1:18" x14ac:dyDescent="0.2">
      <c r="A14" s="145" t="s">
        <v>271</v>
      </c>
      <c r="B14" s="145"/>
      <c r="C14" s="145"/>
      <c r="D14" s="352"/>
      <c r="E14" s="149">
        <v>64532.480000000003</v>
      </c>
      <c r="F14" s="323"/>
      <c r="H14" s="129">
        <f t="shared" si="1"/>
        <v>64532.480000000003</v>
      </c>
      <c r="I14" s="344"/>
      <c r="Q14" s="77">
        <f>SUM(Q11:Q13)</f>
        <v>7390</v>
      </c>
    </row>
    <row r="15" spans="1:18" x14ac:dyDescent="0.2">
      <c r="A15" s="145" t="s">
        <v>275</v>
      </c>
      <c r="B15" s="145"/>
      <c r="C15" s="145"/>
      <c r="D15" s="352"/>
      <c r="E15" s="149">
        <v>7879.99</v>
      </c>
      <c r="F15" s="323"/>
      <c r="H15" s="129">
        <f t="shared" si="1"/>
        <v>7879.99</v>
      </c>
      <c r="I15" s="344"/>
    </row>
    <row r="16" spans="1:18" ht="15.75" x14ac:dyDescent="0.25">
      <c r="H16" s="353">
        <f>SUM(H12:H15)</f>
        <v>377378.23999999993</v>
      </c>
      <c r="Q16" s="77">
        <v>2343</v>
      </c>
      <c r="R16" s="77" t="s">
        <v>322</v>
      </c>
    </row>
    <row r="18" spans="1:18" x14ac:dyDescent="0.2">
      <c r="Q18" s="77">
        <f>Q14-Q16</f>
        <v>5047</v>
      </c>
    </row>
    <row r="19" spans="1:18" ht="15.75" x14ac:dyDescent="0.25">
      <c r="A19" s="555" t="s">
        <v>276</v>
      </c>
      <c r="B19" s="555"/>
      <c r="C19" s="555"/>
      <c r="D19" s="555"/>
      <c r="E19" s="556"/>
      <c r="F19" s="555"/>
      <c r="G19" s="555"/>
      <c r="H19" s="555"/>
    </row>
    <row r="20" spans="1:18" x14ac:dyDescent="0.2">
      <c r="B20" s="343"/>
      <c r="C20" s="343"/>
      <c r="D20" s="343"/>
      <c r="E20" s="360"/>
      <c r="F20" s="350">
        <v>44562</v>
      </c>
      <c r="G20" s="349"/>
      <c r="H20" s="351" t="s">
        <v>2</v>
      </c>
      <c r="R20" s="77" t="s">
        <v>323</v>
      </c>
    </row>
    <row r="21" spans="1:18" x14ac:dyDescent="0.2">
      <c r="A21" s="145" t="s">
        <v>273</v>
      </c>
      <c r="B21" s="558"/>
      <c r="C21" s="559"/>
      <c r="D21" s="559"/>
      <c r="E21" s="560"/>
      <c r="F21" s="352">
        <v>94439.53</v>
      </c>
      <c r="H21" s="129">
        <f t="shared" ref="H21" si="2">SUM(E21:F21)</f>
        <v>94439.53</v>
      </c>
      <c r="I21" s="344"/>
    </row>
    <row r="22" spans="1:18" ht="15.75" x14ac:dyDescent="0.25">
      <c r="H22" s="353">
        <f>SUM(H21:H21)</f>
        <v>94439.53</v>
      </c>
    </row>
    <row r="25" spans="1:18" ht="15.75" x14ac:dyDescent="0.25">
      <c r="A25" s="557" t="s">
        <v>274</v>
      </c>
      <c r="B25" s="557"/>
      <c r="C25" s="557"/>
      <c r="D25" s="557"/>
      <c r="E25" s="557"/>
      <c r="F25" s="557"/>
      <c r="G25" s="557"/>
      <c r="H25" s="557"/>
    </row>
    <row r="26" spans="1:18" x14ac:dyDescent="0.2">
      <c r="B26" s="358">
        <v>44440</v>
      </c>
      <c r="C26" s="358">
        <v>44470</v>
      </c>
      <c r="D26" s="358">
        <v>44501</v>
      </c>
      <c r="E26" s="358">
        <v>44531</v>
      </c>
      <c r="F26" s="350">
        <v>44562</v>
      </c>
      <c r="G26" s="349"/>
      <c r="H26" s="351" t="s">
        <v>2</v>
      </c>
      <c r="J26" s="344">
        <f>SUM(J27:J28)</f>
        <v>278001.2</v>
      </c>
    </row>
    <row r="27" spans="1:18" x14ac:dyDescent="0.2">
      <c r="A27" s="145" t="s">
        <v>269</v>
      </c>
      <c r="B27" s="145"/>
      <c r="C27" s="145"/>
      <c r="D27" s="352">
        <v>111318.96</v>
      </c>
      <c r="E27" s="352">
        <f>E12</f>
        <v>94269.77</v>
      </c>
      <c r="F27" s="323"/>
      <c r="H27" s="129">
        <f>SUM(B27:E27)</f>
        <v>205588.73</v>
      </c>
      <c r="I27" s="344"/>
      <c r="J27" s="344">
        <f>H27:H28</f>
        <v>205588.73</v>
      </c>
      <c r="K27" s="434">
        <f>J27/H7</f>
        <v>0.57940351647320976</v>
      </c>
    </row>
    <row r="28" spans="1:18" x14ac:dyDescent="0.2">
      <c r="A28" s="145" t="s">
        <v>270</v>
      </c>
      <c r="B28" s="145"/>
      <c r="C28" s="145"/>
      <c r="D28" s="352">
        <f>D13</f>
        <v>76827.039999999994</v>
      </c>
      <c r="E28" s="352"/>
      <c r="F28" s="323"/>
      <c r="H28" s="129">
        <f>SUM(B28:E28)</f>
        <v>76827.039999999994</v>
      </c>
      <c r="J28" s="323">
        <f>E30+E31</f>
        <v>72412.47</v>
      </c>
      <c r="K28" s="434">
        <f>J28/H7</f>
        <v>0.20407752776385557</v>
      </c>
    </row>
    <row r="29" spans="1:18" x14ac:dyDescent="0.2">
      <c r="A29" s="145" t="s">
        <v>273</v>
      </c>
      <c r="B29" s="145"/>
      <c r="C29" s="145"/>
      <c r="D29" s="352"/>
      <c r="E29" s="352"/>
      <c r="F29" s="352">
        <v>94439.53</v>
      </c>
      <c r="H29" s="129">
        <f>SUM(B29:F29)</f>
        <v>94439.53</v>
      </c>
    </row>
    <row r="30" spans="1:18" x14ac:dyDescent="0.2">
      <c r="A30" s="145" t="s">
        <v>271</v>
      </c>
      <c r="B30" s="145"/>
      <c r="C30" s="145"/>
      <c r="D30" s="352"/>
      <c r="E30" s="149">
        <f>E14</f>
        <v>64532.480000000003</v>
      </c>
      <c r="F30" s="323"/>
      <c r="H30" s="129">
        <f>SUM(B30:E30)</f>
        <v>64532.480000000003</v>
      </c>
    </row>
    <row r="31" spans="1:18" x14ac:dyDescent="0.2">
      <c r="A31" s="145" t="s">
        <v>275</v>
      </c>
      <c r="B31" s="145"/>
      <c r="C31" s="145"/>
      <c r="D31" s="352"/>
      <c r="E31" s="149">
        <f>E15</f>
        <v>7879.99</v>
      </c>
      <c r="H31" s="129">
        <f>SUM(B31:E31)</f>
        <v>7879.99</v>
      </c>
      <c r="I31" s="344"/>
    </row>
    <row r="32" spans="1:18" ht="15.75" x14ac:dyDescent="0.25">
      <c r="H32" s="353">
        <f>SUM(H27:H31)</f>
        <v>449267.77</v>
      </c>
      <c r="I32" s="344">
        <f>H7</f>
        <v>354828.24</v>
      </c>
      <c r="J32" s="344">
        <f>H32-I32</f>
        <v>94439.530000000028</v>
      </c>
    </row>
    <row r="33" spans="4:10" x14ac:dyDescent="0.2">
      <c r="I33" s="344">
        <f>H5</f>
        <v>449301.61</v>
      </c>
      <c r="J33" s="344">
        <f>H32-I33</f>
        <v>-33.839999999967404</v>
      </c>
    </row>
    <row r="35" spans="4:10" x14ac:dyDescent="0.2">
      <c r="D35" s="344"/>
      <c r="E35" s="150">
        <f>E30+E31</f>
        <v>72412.47</v>
      </c>
      <c r="H35" s="344">
        <f>H32-F29</f>
        <v>354828.24</v>
      </c>
    </row>
    <row r="36" spans="4:10" x14ac:dyDescent="0.2">
      <c r="E36" s="344">
        <f>H32-E35</f>
        <v>376855.30000000005</v>
      </c>
    </row>
    <row r="37" spans="4:10" x14ac:dyDescent="0.2">
      <c r="E37" s="77" t="s">
        <v>307</v>
      </c>
      <c r="F37" s="344"/>
      <c r="H37" s="344"/>
    </row>
  </sheetData>
  <mergeCells count="5">
    <mergeCell ref="A10:H10"/>
    <mergeCell ref="A1:H1"/>
    <mergeCell ref="A19:H19"/>
    <mergeCell ref="A25:H25"/>
    <mergeCell ref="B21:E21"/>
  </mergeCells>
  <pageMargins left="0.511811024" right="0.511811024" top="0.78740157499999996" bottom="0.78740157499999996" header="0.31496062000000002" footer="0.31496062000000002"/>
  <pageSetup paperSize="9" scale="98" orientation="landscape" r:id="rId1"/>
  <ignoredErrors>
    <ignoredError sqref="H29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515DF-7A5F-4FD3-BB78-680ABB4CECF1}">
  <dimension ref="A1:L115"/>
  <sheetViews>
    <sheetView topLeftCell="A19" zoomScale="90" zoomScaleNormal="90" workbookViewId="0">
      <selection activeCell="A29" sqref="A29:A30"/>
    </sheetView>
  </sheetViews>
  <sheetFormatPr defaultRowHeight="15.75" x14ac:dyDescent="0.25"/>
  <cols>
    <col min="1" max="1" width="70.42578125" style="179" customWidth="1"/>
    <col min="2" max="2" width="26.85546875" style="179" customWidth="1"/>
    <col min="3" max="3" width="25.7109375" style="179" customWidth="1"/>
    <col min="4" max="4" width="23.28515625" style="179" bestFit="1" customWidth="1"/>
    <col min="5" max="5" width="22.7109375" style="179" bestFit="1" customWidth="1"/>
    <col min="6" max="6" width="24.42578125" style="179" bestFit="1" customWidth="1"/>
    <col min="7" max="7" width="12.7109375" style="179" bestFit="1" customWidth="1"/>
    <col min="8" max="8" width="14.5703125" style="179" bestFit="1" customWidth="1"/>
    <col min="9" max="10" width="12.85546875" style="179" bestFit="1" customWidth="1"/>
    <col min="11" max="11" width="14.28515625" style="179" bestFit="1" customWidth="1"/>
    <col min="12" max="246" width="9.140625" style="179"/>
    <col min="247" max="247" width="33" style="179" customWidth="1"/>
    <col min="248" max="248" width="17.42578125" style="179" customWidth="1"/>
    <col min="249" max="249" width="17.140625" style="179" customWidth="1"/>
    <col min="250" max="250" width="16" style="179" customWidth="1"/>
    <col min="251" max="251" width="16.5703125" style="179" customWidth="1"/>
    <col min="252" max="252" width="16.28515625" style="179" customWidth="1"/>
    <col min="253" max="253" width="18.28515625" style="179" customWidth="1"/>
    <col min="254" max="254" width="17.42578125" style="179" customWidth="1"/>
    <col min="255" max="255" width="15.85546875" style="179" customWidth="1"/>
    <col min="256" max="256" width="17" style="179" customWidth="1"/>
    <col min="257" max="257" width="19.7109375" style="179" customWidth="1"/>
    <col min="258" max="258" width="17.28515625" style="179" customWidth="1"/>
    <col min="259" max="259" width="18.140625" style="179" customWidth="1"/>
    <col min="260" max="260" width="21.7109375" style="179" customWidth="1"/>
    <col min="261" max="261" width="0.42578125" style="179" customWidth="1"/>
    <col min="262" max="262" width="16.140625" style="179" bestFit="1" customWidth="1"/>
    <col min="263" max="263" width="11.5703125" style="179" bestFit="1" customWidth="1"/>
    <col min="264" max="502" width="9.140625" style="179"/>
    <col min="503" max="503" width="33" style="179" customWidth="1"/>
    <col min="504" max="504" width="17.42578125" style="179" customWidth="1"/>
    <col min="505" max="505" width="17.140625" style="179" customWidth="1"/>
    <col min="506" max="506" width="16" style="179" customWidth="1"/>
    <col min="507" max="507" width="16.5703125" style="179" customWidth="1"/>
    <col min="508" max="508" width="16.28515625" style="179" customWidth="1"/>
    <col min="509" max="509" width="18.28515625" style="179" customWidth="1"/>
    <col min="510" max="510" width="17.42578125" style="179" customWidth="1"/>
    <col min="511" max="511" width="15.85546875" style="179" customWidth="1"/>
    <col min="512" max="512" width="17" style="179" customWidth="1"/>
    <col min="513" max="513" width="19.7109375" style="179" customWidth="1"/>
    <col min="514" max="514" width="17.28515625" style="179" customWidth="1"/>
    <col min="515" max="515" width="18.140625" style="179" customWidth="1"/>
    <col min="516" max="516" width="21.7109375" style="179" customWidth="1"/>
    <col min="517" max="517" width="0.42578125" style="179" customWidth="1"/>
    <col min="518" max="518" width="16.140625" style="179" bestFit="1" customWidth="1"/>
    <col min="519" max="519" width="11.5703125" style="179" bestFit="1" customWidth="1"/>
    <col min="520" max="758" width="9.140625" style="179"/>
    <col min="759" max="759" width="33" style="179" customWidth="1"/>
    <col min="760" max="760" width="17.42578125" style="179" customWidth="1"/>
    <col min="761" max="761" width="17.140625" style="179" customWidth="1"/>
    <col min="762" max="762" width="16" style="179" customWidth="1"/>
    <col min="763" max="763" width="16.5703125" style="179" customWidth="1"/>
    <col min="764" max="764" width="16.28515625" style="179" customWidth="1"/>
    <col min="765" max="765" width="18.28515625" style="179" customWidth="1"/>
    <col min="766" max="766" width="17.42578125" style="179" customWidth="1"/>
    <col min="767" max="767" width="15.85546875" style="179" customWidth="1"/>
    <col min="768" max="768" width="17" style="179" customWidth="1"/>
    <col min="769" max="769" width="19.7109375" style="179" customWidth="1"/>
    <col min="770" max="770" width="17.28515625" style="179" customWidth="1"/>
    <col min="771" max="771" width="18.140625" style="179" customWidth="1"/>
    <col min="772" max="772" width="21.7109375" style="179" customWidth="1"/>
    <col min="773" max="773" width="0.42578125" style="179" customWidth="1"/>
    <col min="774" max="774" width="16.140625" style="179" bestFit="1" customWidth="1"/>
    <col min="775" max="775" width="11.5703125" style="179" bestFit="1" customWidth="1"/>
    <col min="776" max="1014" width="9.140625" style="179"/>
    <col min="1015" max="1015" width="33" style="179" customWidth="1"/>
    <col min="1016" max="1016" width="17.42578125" style="179" customWidth="1"/>
    <col min="1017" max="1017" width="17.140625" style="179" customWidth="1"/>
    <col min="1018" max="1018" width="16" style="179" customWidth="1"/>
    <col min="1019" max="1019" width="16.5703125" style="179" customWidth="1"/>
    <col min="1020" max="1020" width="16.28515625" style="179" customWidth="1"/>
    <col min="1021" max="1021" width="18.28515625" style="179" customWidth="1"/>
    <col min="1022" max="1022" width="17.42578125" style="179" customWidth="1"/>
    <col min="1023" max="1023" width="15.85546875" style="179" customWidth="1"/>
    <col min="1024" max="1024" width="17" style="179" customWidth="1"/>
    <col min="1025" max="1025" width="19.7109375" style="179" customWidth="1"/>
    <col min="1026" max="1026" width="17.28515625" style="179" customWidth="1"/>
    <col min="1027" max="1027" width="18.140625" style="179" customWidth="1"/>
    <col min="1028" max="1028" width="21.7109375" style="179" customWidth="1"/>
    <col min="1029" max="1029" width="0.42578125" style="179" customWidth="1"/>
    <col min="1030" max="1030" width="16.140625" style="179" bestFit="1" customWidth="1"/>
    <col min="1031" max="1031" width="11.5703125" style="179" bestFit="1" customWidth="1"/>
    <col min="1032" max="1270" width="9.140625" style="179"/>
    <col min="1271" max="1271" width="33" style="179" customWidth="1"/>
    <col min="1272" max="1272" width="17.42578125" style="179" customWidth="1"/>
    <col min="1273" max="1273" width="17.140625" style="179" customWidth="1"/>
    <col min="1274" max="1274" width="16" style="179" customWidth="1"/>
    <col min="1275" max="1275" width="16.5703125" style="179" customWidth="1"/>
    <col min="1276" max="1276" width="16.28515625" style="179" customWidth="1"/>
    <col min="1277" max="1277" width="18.28515625" style="179" customWidth="1"/>
    <col min="1278" max="1278" width="17.42578125" style="179" customWidth="1"/>
    <col min="1279" max="1279" width="15.85546875" style="179" customWidth="1"/>
    <col min="1280" max="1280" width="17" style="179" customWidth="1"/>
    <col min="1281" max="1281" width="19.7109375" style="179" customWidth="1"/>
    <col min="1282" max="1282" width="17.28515625" style="179" customWidth="1"/>
    <col min="1283" max="1283" width="18.140625" style="179" customWidth="1"/>
    <col min="1284" max="1284" width="21.7109375" style="179" customWidth="1"/>
    <col min="1285" max="1285" width="0.42578125" style="179" customWidth="1"/>
    <col min="1286" max="1286" width="16.140625" style="179" bestFit="1" customWidth="1"/>
    <col min="1287" max="1287" width="11.5703125" style="179" bestFit="1" customWidth="1"/>
    <col min="1288" max="1526" width="9.140625" style="179"/>
    <col min="1527" max="1527" width="33" style="179" customWidth="1"/>
    <col min="1528" max="1528" width="17.42578125" style="179" customWidth="1"/>
    <col min="1529" max="1529" width="17.140625" style="179" customWidth="1"/>
    <col min="1530" max="1530" width="16" style="179" customWidth="1"/>
    <col min="1531" max="1531" width="16.5703125" style="179" customWidth="1"/>
    <col min="1532" max="1532" width="16.28515625" style="179" customWidth="1"/>
    <col min="1533" max="1533" width="18.28515625" style="179" customWidth="1"/>
    <col min="1534" max="1534" width="17.42578125" style="179" customWidth="1"/>
    <col min="1535" max="1535" width="15.85546875" style="179" customWidth="1"/>
    <col min="1536" max="1536" width="17" style="179" customWidth="1"/>
    <col min="1537" max="1537" width="19.7109375" style="179" customWidth="1"/>
    <col min="1538" max="1538" width="17.28515625" style="179" customWidth="1"/>
    <col min="1539" max="1539" width="18.140625" style="179" customWidth="1"/>
    <col min="1540" max="1540" width="21.7109375" style="179" customWidth="1"/>
    <col min="1541" max="1541" width="0.42578125" style="179" customWidth="1"/>
    <col min="1542" max="1542" width="16.140625" style="179" bestFit="1" customWidth="1"/>
    <col min="1543" max="1543" width="11.5703125" style="179" bestFit="1" customWidth="1"/>
    <col min="1544" max="1782" width="9.140625" style="179"/>
    <col min="1783" max="1783" width="33" style="179" customWidth="1"/>
    <col min="1784" max="1784" width="17.42578125" style="179" customWidth="1"/>
    <col min="1785" max="1785" width="17.140625" style="179" customWidth="1"/>
    <col min="1786" max="1786" width="16" style="179" customWidth="1"/>
    <col min="1787" max="1787" width="16.5703125" style="179" customWidth="1"/>
    <col min="1788" max="1788" width="16.28515625" style="179" customWidth="1"/>
    <col min="1789" max="1789" width="18.28515625" style="179" customWidth="1"/>
    <col min="1790" max="1790" width="17.42578125" style="179" customWidth="1"/>
    <col min="1791" max="1791" width="15.85546875" style="179" customWidth="1"/>
    <col min="1792" max="1792" width="17" style="179" customWidth="1"/>
    <col min="1793" max="1793" width="19.7109375" style="179" customWidth="1"/>
    <col min="1794" max="1794" width="17.28515625" style="179" customWidth="1"/>
    <col min="1795" max="1795" width="18.140625" style="179" customWidth="1"/>
    <col min="1796" max="1796" width="21.7109375" style="179" customWidth="1"/>
    <col min="1797" max="1797" width="0.42578125" style="179" customWidth="1"/>
    <col min="1798" max="1798" width="16.140625" style="179" bestFit="1" customWidth="1"/>
    <col min="1799" max="1799" width="11.5703125" style="179" bestFit="1" customWidth="1"/>
    <col min="1800" max="2038" width="9.140625" style="179"/>
    <col min="2039" max="2039" width="33" style="179" customWidth="1"/>
    <col min="2040" max="2040" width="17.42578125" style="179" customWidth="1"/>
    <col min="2041" max="2041" width="17.140625" style="179" customWidth="1"/>
    <col min="2042" max="2042" width="16" style="179" customWidth="1"/>
    <col min="2043" max="2043" width="16.5703125" style="179" customWidth="1"/>
    <col min="2044" max="2044" width="16.28515625" style="179" customWidth="1"/>
    <col min="2045" max="2045" width="18.28515625" style="179" customWidth="1"/>
    <col min="2046" max="2046" width="17.42578125" style="179" customWidth="1"/>
    <col min="2047" max="2047" width="15.85546875" style="179" customWidth="1"/>
    <col min="2048" max="2048" width="17" style="179" customWidth="1"/>
    <col min="2049" max="2049" width="19.7109375" style="179" customWidth="1"/>
    <col min="2050" max="2050" width="17.28515625" style="179" customWidth="1"/>
    <col min="2051" max="2051" width="18.140625" style="179" customWidth="1"/>
    <col min="2052" max="2052" width="21.7109375" style="179" customWidth="1"/>
    <col min="2053" max="2053" width="0.42578125" style="179" customWidth="1"/>
    <col min="2054" max="2054" width="16.140625" style="179" bestFit="1" customWidth="1"/>
    <col min="2055" max="2055" width="11.5703125" style="179" bestFit="1" customWidth="1"/>
    <col min="2056" max="2294" width="9.140625" style="179"/>
    <col min="2295" max="2295" width="33" style="179" customWidth="1"/>
    <col min="2296" max="2296" width="17.42578125" style="179" customWidth="1"/>
    <col min="2297" max="2297" width="17.140625" style="179" customWidth="1"/>
    <col min="2298" max="2298" width="16" style="179" customWidth="1"/>
    <col min="2299" max="2299" width="16.5703125" style="179" customWidth="1"/>
    <col min="2300" max="2300" width="16.28515625" style="179" customWidth="1"/>
    <col min="2301" max="2301" width="18.28515625" style="179" customWidth="1"/>
    <col min="2302" max="2302" width="17.42578125" style="179" customWidth="1"/>
    <col min="2303" max="2303" width="15.85546875" style="179" customWidth="1"/>
    <col min="2304" max="2304" width="17" style="179" customWidth="1"/>
    <col min="2305" max="2305" width="19.7109375" style="179" customWidth="1"/>
    <col min="2306" max="2306" width="17.28515625" style="179" customWidth="1"/>
    <col min="2307" max="2307" width="18.140625" style="179" customWidth="1"/>
    <col min="2308" max="2308" width="21.7109375" style="179" customWidth="1"/>
    <col min="2309" max="2309" width="0.42578125" style="179" customWidth="1"/>
    <col min="2310" max="2310" width="16.140625" style="179" bestFit="1" customWidth="1"/>
    <col min="2311" max="2311" width="11.5703125" style="179" bestFit="1" customWidth="1"/>
    <col min="2312" max="2550" width="9.140625" style="179"/>
    <col min="2551" max="2551" width="33" style="179" customWidth="1"/>
    <col min="2552" max="2552" width="17.42578125" style="179" customWidth="1"/>
    <col min="2553" max="2553" width="17.140625" style="179" customWidth="1"/>
    <col min="2554" max="2554" width="16" style="179" customWidth="1"/>
    <col min="2555" max="2555" width="16.5703125" style="179" customWidth="1"/>
    <col min="2556" max="2556" width="16.28515625" style="179" customWidth="1"/>
    <col min="2557" max="2557" width="18.28515625" style="179" customWidth="1"/>
    <col min="2558" max="2558" width="17.42578125" style="179" customWidth="1"/>
    <col min="2559" max="2559" width="15.85546875" style="179" customWidth="1"/>
    <col min="2560" max="2560" width="17" style="179" customWidth="1"/>
    <col min="2561" max="2561" width="19.7109375" style="179" customWidth="1"/>
    <col min="2562" max="2562" width="17.28515625" style="179" customWidth="1"/>
    <col min="2563" max="2563" width="18.140625" style="179" customWidth="1"/>
    <col min="2564" max="2564" width="21.7109375" style="179" customWidth="1"/>
    <col min="2565" max="2565" width="0.42578125" style="179" customWidth="1"/>
    <col min="2566" max="2566" width="16.140625" style="179" bestFit="1" customWidth="1"/>
    <col min="2567" max="2567" width="11.5703125" style="179" bestFit="1" customWidth="1"/>
    <col min="2568" max="2806" width="9.140625" style="179"/>
    <col min="2807" max="2807" width="33" style="179" customWidth="1"/>
    <col min="2808" max="2808" width="17.42578125" style="179" customWidth="1"/>
    <col min="2809" max="2809" width="17.140625" style="179" customWidth="1"/>
    <col min="2810" max="2810" width="16" style="179" customWidth="1"/>
    <col min="2811" max="2811" width="16.5703125" style="179" customWidth="1"/>
    <col min="2812" max="2812" width="16.28515625" style="179" customWidth="1"/>
    <col min="2813" max="2813" width="18.28515625" style="179" customWidth="1"/>
    <col min="2814" max="2814" width="17.42578125" style="179" customWidth="1"/>
    <col min="2815" max="2815" width="15.85546875" style="179" customWidth="1"/>
    <col min="2816" max="2816" width="17" style="179" customWidth="1"/>
    <col min="2817" max="2817" width="19.7109375" style="179" customWidth="1"/>
    <col min="2818" max="2818" width="17.28515625" style="179" customWidth="1"/>
    <col min="2819" max="2819" width="18.140625" style="179" customWidth="1"/>
    <col min="2820" max="2820" width="21.7109375" style="179" customWidth="1"/>
    <col min="2821" max="2821" width="0.42578125" style="179" customWidth="1"/>
    <col min="2822" max="2822" width="16.140625" style="179" bestFit="1" customWidth="1"/>
    <col min="2823" max="2823" width="11.5703125" style="179" bestFit="1" customWidth="1"/>
    <col min="2824" max="3062" width="9.140625" style="179"/>
    <col min="3063" max="3063" width="33" style="179" customWidth="1"/>
    <col min="3064" max="3064" width="17.42578125" style="179" customWidth="1"/>
    <col min="3065" max="3065" width="17.140625" style="179" customWidth="1"/>
    <col min="3066" max="3066" width="16" style="179" customWidth="1"/>
    <col min="3067" max="3067" width="16.5703125" style="179" customWidth="1"/>
    <col min="3068" max="3068" width="16.28515625" style="179" customWidth="1"/>
    <col min="3069" max="3069" width="18.28515625" style="179" customWidth="1"/>
    <col min="3070" max="3070" width="17.42578125" style="179" customWidth="1"/>
    <col min="3071" max="3071" width="15.85546875" style="179" customWidth="1"/>
    <col min="3072" max="3072" width="17" style="179" customWidth="1"/>
    <col min="3073" max="3073" width="19.7109375" style="179" customWidth="1"/>
    <col min="3074" max="3074" width="17.28515625" style="179" customWidth="1"/>
    <col min="3075" max="3075" width="18.140625" style="179" customWidth="1"/>
    <col min="3076" max="3076" width="21.7109375" style="179" customWidth="1"/>
    <col min="3077" max="3077" width="0.42578125" style="179" customWidth="1"/>
    <col min="3078" max="3078" width="16.140625" style="179" bestFit="1" customWidth="1"/>
    <col min="3079" max="3079" width="11.5703125" style="179" bestFit="1" customWidth="1"/>
    <col min="3080" max="3318" width="9.140625" style="179"/>
    <col min="3319" max="3319" width="33" style="179" customWidth="1"/>
    <col min="3320" max="3320" width="17.42578125" style="179" customWidth="1"/>
    <col min="3321" max="3321" width="17.140625" style="179" customWidth="1"/>
    <col min="3322" max="3322" width="16" style="179" customWidth="1"/>
    <col min="3323" max="3323" width="16.5703125" style="179" customWidth="1"/>
    <col min="3324" max="3324" width="16.28515625" style="179" customWidth="1"/>
    <col min="3325" max="3325" width="18.28515625" style="179" customWidth="1"/>
    <col min="3326" max="3326" width="17.42578125" style="179" customWidth="1"/>
    <col min="3327" max="3327" width="15.85546875" style="179" customWidth="1"/>
    <col min="3328" max="3328" width="17" style="179" customWidth="1"/>
    <col min="3329" max="3329" width="19.7109375" style="179" customWidth="1"/>
    <col min="3330" max="3330" width="17.28515625" style="179" customWidth="1"/>
    <col min="3331" max="3331" width="18.140625" style="179" customWidth="1"/>
    <col min="3332" max="3332" width="21.7109375" style="179" customWidth="1"/>
    <col min="3333" max="3333" width="0.42578125" style="179" customWidth="1"/>
    <col min="3334" max="3334" width="16.140625" style="179" bestFit="1" customWidth="1"/>
    <col min="3335" max="3335" width="11.5703125" style="179" bestFit="1" customWidth="1"/>
    <col min="3336" max="3574" width="9.140625" style="179"/>
    <col min="3575" max="3575" width="33" style="179" customWidth="1"/>
    <col min="3576" max="3576" width="17.42578125" style="179" customWidth="1"/>
    <col min="3577" max="3577" width="17.140625" style="179" customWidth="1"/>
    <col min="3578" max="3578" width="16" style="179" customWidth="1"/>
    <col min="3579" max="3579" width="16.5703125" style="179" customWidth="1"/>
    <col min="3580" max="3580" width="16.28515625" style="179" customWidth="1"/>
    <col min="3581" max="3581" width="18.28515625" style="179" customWidth="1"/>
    <col min="3582" max="3582" width="17.42578125" style="179" customWidth="1"/>
    <col min="3583" max="3583" width="15.85546875" style="179" customWidth="1"/>
    <col min="3584" max="3584" width="17" style="179" customWidth="1"/>
    <col min="3585" max="3585" width="19.7109375" style="179" customWidth="1"/>
    <col min="3586" max="3586" width="17.28515625" style="179" customWidth="1"/>
    <col min="3587" max="3587" width="18.140625" style="179" customWidth="1"/>
    <col min="3588" max="3588" width="21.7109375" style="179" customWidth="1"/>
    <col min="3589" max="3589" width="0.42578125" style="179" customWidth="1"/>
    <col min="3590" max="3590" width="16.140625" style="179" bestFit="1" customWidth="1"/>
    <col min="3591" max="3591" width="11.5703125" style="179" bestFit="1" customWidth="1"/>
    <col min="3592" max="3830" width="9.140625" style="179"/>
    <col min="3831" max="3831" width="33" style="179" customWidth="1"/>
    <col min="3832" max="3832" width="17.42578125" style="179" customWidth="1"/>
    <col min="3833" max="3833" width="17.140625" style="179" customWidth="1"/>
    <col min="3834" max="3834" width="16" style="179" customWidth="1"/>
    <col min="3835" max="3835" width="16.5703125" style="179" customWidth="1"/>
    <col min="3836" max="3836" width="16.28515625" style="179" customWidth="1"/>
    <col min="3837" max="3837" width="18.28515625" style="179" customWidth="1"/>
    <col min="3838" max="3838" width="17.42578125" style="179" customWidth="1"/>
    <col min="3839" max="3839" width="15.85546875" style="179" customWidth="1"/>
    <col min="3840" max="3840" width="17" style="179" customWidth="1"/>
    <col min="3841" max="3841" width="19.7109375" style="179" customWidth="1"/>
    <col min="3842" max="3842" width="17.28515625" style="179" customWidth="1"/>
    <col min="3843" max="3843" width="18.140625" style="179" customWidth="1"/>
    <col min="3844" max="3844" width="21.7109375" style="179" customWidth="1"/>
    <col min="3845" max="3845" width="0.42578125" style="179" customWidth="1"/>
    <col min="3846" max="3846" width="16.140625" style="179" bestFit="1" customWidth="1"/>
    <col min="3847" max="3847" width="11.5703125" style="179" bestFit="1" customWidth="1"/>
    <col min="3848" max="4086" width="9.140625" style="179"/>
    <col min="4087" max="4087" width="33" style="179" customWidth="1"/>
    <col min="4088" max="4088" width="17.42578125" style="179" customWidth="1"/>
    <col min="4089" max="4089" width="17.140625" style="179" customWidth="1"/>
    <col min="4090" max="4090" width="16" style="179" customWidth="1"/>
    <col min="4091" max="4091" width="16.5703125" style="179" customWidth="1"/>
    <col min="4092" max="4092" width="16.28515625" style="179" customWidth="1"/>
    <col min="4093" max="4093" width="18.28515625" style="179" customWidth="1"/>
    <col min="4094" max="4094" width="17.42578125" style="179" customWidth="1"/>
    <col min="4095" max="4095" width="15.85546875" style="179" customWidth="1"/>
    <col min="4096" max="4096" width="17" style="179" customWidth="1"/>
    <col min="4097" max="4097" width="19.7109375" style="179" customWidth="1"/>
    <col min="4098" max="4098" width="17.28515625" style="179" customWidth="1"/>
    <col min="4099" max="4099" width="18.140625" style="179" customWidth="1"/>
    <col min="4100" max="4100" width="21.7109375" style="179" customWidth="1"/>
    <col min="4101" max="4101" width="0.42578125" style="179" customWidth="1"/>
    <col min="4102" max="4102" width="16.140625" style="179" bestFit="1" customWidth="1"/>
    <col min="4103" max="4103" width="11.5703125" style="179" bestFit="1" customWidth="1"/>
    <col min="4104" max="4342" width="9.140625" style="179"/>
    <col min="4343" max="4343" width="33" style="179" customWidth="1"/>
    <col min="4344" max="4344" width="17.42578125" style="179" customWidth="1"/>
    <col min="4345" max="4345" width="17.140625" style="179" customWidth="1"/>
    <col min="4346" max="4346" width="16" style="179" customWidth="1"/>
    <col min="4347" max="4347" width="16.5703125" style="179" customWidth="1"/>
    <col min="4348" max="4348" width="16.28515625" style="179" customWidth="1"/>
    <col min="4349" max="4349" width="18.28515625" style="179" customWidth="1"/>
    <col min="4350" max="4350" width="17.42578125" style="179" customWidth="1"/>
    <col min="4351" max="4351" width="15.85546875" style="179" customWidth="1"/>
    <col min="4352" max="4352" width="17" style="179" customWidth="1"/>
    <col min="4353" max="4353" width="19.7109375" style="179" customWidth="1"/>
    <col min="4354" max="4354" width="17.28515625" style="179" customWidth="1"/>
    <col min="4355" max="4355" width="18.140625" style="179" customWidth="1"/>
    <col min="4356" max="4356" width="21.7109375" style="179" customWidth="1"/>
    <col min="4357" max="4357" width="0.42578125" style="179" customWidth="1"/>
    <col min="4358" max="4358" width="16.140625" style="179" bestFit="1" customWidth="1"/>
    <col min="4359" max="4359" width="11.5703125" style="179" bestFit="1" customWidth="1"/>
    <col min="4360" max="4598" width="9.140625" style="179"/>
    <col min="4599" max="4599" width="33" style="179" customWidth="1"/>
    <col min="4600" max="4600" width="17.42578125" style="179" customWidth="1"/>
    <col min="4601" max="4601" width="17.140625" style="179" customWidth="1"/>
    <col min="4602" max="4602" width="16" style="179" customWidth="1"/>
    <col min="4603" max="4603" width="16.5703125" style="179" customWidth="1"/>
    <col min="4604" max="4604" width="16.28515625" style="179" customWidth="1"/>
    <col min="4605" max="4605" width="18.28515625" style="179" customWidth="1"/>
    <col min="4606" max="4606" width="17.42578125" style="179" customWidth="1"/>
    <col min="4607" max="4607" width="15.85546875" style="179" customWidth="1"/>
    <col min="4608" max="4608" width="17" style="179" customWidth="1"/>
    <col min="4609" max="4609" width="19.7109375" style="179" customWidth="1"/>
    <col min="4610" max="4610" width="17.28515625" style="179" customWidth="1"/>
    <col min="4611" max="4611" width="18.140625" style="179" customWidth="1"/>
    <col min="4612" max="4612" width="21.7109375" style="179" customWidth="1"/>
    <col min="4613" max="4613" width="0.42578125" style="179" customWidth="1"/>
    <col min="4614" max="4614" width="16.140625" style="179" bestFit="1" customWidth="1"/>
    <col min="4615" max="4615" width="11.5703125" style="179" bestFit="1" customWidth="1"/>
    <col min="4616" max="4854" width="9.140625" style="179"/>
    <col min="4855" max="4855" width="33" style="179" customWidth="1"/>
    <col min="4856" max="4856" width="17.42578125" style="179" customWidth="1"/>
    <col min="4857" max="4857" width="17.140625" style="179" customWidth="1"/>
    <col min="4858" max="4858" width="16" style="179" customWidth="1"/>
    <col min="4859" max="4859" width="16.5703125" style="179" customWidth="1"/>
    <col min="4860" max="4860" width="16.28515625" style="179" customWidth="1"/>
    <col min="4861" max="4861" width="18.28515625" style="179" customWidth="1"/>
    <col min="4862" max="4862" width="17.42578125" style="179" customWidth="1"/>
    <col min="4863" max="4863" width="15.85546875" style="179" customWidth="1"/>
    <col min="4864" max="4864" width="17" style="179" customWidth="1"/>
    <col min="4865" max="4865" width="19.7109375" style="179" customWidth="1"/>
    <col min="4866" max="4866" width="17.28515625" style="179" customWidth="1"/>
    <col min="4867" max="4867" width="18.140625" style="179" customWidth="1"/>
    <col min="4868" max="4868" width="21.7109375" style="179" customWidth="1"/>
    <col min="4869" max="4869" width="0.42578125" style="179" customWidth="1"/>
    <col min="4870" max="4870" width="16.140625" style="179" bestFit="1" customWidth="1"/>
    <col min="4871" max="4871" width="11.5703125" style="179" bestFit="1" customWidth="1"/>
    <col min="4872" max="5110" width="9.140625" style="179"/>
    <col min="5111" max="5111" width="33" style="179" customWidth="1"/>
    <col min="5112" max="5112" width="17.42578125" style="179" customWidth="1"/>
    <col min="5113" max="5113" width="17.140625" style="179" customWidth="1"/>
    <col min="5114" max="5114" width="16" style="179" customWidth="1"/>
    <col min="5115" max="5115" width="16.5703125" style="179" customWidth="1"/>
    <col min="5116" max="5116" width="16.28515625" style="179" customWidth="1"/>
    <col min="5117" max="5117" width="18.28515625" style="179" customWidth="1"/>
    <col min="5118" max="5118" width="17.42578125" style="179" customWidth="1"/>
    <col min="5119" max="5119" width="15.85546875" style="179" customWidth="1"/>
    <col min="5120" max="5120" width="17" style="179" customWidth="1"/>
    <col min="5121" max="5121" width="19.7109375" style="179" customWidth="1"/>
    <col min="5122" max="5122" width="17.28515625" style="179" customWidth="1"/>
    <col min="5123" max="5123" width="18.140625" style="179" customWidth="1"/>
    <col min="5124" max="5124" width="21.7109375" style="179" customWidth="1"/>
    <col min="5125" max="5125" width="0.42578125" style="179" customWidth="1"/>
    <col min="5126" max="5126" width="16.140625" style="179" bestFit="1" customWidth="1"/>
    <col min="5127" max="5127" width="11.5703125" style="179" bestFit="1" customWidth="1"/>
    <col min="5128" max="5366" width="9.140625" style="179"/>
    <col min="5367" max="5367" width="33" style="179" customWidth="1"/>
    <col min="5368" max="5368" width="17.42578125" style="179" customWidth="1"/>
    <col min="5369" max="5369" width="17.140625" style="179" customWidth="1"/>
    <col min="5370" max="5370" width="16" style="179" customWidth="1"/>
    <col min="5371" max="5371" width="16.5703125" style="179" customWidth="1"/>
    <col min="5372" max="5372" width="16.28515625" style="179" customWidth="1"/>
    <col min="5373" max="5373" width="18.28515625" style="179" customWidth="1"/>
    <col min="5374" max="5374" width="17.42578125" style="179" customWidth="1"/>
    <col min="5375" max="5375" width="15.85546875" style="179" customWidth="1"/>
    <col min="5376" max="5376" width="17" style="179" customWidth="1"/>
    <col min="5377" max="5377" width="19.7109375" style="179" customWidth="1"/>
    <col min="5378" max="5378" width="17.28515625" style="179" customWidth="1"/>
    <col min="5379" max="5379" width="18.140625" style="179" customWidth="1"/>
    <col min="5380" max="5380" width="21.7109375" style="179" customWidth="1"/>
    <col min="5381" max="5381" width="0.42578125" style="179" customWidth="1"/>
    <col min="5382" max="5382" width="16.140625" style="179" bestFit="1" customWidth="1"/>
    <col min="5383" max="5383" width="11.5703125" style="179" bestFit="1" customWidth="1"/>
    <col min="5384" max="5622" width="9.140625" style="179"/>
    <col min="5623" max="5623" width="33" style="179" customWidth="1"/>
    <col min="5624" max="5624" width="17.42578125" style="179" customWidth="1"/>
    <col min="5625" max="5625" width="17.140625" style="179" customWidth="1"/>
    <col min="5626" max="5626" width="16" style="179" customWidth="1"/>
    <col min="5627" max="5627" width="16.5703125" style="179" customWidth="1"/>
    <col min="5628" max="5628" width="16.28515625" style="179" customWidth="1"/>
    <col min="5629" max="5629" width="18.28515625" style="179" customWidth="1"/>
    <col min="5630" max="5630" width="17.42578125" style="179" customWidth="1"/>
    <col min="5631" max="5631" width="15.85546875" style="179" customWidth="1"/>
    <col min="5632" max="5632" width="17" style="179" customWidth="1"/>
    <col min="5633" max="5633" width="19.7109375" style="179" customWidth="1"/>
    <col min="5634" max="5634" width="17.28515625" style="179" customWidth="1"/>
    <col min="5635" max="5635" width="18.140625" style="179" customWidth="1"/>
    <col min="5636" max="5636" width="21.7109375" style="179" customWidth="1"/>
    <col min="5637" max="5637" width="0.42578125" style="179" customWidth="1"/>
    <col min="5638" max="5638" width="16.140625" style="179" bestFit="1" customWidth="1"/>
    <col min="5639" max="5639" width="11.5703125" style="179" bestFit="1" customWidth="1"/>
    <col min="5640" max="5878" width="9.140625" style="179"/>
    <col min="5879" max="5879" width="33" style="179" customWidth="1"/>
    <col min="5880" max="5880" width="17.42578125" style="179" customWidth="1"/>
    <col min="5881" max="5881" width="17.140625" style="179" customWidth="1"/>
    <col min="5882" max="5882" width="16" style="179" customWidth="1"/>
    <col min="5883" max="5883" width="16.5703125" style="179" customWidth="1"/>
    <col min="5884" max="5884" width="16.28515625" style="179" customWidth="1"/>
    <col min="5885" max="5885" width="18.28515625" style="179" customWidth="1"/>
    <col min="5886" max="5886" width="17.42578125" style="179" customWidth="1"/>
    <col min="5887" max="5887" width="15.85546875" style="179" customWidth="1"/>
    <col min="5888" max="5888" width="17" style="179" customWidth="1"/>
    <col min="5889" max="5889" width="19.7109375" style="179" customWidth="1"/>
    <col min="5890" max="5890" width="17.28515625" style="179" customWidth="1"/>
    <col min="5891" max="5891" width="18.140625" style="179" customWidth="1"/>
    <col min="5892" max="5892" width="21.7109375" style="179" customWidth="1"/>
    <col min="5893" max="5893" width="0.42578125" style="179" customWidth="1"/>
    <col min="5894" max="5894" width="16.140625" style="179" bestFit="1" customWidth="1"/>
    <col min="5895" max="5895" width="11.5703125" style="179" bestFit="1" customWidth="1"/>
    <col min="5896" max="6134" width="9.140625" style="179"/>
    <col min="6135" max="6135" width="33" style="179" customWidth="1"/>
    <col min="6136" max="6136" width="17.42578125" style="179" customWidth="1"/>
    <col min="6137" max="6137" width="17.140625" style="179" customWidth="1"/>
    <col min="6138" max="6138" width="16" style="179" customWidth="1"/>
    <col min="6139" max="6139" width="16.5703125" style="179" customWidth="1"/>
    <col min="6140" max="6140" width="16.28515625" style="179" customWidth="1"/>
    <col min="6141" max="6141" width="18.28515625" style="179" customWidth="1"/>
    <col min="6142" max="6142" width="17.42578125" style="179" customWidth="1"/>
    <col min="6143" max="6143" width="15.85546875" style="179" customWidth="1"/>
    <col min="6144" max="6144" width="17" style="179" customWidth="1"/>
    <col min="6145" max="6145" width="19.7109375" style="179" customWidth="1"/>
    <col min="6146" max="6146" width="17.28515625" style="179" customWidth="1"/>
    <col min="6147" max="6147" width="18.140625" style="179" customWidth="1"/>
    <col min="6148" max="6148" width="21.7109375" style="179" customWidth="1"/>
    <col min="6149" max="6149" width="0.42578125" style="179" customWidth="1"/>
    <col min="6150" max="6150" width="16.140625" style="179" bestFit="1" customWidth="1"/>
    <col min="6151" max="6151" width="11.5703125" style="179" bestFit="1" customWidth="1"/>
    <col min="6152" max="6390" width="9.140625" style="179"/>
    <col min="6391" max="6391" width="33" style="179" customWidth="1"/>
    <col min="6392" max="6392" width="17.42578125" style="179" customWidth="1"/>
    <col min="6393" max="6393" width="17.140625" style="179" customWidth="1"/>
    <col min="6394" max="6394" width="16" style="179" customWidth="1"/>
    <col min="6395" max="6395" width="16.5703125" style="179" customWidth="1"/>
    <col min="6396" max="6396" width="16.28515625" style="179" customWidth="1"/>
    <col min="6397" max="6397" width="18.28515625" style="179" customWidth="1"/>
    <col min="6398" max="6398" width="17.42578125" style="179" customWidth="1"/>
    <col min="6399" max="6399" width="15.85546875" style="179" customWidth="1"/>
    <col min="6400" max="6400" width="17" style="179" customWidth="1"/>
    <col min="6401" max="6401" width="19.7109375" style="179" customWidth="1"/>
    <col min="6402" max="6402" width="17.28515625" style="179" customWidth="1"/>
    <col min="6403" max="6403" width="18.140625" style="179" customWidth="1"/>
    <col min="6404" max="6404" width="21.7109375" style="179" customWidth="1"/>
    <col min="6405" max="6405" width="0.42578125" style="179" customWidth="1"/>
    <col min="6406" max="6406" width="16.140625" style="179" bestFit="1" customWidth="1"/>
    <col min="6407" max="6407" width="11.5703125" style="179" bestFit="1" customWidth="1"/>
    <col min="6408" max="6646" width="9.140625" style="179"/>
    <col min="6647" max="6647" width="33" style="179" customWidth="1"/>
    <col min="6648" max="6648" width="17.42578125" style="179" customWidth="1"/>
    <col min="6649" max="6649" width="17.140625" style="179" customWidth="1"/>
    <col min="6650" max="6650" width="16" style="179" customWidth="1"/>
    <col min="6651" max="6651" width="16.5703125" style="179" customWidth="1"/>
    <col min="6652" max="6652" width="16.28515625" style="179" customWidth="1"/>
    <col min="6653" max="6653" width="18.28515625" style="179" customWidth="1"/>
    <col min="6654" max="6654" width="17.42578125" style="179" customWidth="1"/>
    <col min="6655" max="6655" width="15.85546875" style="179" customWidth="1"/>
    <col min="6656" max="6656" width="17" style="179" customWidth="1"/>
    <col min="6657" max="6657" width="19.7109375" style="179" customWidth="1"/>
    <col min="6658" max="6658" width="17.28515625" style="179" customWidth="1"/>
    <col min="6659" max="6659" width="18.140625" style="179" customWidth="1"/>
    <col min="6660" max="6660" width="21.7109375" style="179" customWidth="1"/>
    <col min="6661" max="6661" width="0.42578125" style="179" customWidth="1"/>
    <col min="6662" max="6662" width="16.140625" style="179" bestFit="1" customWidth="1"/>
    <col min="6663" max="6663" width="11.5703125" style="179" bestFit="1" customWidth="1"/>
    <col min="6664" max="6902" width="9.140625" style="179"/>
    <col min="6903" max="6903" width="33" style="179" customWidth="1"/>
    <col min="6904" max="6904" width="17.42578125" style="179" customWidth="1"/>
    <col min="6905" max="6905" width="17.140625" style="179" customWidth="1"/>
    <col min="6906" max="6906" width="16" style="179" customWidth="1"/>
    <col min="6907" max="6907" width="16.5703125" style="179" customWidth="1"/>
    <col min="6908" max="6908" width="16.28515625" style="179" customWidth="1"/>
    <col min="6909" max="6909" width="18.28515625" style="179" customWidth="1"/>
    <col min="6910" max="6910" width="17.42578125" style="179" customWidth="1"/>
    <col min="6911" max="6911" width="15.85546875" style="179" customWidth="1"/>
    <col min="6912" max="6912" width="17" style="179" customWidth="1"/>
    <col min="6913" max="6913" width="19.7109375" style="179" customWidth="1"/>
    <col min="6914" max="6914" width="17.28515625" style="179" customWidth="1"/>
    <col min="6915" max="6915" width="18.140625" style="179" customWidth="1"/>
    <col min="6916" max="6916" width="21.7109375" style="179" customWidth="1"/>
    <col min="6917" max="6917" width="0.42578125" style="179" customWidth="1"/>
    <col min="6918" max="6918" width="16.140625" style="179" bestFit="1" customWidth="1"/>
    <col min="6919" max="6919" width="11.5703125" style="179" bestFit="1" customWidth="1"/>
    <col min="6920" max="7158" width="9.140625" style="179"/>
    <col min="7159" max="7159" width="33" style="179" customWidth="1"/>
    <col min="7160" max="7160" width="17.42578125" style="179" customWidth="1"/>
    <col min="7161" max="7161" width="17.140625" style="179" customWidth="1"/>
    <col min="7162" max="7162" width="16" style="179" customWidth="1"/>
    <col min="7163" max="7163" width="16.5703125" style="179" customWidth="1"/>
    <col min="7164" max="7164" width="16.28515625" style="179" customWidth="1"/>
    <col min="7165" max="7165" width="18.28515625" style="179" customWidth="1"/>
    <col min="7166" max="7166" width="17.42578125" style="179" customWidth="1"/>
    <col min="7167" max="7167" width="15.85546875" style="179" customWidth="1"/>
    <col min="7168" max="7168" width="17" style="179" customWidth="1"/>
    <col min="7169" max="7169" width="19.7109375" style="179" customWidth="1"/>
    <col min="7170" max="7170" width="17.28515625" style="179" customWidth="1"/>
    <col min="7171" max="7171" width="18.140625" style="179" customWidth="1"/>
    <col min="7172" max="7172" width="21.7109375" style="179" customWidth="1"/>
    <col min="7173" max="7173" width="0.42578125" style="179" customWidth="1"/>
    <col min="7174" max="7174" width="16.140625" style="179" bestFit="1" customWidth="1"/>
    <col min="7175" max="7175" width="11.5703125" style="179" bestFit="1" customWidth="1"/>
    <col min="7176" max="7414" width="9.140625" style="179"/>
    <col min="7415" max="7415" width="33" style="179" customWidth="1"/>
    <col min="7416" max="7416" width="17.42578125" style="179" customWidth="1"/>
    <col min="7417" max="7417" width="17.140625" style="179" customWidth="1"/>
    <col min="7418" max="7418" width="16" style="179" customWidth="1"/>
    <col min="7419" max="7419" width="16.5703125" style="179" customWidth="1"/>
    <col min="7420" max="7420" width="16.28515625" style="179" customWidth="1"/>
    <col min="7421" max="7421" width="18.28515625" style="179" customWidth="1"/>
    <col min="7422" max="7422" width="17.42578125" style="179" customWidth="1"/>
    <col min="7423" max="7423" width="15.85546875" style="179" customWidth="1"/>
    <col min="7424" max="7424" width="17" style="179" customWidth="1"/>
    <col min="7425" max="7425" width="19.7109375" style="179" customWidth="1"/>
    <col min="7426" max="7426" width="17.28515625" style="179" customWidth="1"/>
    <col min="7427" max="7427" width="18.140625" style="179" customWidth="1"/>
    <col min="7428" max="7428" width="21.7109375" style="179" customWidth="1"/>
    <col min="7429" max="7429" width="0.42578125" style="179" customWidth="1"/>
    <col min="7430" max="7430" width="16.140625" style="179" bestFit="1" customWidth="1"/>
    <col min="7431" max="7431" width="11.5703125" style="179" bestFit="1" customWidth="1"/>
    <col min="7432" max="7670" width="9.140625" style="179"/>
    <col min="7671" max="7671" width="33" style="179" customWidth="1"/>
    <col min="7672" max="7672" width="17.42578125" style="179" customWidth="1"/>
    <col min="7673" max="7673" width="17.140625" style="179" customWidth="1"/>
    <col min="7674" max="7674" width="16" style="179" customWidth="1"/>
    <col min="7675" max="7675" width="16.5703125" style="179" customWidth="1"/>
    <col min="7676" max="7676" width="16.28515625" style="179" customWidth="1"/>
    <col min="7677" max="7677" width="18.28515625" style="179" customWidth="1"/>
    <col min="7678" max="7678" width="17.42578125" style="179" customWidth="1"/>
    <col min="7679" max="7679" width="15.85546875" style="179" customWidth="1"/>
    <col min="7680" max="7680" width="17" style="179" customWidth="1"/>
    <col min="7681" max="7681" width="19.7109375" style="179" customWidth="1"/>
    <col min="7682" max="7682" width="17.28515625" style="179" customWidth="1"/>
    <col min="7683" max="7683" width="18.140625" style="179" customWidth="1"/>
    <col min="7684" max="7684" width="21.7109375" style="179" customWidth="1"/>
    <col min="7685" max="7685" width="0.42578125" style="179" customWidth="1"/>
    <col min="7686" max="7686" width="16.140625" style="179" bestFit="1" customWidth="1"/>
    <col min="7687" max="7687" width="11.5703125" style="179" bestFit="1" customWidth="1"/>
    <col min="7688" max="7926" width="9.140625" style="179"/>
    <col min="7927" max="7927" width="33" style="179" customWidth="1"/>
    <col min="7928" max="7928" width="17.42578125" style="179" customWidth="1"/>
    <col min="7929" max="7929" width="17.140625" style="179" customWidth="1"/>
    <col min="7930" max="7930" width="16" style="179" customWidth="1"/>
    <col min="7931" max="7931" width="16.5703125" style="179" customWidth="1"/>
    <col min="7932" max="7932" width="16.28515625" style="179" customWidth="1"/>
    <col min="7933" max="7933" width="18.28515625" style="179" customWidth="1"/>
    <col min="7934" max="7934" width="17.42578125" style="179" customWidth="1"/>
    <col min="7935" max="7935" width="15.85546875" style="179" customWidth="1"/>
    <col min="7936" max="7936" width="17" style="179" customWidth="1"/>
    <col min="7937" max="7937" width="19.7109375" style="179" customWidth="1"/>
    <col min="7938" max="7938" width="17.28515625" style="179" customWidth="1"/>
    <col min="7939" max="7939" width="18.140625" style="179" customWidth="1"/>
    <col min="7940" max="7940" width="21.7109375" style="179" customWidth="1"/>
    <col min="7941" max="7941" width="0.42578125" style="179" customWidth="1"/>
    <col min="7942" max="7942" width="16.140625" style="179" bestFit="1" customWidth="1"/>
    <col min="7943" max="7943" width="11.5703125" style="179" bestFit="1" customWidth="1"/>
    <col min="7944" max="8182" width="9.140625" style="179"/>
    <col min="8183" max="8183" width="33" style="179" customWidth="1"/>
    <col min="8184" max="8184" width="17.42578125" style="179" customWidth="1"/>
    <col min="8185" max="8185" width="17.140625" style="179" customWidth="1"/>
    <col min="8186" max="8186" width="16" style="179" customWidth="1"/>
    <col min="8187" max="8187" width="16.5703125" style="179" customWidth="1"/>
    <col min="8188" max="8188" width="16.28515625" style="179" customWidth="1"/>
    <col min="8189" max="8189" width="18.28515625" style="179" customWidth="1"/>
    <col min="8190" max="8190" width="17.42578125" style="179" customWidth="1"/>
    <col min="8191" max="8191" width="15.85546875" style="179" customWidth="1"/>
    <col min="8192" max="8192" width="17" style="179" customWidth="1"/>
    <col min="8193" max="8193" width="19.7109375" style="179" customWidth="1"/>
    <col min="8194" max="8194" width="17.28515625" style="179" customWidth="1"/>
    <col min="8195" max="8195" width="18.140625" style="179" customWidth="1"/>
    <col min="8196" max="8196" width="21.7109375" style="179" customWidth="1"/>
    <col min="8197" max="8197" width="0.42578125" style="179" customWidth="1"/>
    <col min="8198" max="8198" width="16.140625" style="179" bestFit="1" customWidth="1"/>
    <col min="8199" max="8199" width="11.5703125" style="179" bestFit="1" customWidth="1"/>
    <col min="8200" max="8438" width="9.140625" style="179"/>
    <col min="8439" max="8439" width="33" style="179" customWidth="1"/>
    <col min="8440" max="8440" width="17.42578125" style="179" customWidth="1"/>
    <col min="8441" max="8441" width="17.140625" style="179" customWidth="1"/>
    <col min="8442" max="8442" width="16" style="179" customWidth="1"/>
    <col min="8443" max="8443" width="16.5703125" style="179" customWidth="1"/>
    <col min="8444" max="8444" width="16.28515625" style="179" customWidth="1"/>
    <col min="8445" max="8445" width="18.28515625" style="179" customWidth="1"/>
    <col min="8446" max="8446" width="17.42578125" style="179" customWidth="1"/>
    <col min="8447" max="8447" width="15.85546875" style="179" customWidth="1"/>
    <col min="8448" max="8448" width="17" style="179" customWidth="1"/>
    <col min="8449" max="8449" width="19.7109375" style="179" customWidth="1"/>
    <col min="8450" max="8450" width="17.28515625" style="179" customWidth="1"/>
    <col min="8451" max="8451" width="18.140625" style="179" customWidth="1"/>
    <col min="8452" max="8452" width="21.7109375" style="179" customWidth="1"/>
    <col min="8453" max="8453" width="0.42578125" style="179" customWidth="1"/>
    <col min="8454" max="8454" width="16.140625" style="179" bestFit="1" customWidth="1"/>
    <col min="8455" max="8455" width="11.5703125" style="179" bestFit="1" customWidth="1"/>
    <col min="8456" max="8694" width="9.140625" style="179"/>
    <col min="8695" max="8695" width="33" style="179" customWidth="1"/>
    <col min="8696" max="8696" width="17.42578125" style="179" customWidth="1"/>
    <col min="8697" max="8697" width="17.140625" style="179" customWidth="1"/>
    <col min="8698" max="8698" width="16" style="179" customWidth="1"/>
    <col min="8699" max="8699" width="16.5703125" style="179" customWidth="1"/>
    <col min="8700" max="8700" width="16.28515625" style="179" customWidth="1"/>
    <col min="8701" max="8701" width="18.28515625" style="179" customWidth="1"/>
    <col min="8702" max="8702" width="17.42578125" style="179" customWidth="1"/>
    <col min="8703" max="8703" width="15.85546875" style="179" customWidth="1"/>
    <col min="8704" max="8704" width="17" style="179" customWidth="1"/>
    <col min="8705" max="8705" width="19.7109375" style="179" customWidth="1"/>
    <col min="8706" max="8706" width="17.28515625" style="179" customWidth="1"/>
    <col min="8707" max="8707" width="18.140625" style="179" customWidth="1"/>
    <col min="8708" max="8708" width="21.7109375" style="179" customWidth="1"/>
    <col min="8709" max="8709" width="0.42578125" style="179" customWidth="1"/>
    <col min="8710" max="8710" width="16.140625" style="179" bestFit="1" customWidth="1"/>
    <col min="8711" max="8711" width="11.5703125" style="179" bestFit="1" customWidth="1"/>
    <col min="8712" max="8950" width="9.140625" style="179"/>
    <col min="8951" max="8951" width="33" style="179" customWidth="1"/>
    <col min="8952" max="8952" width="17.42578125" style="179" customWidth="1"/>
    <col min="8953" max="8953" width="17.140625" style="179" customWidth="1"/>
    <col min="8954" max="8954" width="16" style="179" customWidth="1"/>
    <col min="8955" max="8955" width="16.5703125" style="179" customWidth="1"/>
    <col min="8956" max="8956" width="16.28515625" style="179" customWidth="1"/>
    <col min="8957" max="8957" width="18.28515625" style="179" customWidth="1"/>
    <col min="8958" max="8958" width="17.42578125" style="179" customWidth="1"/>
    <col min="8959" max="8959" width="15.85546875" style="179" customWidth="1"/>
    <col min="8960" max="8960" width="17" style="179" customWidth="1"/>
    <col min="8961" max="8961" width="19.7109375" style="179" customWidth="1"/>
    <col min="8962" max="8962" width="17.28515625" style="179" customWidth="1"/>
    <col min="8963" max="8963" width="18.140625" style="179" customWidth="1"/>
    <col min="8964" max="8964" width="21.7109375" style="179" customWidth="1"/>
    <col min="8965" max="8965" width="0.42578125" style="179" customWidth="1"/>
    <col min="8966" max="8966" width="16.140625" style="179" bestFit="1" customWidth="1"/>
    <col min="8967" max="8967" width="11.5703125" style="179" bestFit="1" customWidth="1"/>
    <col min="8968" max="9206" width="9.140625" style="179"/>
    <col min="9207" max="9207" width="33" style="179" customWidth="1"/>
    <col min="9208" max="9208" width="17.42578125" style="179" customWidth="1"/>
    <col min="9209" max="9209" width="17.140625" style="179" customWidth="1"/>
    <col min="9210" max="9210" width="16" style="179" customWidth="1"/>
    <col min="9211" max="9211" width="16.5703125" style="179" customWidth="1"/>
    <col min="9212" max="9212" width="16.28515625" style="179" customWidth="1"/>
    <col min="9213" max="9213" width="18.28515625" style="179" customWidth="1"/>
    <col min="9214" max="9214" width="17.42578125" style="179" customWidth="1"/>
    <col min="9215" max="9215" width="15.85546875" style="179" customWidth="1"/>
    <col min="9216" max="9216" width="17" style="179" customWidth="1"/>
    <col min="9217" max="9217" width="19.7109375" style="179" customWidth="1"/>
    <col min="9218" max="9218" width="17.28515625" style="179" customWidth="1"/>
    <col min="9219" max="9219" width="18.140625" style="179" customWidth="1"/>
    <col min="9220" max="9220" width="21.7109375" style="179" customWidth="1"/>
    <col min="9221" max="9221" width="0.42578125" style="179" customWidth="1"/>
    <col min="9222" max="9222" width="16.140625" style="179" bestFit="1" customWidth="1"/>
    <col min="9223" max="9223" width="11.5703125" style="179" bestFit="1" customWidth="1"/>
    <col min="9224" max="9462" width="9.140625" style="179"/>
    <col min="9463" max="9463" width="33" style="179" customWidth="1"/>
    <col min="9464" max="9464" width="17.42578125" style="179" customWidth="1"/>
    <col min="9465" max="9465" width="17.140625" style="179" customWidth="1"/>
    <col min="9466" max="9466" width="16" style="179" customWidth="1"/>
    <col min="9467" max="9467" width="16.5703125" style="179" customWidth="1"/>
    <col min="9468" max="9468" width="16.28515625" style="179" customWidth="1"/>
    <col min="9469" max="9469" width="18.28515625" style="179" customWidth="1"/>
    <col min="9470" max="9470" width="17.42578125" style="179" customWidth="1"/>
    <col min="9471" max="9471" width="15.85546875" style="179" customWidth="1"/>
    <col min="9472" max="9472" width="17" style="179" customWidth="1"/>
    <col min="9473" max="9473" width="19.7109375" style="179" customWidth="1"/>
    <col min="9474" max="9474" width="17.28515625" style="179" customWidth="1"/>
    <col min="9475" max="9475" width="18.140625" style="179" customWidth="1"/>
    <col min="9476" max="9476" width="21.7109375" style="179" customWidth="1"/>
    <col min="9477" max="9477" width="0.42578125" style="179" customWidth="1"/>
    <col min="9478" max="9478" width="16.140625" style="179" bestFit="1" customWidth="1"/>
    <col min="9479" max="9479" width="11.5703125" style="179" bestFit="1" customWidth="1"/>
    <col min="9480" max="9718" width="9.140625" style="179"/>
    <col min="9719" max="9719" width="33" style="179" customWidth="1"/>
    <col min="9720" max="9720" width="17.42578125" style="179" customWidth="1"/>
    <col min="9721" max="9721" width="17.140625" style="179" customWidth="1"/>
    <col min="9722" max="9722" width="16" style="179" customWidth="1"/>
    <col min="9723" max="9723" width="16.5703125" style="179" customWidth="1"/>
    <col min="9724" max="9724" width="16.28515625" style="179" customWidth="1"/>
    <col min="9725" max="9725" width="18.28515625" style="179" customWidth="1"/>
    <col min="9726" max="9726" width="17.42578125" style="179" customWidth="1"/>
    <col min="9727" max="9727" width="15.85546875" style="179" customWidth="1"/>
    <col min="9728" max="9728" width="17" style="179" customWidth="1"/>
    <col min="9729" max="9729" width="19.7109375" style="179" customWidth="1"/>
    <col min="9730" max="9730" width="17.28515625" style="179" customWidth="1"/>
    <col min="9731" max="9731" width="18.140625" style="179" customWidth="1"/>
    <col min="9732" max="9732" width="21.7109375" style="179" customWidth="1"/>
    <col min="9733" max="9733" width="0.42578125" style="179" customWidth="1"/>
    <col min="9734" max="9734" width="16.140625" style="179" bestFit="1" customWidth="1"/>
    <col min="9735" max="9735" width="11.5703125" style="179" bestFit="1" customWidth="1"/>
    <col min="9736" max="9974" width="9.140625" style="179"/>
    <col min="9975" max="9975" width="33" style="179" customWidth="1"/>
    <col min="9976" max="9976" width="17.42578125" style="179" customWidth="1"/>
    <col min="9977" max="9977" width="17.140625" style="179" customWidth="1"/>
    <col min="9978" max="9978" width="16" style="179" customWidth="1"/>
    <col min="9979" max="9979" width="16.5703125" style="179" customWidth="1"/>
    <col min="9980" max="9980" width="16.28515625" style="179" customWidth="1"/>
    <col min="9981" max="9981" width="18.28515625" style="179" customWidth="1"/>
    <col min="9982" max="9982" width="17.42578125" style="179" customWidth="1"/>
    <col min="9983" max="9983" width="15.85546875" style="179" customWidth="1"/>
    <col min="9984" max="9984" width="17" style="179" customWidth="1"/>
    <col min="9985" max="9985" width="19.7109375" style="179" customWidth="1"/>
    <col min="9986" max="9986" width="17.28515625" style="179" customWidth="1"/>
    <col min="9987" max="9987" width="18.140625" style="179" customWidth="1"/>
    <col min="9988" max="9988" width="21.7109375" style="179" customWidth="1"/>
    <col min="9989" max="9989" width="0.42578125" style="179" customWidth="1"/>
    <col min="9990" max="9990" width="16.140625" style="179" bestFit="1" customWidth="1"/>
    <col min="9991" max="9991" width="11.5703125" style="179" bestFit="1" customWidth="1"/>
    <col min="9992" max="10230" width="9.140625" style="179"/>
    <col min="10231" max="10231" width="33" style="179" customWidth="1"/>
    <col min="10232" max="10232" width="17.42578125" style="179" customWidth="1"/>
    <col min="10233" max="10233" width="17.140625" style="179" customWidth="1"/>
    <col min="10234" max="10234" width="16" style="179" customWidth="1"/>
    <col min="10235" max="10235" width="16.5703125" style="179" customWidth="1"/>
    <col min="10236" max="10236" width="16.28515625" style="179" customWidth="1"/>
    <col min="10237" max="10237" width="18.28515625" style="179" customWidth="1"/>
    <col min="10238" max="10238" width="17.42578125" style="179" customWidth="1"/>
    <col min="10239" max="10239" width="15.85546875" style="179" customWidth="1"/>
    <col min="10240" max="10240" width="17" style="179" customWidth="1"/>
    <col min="10241" max="10241" width="19.7109375" style="179" customWidth="1"/>
    <col min="10242" max="10242" width="17.28515625" style="179" customWidth="1"/>
    <col min="10243" max="10243" width="18.140625" style="179" customWidth="1"/>
    <col min="10244" max="10244" width="21.7109375" style="179" customWidth="1"/>
    <col min="10245" max="10245" width="0.42578125" style="179" customWidth="1"/>
    <col min="10246" max="10246" width="16.140625" style="179" bestFit="1" customWidth="1"/>
    <col min="10247" max="10247" width="11.5703125" style="179" bestFit="1" customWidth="1"/>
    <col min="10248" max="10486" width="9.140625" style="179"/>
    <col min="10487" max="10487" width="33" style="179" customWidth="1"/>
    <col min="10488" max="10488" width="17.42578125" style="179" customWidth="1"/>
    <col min="10489" max="10489" width="17.140625" style="179" customWidth="1"/>
    <col min="10490" max="10490" width="16" style="179" customWidth="1"/>
    <col min="10491" max="10491" width="16.5703125" style="179" customWidth="1"/>
    <col min="10492" max="10492" width="16.28515625" style="179" customWidth="1"/>
    <col min="10493" max="10493" width="18.28515625" style="179" customWidth="1"/>
    <col min="10494" max="10494" width="17.42578125" style="179" customWidth="1"/>
    <col min="10495" max="10495" width="15.85546875" style="179" customWidth="1"/>
    <col min="10496" max="10496" width="17" style="179" customWidth="1"/>
    <col min="10497" max="10497" width="19.7109375" style="179" customWidth="1"/>
    <col min="10498" max="10498" width="17.28515625" style="179" customWidth="1"/>
    <col min="10499" max="10499" width="18.140625" style="179" customWidth="1"/>
    <col min="10500" max="10500" width="21.7109375" style="179" customWidth="1"/>
    <col min="10501" max="10501" width="0.42578125" style="179" customWidth="1"/>
    <col min="10502" max="10502" width="16.140625" style="179" bestFit="1" customWidth="1"/>
    <col min="10503" max="10503" width="11.5703125" style="179" bestFit="1" customWidth="1"/>
    <col min="10504" max="10742" width="9.140625" style="179"/>
    <col min="10743" max="10743" width="33" style="179" customWidth="1"/>
    <col min="10744" max="10744" width="17.42578125" style="179" customWidth="1"/>
    <col min="10745" max="10745" width="17.140625" style="179" customWidth="1"/>
    <col min="10746" max="10746" width="16" style="179" customWidth="1"/>
    <col min="10747" max="10747" width="16.5703125" style="179" customWidth="1"/>
    <col min="10748" max="10748" width="16.28515625" style="179" customWidth="1"/>
    <col min="10749" max="10749" width="18.28515625" style="179" customWidth="1"/>
    <col min="10750" max="10750" width="17.42578125" style="179" customWidth="1"/>
    <col min="10751" max="10751" width="15.85546875" style="179" customWidth="1"/>
    <col min="10752" max="10752" width="17" style="179" customWidth="1"/>
    <col min="10753" max="10753" width="19.7109375" style="179" customWidth="1"/>
    <col min="10754" max="10754" width="17.28515625" style="179" customWidth="1"/>
    <col min="10755" max="10755" width="18.140625" style="179" customWidth="1"/>
    <col min="10756" max="10756" width="21.7109375" style="179" customWidth="1"/>
    <col min="10757" max="10757" width="0.42578125" style="179" customWidth="1"/>
    <col min="10758" max="10758" width="16.140625" style="179" bestFit="1" customWidth="1"/>
    <col min="10759" max="10759" width="11.5703125" style="179" bestFit="1" customWidth="1"/>
    <col min="10760" max="10998" width="9.140625" style="179"/>
    <col min="10999" max="10999" width="33" style="179" customWidth="1"/>
    <col min="11000" max="11000" width="17.42578125" style="179" customWidth="1"/>
    <col min="11001" max="11001" width="17.140625" style="179" customWidth="1"/>
    <col min="11002" max="11002" width="16" style="179" customWidth="1"/>
    <col min="11003" max="11003" width="16.5703125" style="179" customWidth="1"/>
    <col min="11004" max="11004" width="16.28515625" style="179" customWidth="1"/>
    <col min="11005" max="11005" width="18.28515625" style="179" customWidth="1"/>
    <col min="11006" max="11006" width="17.42578125" style="179" customWidth="1"/>
    <col min="11007" max="11007" width="15.85546875" style="179" customWidth="1"/>
    <col min="11008" max="11008" width="17" style="179" customWidth="1"/>
    <col min="11009" max="11009" width="19.7109375" style="179" customWidth="1"/>
    <col min="11010" max="11010" width="17.28515625" style="179" customWidth="1"/>
    <col min="11011" max="11011" width="18.140625" style="179" customWidth="1"/>
    <col min="11012" max="11012" width="21.7109375" style="179" customWidth="1"/>
    <col min="11013" max="11013" width="0.42578125" style="179" customWidth="1"/>
    <col min="11014" max="11014" width="16.140625" style="179" bestFit="1" customWidth="1"/>
    <col min="11015" max="11015" width="11.5703125" style="179" bestFit="1" customWidth="1"/>
    <col min="11016" max="11254" width="9.140625" style="179"/>
    <col min="11255" max="11255" width="33" style="179" customWidth="1"/>
    <col min="11256" max="11256" width="17.42578125" style="179" customWidth="1"/>
    <col min="11257" max="11257" width="17.140625" style="179" customWidth="1"/>
    <col min="11258" max="11258" width="16" style="179" customWidth="1"/>
    <col min="11259" max="11259" width="16.5703125" style="179" customWidth="1"/>
    <col min="11260" max="11260" width="16.28515625" style="179" customWidth="1"/>
    <col min="11261" max="11261" width="18.28515625" style="179" customWidth="1"/>
    <col min="11262" max="11262" width="17.42578125" style="179" customWidth="1"/>
    <col min="11263" max="11263" width="15.85546875" style="179" customWidth="1"/>
    <col min="11264" max="11264" width="17" style="179" customWidth="1"/>
    <col min="11265" max="11265" width="19.7109375" style="179" customWidth="1"/>
    <col min="11266" max="11266" width="17.28515625" style="179" customWidth="1"/>
    <col min="11267" max="11267" width="18.140625" style="179" customWidth="1"/>
    <col min="11268" max="11268" width="21.7109375" style="179" customWidth="1"/>
    <col min="11269" max="11269" width="0.42578125" style="179" customWidth="1"/>
    <col min="11270" max="11270" width="16.140625" style="179" bestFit="1" customWidth="1"/>
    <col min="11271" max="11271" width="11.5703125" style="179" bestFit="1" customWidth="1"/>
    <col min="11272" max="11510" width="9.140625" style="179"/>
    <col min="11511" max="11511" width="33" style="179" customWidth="1"/>
    <col min="11512" max="11512" width="17.42578125" style="179" customWidth="1"/>
    <col min="11513" max="11513" width="17.140625" style="179" customWidth="1"/>
    <col min="11514" max="11514" width="16" style="179" customWidth="1"/>
    <col min="11515" max="11515" width="16.5703125" style="179" customWidth="1"/>
    <col min="11516" max="11516" width="16.28515625" style="179" customWidth="1"/>
    <col min="11517" max="11517" width="18.28515625" style="179" customWidth="1"/>
    <col min="11518" max="11518" width="17.42578125" style="179" customWidth="1"/>
    <col min="11519" max="11519" width="15.85546875" style="179" customWidth="1"/>
    <col min="11520" max="11520" width="17" style="179" customWidth="1"/>
    <col min="11521" max="11521" width="19.7109375" style="179" customWidth="1"/>
    <col min="11522" max="11522" width="17.28515625" style="179" customWidth="1"/>
    <col min="11523" max="11523" width="18.140625" style="179" customWidth="1"/>
    <col min="11524" max="11524" width="21.7109375" style="179" customWidth="1"/>
    <col min="11525" max="11525" width="0.42578125" style="179" customWidth="1"/>
    <col min="11526" max="11526" width="16.140625" style="179" bestFit="1" customWidth="1"/>
    <col min="11527" max="11527" width="11.5703125" style="179" bestFit="1" customWidth="1"/>
    <col min="11528" max="11766" width="9.140625" style="179"/>
    <col min="11767" max="11767" width="33" style="179" customWidth="1"/>
    <col min="11768" max="11768" width="17.42578125" style="179" customWidth="1"/>
    <col min="11769" max="11769" width="17.140625" style="179" customWidth="1"/>
    <col min="11770" max="11770" width="16" style="179" customWidth="1"/>
    <col min="11771" max="11771" width="16.5703125" style="179" customWidth="1"/>
    <col min="11772" max="11772" width="16.28515625" style="179" customWidth="1"/>
    <col min="11773" max="11773" width="18.28515625" style="179" customWidth="1"/>
    <col min="11774" max="11774" width="17.42578125" style="179" customWidth="1"/>
    <col min="11775" max="11775" width="15.85546875" style="179" customWidth="1"/>
    <col min="11776" max="11776" width="17" style="179" customWidth="1"/>
    <col min="11777" max="11777" width="19.7109375" style="179" customWidth="1"/>
    <col min="11778" max="11778" width="17.28515625" style="179" customWidth="1"/>
    <col min="11779" max="11779" width="18.140625" style="179" customWidth="1"/>
    <col min="11780" max="11780" width="21.7109375" style="179" customWidth="1"/>
    <col min="11781" max="11781" width="0.42578125" style="179" customWidth="1"/>
    <col min="11782" max="11782" width="16.140625" style="179" bestFit="1" customWidth="1"/>
    <col min="11783" max="11783" width="11.5703125" style="179" bestFit="1" customWidth="1"/>
    <col min="11784" max="12022" width="9.140625" style="179"/>
    <col min="12023" max="12023" width="33" style="179" customWidth="1"/>
    <col min="12024" max="12024" width="17.42578125" style="179" customWidth="1"/>
    <col min="12025" max="12025" width="17.140625" style="179" customWidth="1"/>
    <col min="12026" max="12026" width="16" style="179" customWidth="1"/>
    <col min="12027" max="12027" width="16.5703125" style="179" customWidth="1"/>
    <col min="12028" max="12028" width="16.28515625" style="179" customWidth="1"/>
    <col min="12029" max="12029" width="18.28515625" style="179" customWidth="1"/>
    <col min="12030" max="12030" width="17.42578125" style="179" customWidth="1"/>
    <col min="12031" max="12031" width="15.85546875" style="179" customWidth="1"/>
    <col min="12032" max="12032" width="17" style="179" customWidth="1"/>
    <col min="12033" max="12033" width="19.7109375" style="179" customWidth="1"/>
    <col min="12034" max="12034" width="17.28515625" style="179" customWidth="1"/>
    <col min="12035" max="12035" width="18.140625" style="179" customWidth="1"/>
    <col min="12036" max="12036" width="21.7109375" style="179" customWidth="1"/>
    <col min="12037" max="12037" width="0.42578125" style="179" customWidth="1"/>
    <col min="12038" max="12038" width="16.140625" style="179" bestFit="1" customWidth="1"/>
    <col min="12039" max="12039" width="11.5703125" style="179" bestFit="1" customWidth="1"/>
    <col min="12040" max="12278" width="9.140625" style="179"/>
    <col min="12279" max="12279" width="33" style="179" customWidth="1"/>
    <col min="12280" max="12280" width="17.42578125" style="179" customWidth="1"/>
    <col min="12281" max="12281" width="17.140625" style="179" customWidth="1"/>
    <col min="12282" max="12282" width="16" style="179" customWidth="1"/>
    <col min="12283" max="12283" width="16.5703125" style="179" customWidth="1"/>
    <col min="12284" max="12284" width="16.28515625" style="179" customWidth="1"/>
    <col min="12285" max="12285" width="18.28515625" style="179" customWidth="1"/>
    <col min="12286" max="12286" width="17.42578125" style="179" customWidth="1"/>
    <col min="12287" max="12287" width="15.85546875" style="179" customWidth="1"/>
    <col min="12288" max="12288" width="17" style="179" customWidth="1"/>
    <col min="12289" max="12289" width="19.7109375" style="179" customWidth="1"/>
    <col min="12290" max="12290" width="17.28515625" style="179" customWidth="1"/>
    <col min="12291" max="12291" width="18.140625" style="179" customWidth="1"/>
    <col min="12292" max="12292" width="21.7109375" style="179" customWidth="1"/>
    <col min="12293" max="12293" width="0.42578125" style="179" customWidth="1"/>
    <col min="12294" max="12294" width="16.140625" style="179" bestFit="1" customWidth="1"/>
    <col min="12295" max="12295" width="11.5703125" style="179" bestFit="1" customWidth="1"/>
    <col min="12296" max="12534" width="9.140625" style="179"/>
    <col min="12535" max="12535" width="33" style="179" customWidth="1"/>
    <col min="12536" max="12536" width="17.42578125" style="179" customWidth="1"/>
    <col min="12537" max="12537" width="17.140625" style="179" customWidth="1"/>
    <col min="12538" max="12538" width="16" style="179" customWidth="1"/>
    <col min="12539" max="12539" width="16.5703125" style="179" customWidth="1"/>
    <col min="12540" max="12540" width="16.28515625" style="179" customWidth="1"/>
    <col min="12541" max="12541" width="18.28515625" style="179" customWidth="1"/>
    <col min="12542" max="12542" width="17.42578125" style="179" customWidth="1"/>
    <col min="12543" max="12543" width="15.85546875" style="179" customWidth="1"/>
    <col min="12544" max="12544" width="17" style="179" customWidth="1"/>
    <col min="12545" max="12545" width="19.7109375" style="179" customWidth="1"/>
    <col min="12546" max="12546" width="17.28515625" style="179" customWidth="1"/>
    <col min="12547" max="12547" width="18.140625" style="179" customWidth="1"/>
    <col min="12548" max="12548" width="21.7109375" style="179" customWidth="1"/>
    <col min="12549" max="12549" width="0.42578125" style="179" customWidth="1"/>
    <col min="12550" max="12550" width="16.140625" style="179" bestFit="1" customWidth="1"/>
    <col min="12551" max="12551" width="11.5703125" style="179" bestFit="1" customWidth="1"/>
    <col min="12552" max="12790" width="9.140625" style="179"/>
    <col min="12791" max="12791" width="33" style="179" customWidth="1"/>
    <col min="12792" max="12792" width="17.42578125" style="179" customWidth="1"/>
    <col min="12793" max="12793" width="17.140625" style="179" customWidth="1"/>
    <col min="12794" max="12794" width="16" style="179" customWidth="1"/>
    <col min="12795" max="12795" width="16.5703125" style="179" customWidth="1"/>
    <col min="12796" max="12796" width="16.28515625" style="179" customWidth="1"/>
    <col min="12797" max="12797" width="18.28515625" style="179" customWidth="1"/>
    <col min="12798" max="12798" width="17.42578125" style="179" customWidth="1"/>
    <col min="12799" max="12799" width="15.85546875" style="179" customWidth="1"/>
    <col min="12800" max="12800" width="17" style="179" customWidth="1"/>
    <col min="12801" max="12801" width="19.7109375" style="179" customWidth="1"/>
    <col min="12802" max="12802" width="17.28515625" style="179" customWidth="1"/>
    <col min="12803" max="12803" width="18.140625" style="179" customWidth="1"/>
    <col min="12804" max="12804" width="21.7109375" style="179" customWidth="1"/>
    <col min="12805" max="12805" width="0.42578125" style="179" customWidth="1"/>
    <col min="12806" max="12806" width="16.140625" style="179" bestFit="1" customWidth="1"/>
    <col min="12807" max="12807" width="11.5703125" style="179" bestFit="1" customWidth="1"/>
    <col min="12808" max="13046" width="9.140625" style="179"/>
    <col min="13047" max="13047" width="33" style="179" customWidth="1"/>
    <col min="13048" max="13048" width="17.42578125" style="179" customWidth="1"/>
    <col min="13049" max="13049" width="17.140625" style="179" customWidth="1"/>
    <col min="13050" max="13050" width="16" style="179" customWidth="1"/>
    <col min="13051" max="13051" width="16.5703125" style="179" customWidth="1"/>
    <col min="13052" max="13052" width="16.28515625" style="179" customWidth="1"/>
    <col min="13053" max="13053" width="18.28515625" style="179" customWidth="1"/>
    <col min="13054" max="13054" width="17.42578125" style="179" customWidth="1"/>
    <col min="13055" max="13055" width="15.85546875" style="179" customWidth="1"/>
    <col min="13056" max="13056" width="17" style="179" customWidth="1"/>
    <col min="13057" max="13057" width="19.7109375" style="179" customWidth="1"/>
    <col min="13058" max="13058" width="17.28515625" style="179" customWidth="1"/>
    <col min="13059" max="13059" width="18.140625" style="179" customWidth="1"/>
    <col min="13060" max="13060" width="21.7109375" style="179" customWidth="1"/>
    <col min="13061" max="13061" width="0.42578125" style="179" customWidth="1"/>
    <col min="13062" max="13062" width="16.140625" style="179" bestFit="1" customWidth="1"/>
    <col min="13063" max="13063" width="11.5703125" style="179" bestFit="1" customWidth="1"/>
    <col min="13064" max="13302" width="9.140625" style="179"/>
    <col min="13303" max="13303" width="33" style="179" customWidth="1"/>
    <col min="13304" max="13304" width="17.42578125" style="179" customWidth="1"/>
    <col min="13305" max="13305" width="17.140625" style="179" customWidth="1"/>
    <col min="13306" max="13306" width="16" style="179" customWidth="1"/>
    <col min="13307" max="13307" width="16.5703125" style="179" customWidth="1"/>
    <col min="13308" max="13308" width="16.28515625" style="179" customWidth="1"/>
    <col min="13309" max="13309" width="18.28515625" style="179" customWidth="1"/>
    <col min="13310" max="13310" width="17.42578125" style="179" customWidth="1"/>
    <col min="13311" max="13311" width="15.85546875" style="179" customWidth="1"/>
    <col min="13312" max="13312" width="17" style="179" customWidth="1"/>
    <col min="13313" max="13313" width="19.7109375" style="179" customWidth="1"/>
    <col min="13314" max="13314" width="17.28515625" style="179" customWidth="1"/>
    <col min="13315" max="13315" width="18.140625" style="179" customWidth="1"/>
    <col min="13316" max="13316" width="21.7109375" style="179" customWidth="1"/>
    <col min="13317" max="13317" width="0.42578125" style="179" customWidth="1"/>
    <col min="13318" max="13318" width="16.140625" style="179" bestFit="1" customWidth="1"/>
    <col min="13319" max="13319" width="11.5703125" style="179" bestFit="1" customWidth="1"/>
    <col min="13320" max="13558" width="9.140625" style="179"/>
    <col min="13559" max="13559" width="33" style="179" customWidth="1"/>
    <col min="13560" max="13560" width="17.42578125" style="179" customWidth="1"/>
    <col min="13561" max="13561" width="17.140625" style="179" customWidth="1"/>
    <col min="13562" max="13562" width="16" style="179" customWidth="1"/>
    <col min="13563" max="13563" width="16.5703125" style="179" customWidth="1"/>
    <col min="13564" max="13564" width="16.28515625" style="179" customWidth="1"/>
    <col min="13565" max="13565" width="18.28515625" style="179" customWidth="1"/>
    <col min="13566" max="13566" width="17.42578125" style="179" customWidth="1"/>
    <col min="13567" max="13567" width="15.85546875" style="179" customWidth="1"/>
    <col min="13568" max="13568" width="17" style="179" customWidth="1"/>
    <col min="13569" max="13569" width="19.7109375" style="179" customWidth="1"/>
    <col min="13570" max="13570" width="17.28515625" style="179" customWidth="1"/>
    <col min="13571" max="13571" width="18.140625" style="179" customWidth="1"/>
    <col min="13572" max="13572" width="21.7109375" style="179" customWidth="1"/>
    <col min="13573" max="13573" width="0.42578125" style="179" customWidth="1"/>
    <col min="13574" max="13574" width="16.140625" style="179" bestFit="1" customWidth="1"/>
    <col min="13575" max="13575" width="11.5703125" style="179" bestFit="1" customWidth="1"/>
    <col min="13576" max="13814" width="9.140625" style="179"/>
    <col min="13815" max="13815" width="33" style="179" customWidth="1"/>
    <col min="13816" max="13816" width="17.42578125" style="179" customWidth="1"/>
    <col min="13817" max="13817" width="17.140625" style="179" customWidth="1"/>
    <col min="13818" max="13818" width="16" style="179" customWidth="1"/>
    <col min="13819" max="13819" width="16.5703125" style="179" customWidth="1"/>
    <col min="13820" max="13820" width="16.28515625" style="179" customWidth="1"/>
    <col min="13821" max="13821" width="18.28515625" style="179" customWidth="1"/>
    <col min="13822" max="13822" width="17.42578125" style="179" customWidth="1"/>
    <col min="13823" max="13823" width="15.85546875" style="179" customWidth="1"/>
    <col min="13824" max="13824" width="17" style="179" customWidth="1"/>
    <col min="13825" max="13825" width="19.7109375" style="179" customWidth="1"/>
    <col min="13826" max="13826" width="17.28515625" style="179" customWidth="1"/>
    <col min="13827" max="13827" width="18.140625" style="179" customWidth="1"/>
    <col min="13828" max="13828" width="21.7109375" style="179" customWidth="1"/>
    <col min="13829" max="13829" width="0.42578125" style="179" customWidth="1"/>
    <col min="13830" max="13830" width="16.140625" style="179" bestFit="1" customWidth="1"/>
    <col min="13831" max="13831" width="11.5703125" style="179" bestFit="1" customWidth="1"/>
    <col min="13832" max="14070" width="9.140625" style="179"/>
    <col min="14071" max="14071" width="33" style="179" customWidth="1"/>
    <col min="14072" max="14072" width="17.42578125" style="179" customWidth="1"/>
    <col min="14073" max="14073" width="17.140625" style="179" customWidth="1"/>
    <col min="14074" max="14074" width="16" style="179" customWidth="1"/>
    <col min="14075" max="14075" width="16.5703125" style="179" customWidth="1"/>
    <col min="14076" max="14076" width="16.28515625" style="179" customWidth="1"/>
    <col min="14077" max="14077" width="18.28515625" style="179" customWidth="1"/>
    <col min="14078" max="14078" width="17.42578125" style="179" customWidth="1"/>
    <col min="14079" max="14079" width="15.85546875" style="179" customWidth="1"/>
    <col min="14080" max="14080" width="17" style="179" customWidth="1"/>
    <col min="14081" max="14081" width="19.7109375" style="179" customWidth="1"/>
    <col min="14082" max="14082" width="17.28515625" style="179" customWidth="1"/>
    <col min="14083" max="14083" width="18.140625" style="179" customWidth="1"/>
    <col min="14084" max="14084" width="21.7109375" style="179" customWidth="1"/>
    <col min="14085" max="14085" width="0.42578125" style="179" customWidth="1"/>
    <col min="14086" max="14086" width="16.140625" style="179" bestFit="1" customWidth="1"/>
    <col min="14087" max="14087" width="11.5703125" style="179" bestFit="1" customWidth="1"/>
    <col min="14088" max="14326" width="9.140625" style="179"/>
    <col min="14327" max="14327" width="33" style="179" customWidth="1"/>
    <col min="14328" max="14328" width="17.42578125" style="179" customWidth="1"/>
    <col min="14329" max="14329" width="17.140625" style="179" customWidth="1"/>
    <col min="14330" max="14330" width="16" style="179" customWidth="1"/>
    <col min="14331" max="14331" width="16.5703125" style="179" customWidth="1"/>
    <col min="14332" max="14332" width="16.28515625" style="179" customWidth="1"/>
    <col min="14333" max="14333" width="18.28515625" style="179" customWidth="1"/>
    <col min="14334" max="14334" width="17.42578125" style="179" customWidth="1"/>
    <col min="14335" max="14335" width="15.85546875" style="179" customWidth="1"/>
    <col min="14336" max="14336" width="17" style="179" customWidth="1"/>
    <col min="14337" max="14337" width="19.7109375" style="179" customWidth="1"/>
    <col min="14338" max="14338" width="17.28515625" style="179" customWidth="1"/>
    <col min="14339" max="14339" width="18.140625" style="179" customWidth="1"/>
    <col min="14340" max="14340" width="21.7109375" style="179" customWidth="1"/>
    <col min="14341" max="14341" width="0.42578125" style="179" customWidth="1"/>
    <col min="14342" max="14342" width="16.140625" style="179" bestFit="1" customWidth="1"/>
    <col min="14343" max="14343" width="11.5703125" style="179" bestFit="1" customWidth="1"/>
    <col min="14344" max="14582" width="9.140625" style="179"/>
    <col min="14583" max="14583" width="33" style="179" customWidth="1"/>
    <col min="14584" max="14584" width="17.42578125" style="179" customWidth="1"/>
    <col min="14585" max="14585" width="17.140625" style="179" customWidth="1"/>
    <col min="14586" max="14586" width="16" style="179" customWidth="1"/>
    <col min="14587" max="14587" width="16.5703125" style="179" customWidth="1"/>
    <col min="14588" max="14588" width="16.28515625" style="179" customWidth="1"/>
    <col min="14589" max="14589" width="18.28515625" style="179" customWidth="1"/>
    <col min="14590" max="14590" width="17.42578125" style="179" customWidth="1"/>
    <col min="14591" max="14591" width="15.85546875" style="179" customWidth="1"/>
    <col min="14592" max="14592" width="17" style="179" customWidth="1"/>
    <col min="14593" max="14593" width="19.7109375" style="179" customWidth="1"/>
    <col min="14594" max="14594" width="17.28515625" style="179" customWidth="1"/>
    <col min="14595" max="14595" width="18.140625" style="179" customWidth="1"/>
    <col min="14596" max="14596" width="21.7109375" style="179" customWidth="1"/>
    <col min="14597" max="14597" width="0.42578125" style="179" customWidth="1"/>
    <col min="14598" max="14598" width="16.140625" style="179" bestFit="1" customWidth="1"/>
    <col min="14599" max="14599" width="11.5703125" style="179" bestFit="1" customWidth="1"/>
    <col min="14600" max="14838" width="9.140625" style="179"/>
    <col min="14839" max="14839" width="33" style="179" customWidth="1"/>
    <col min="14840" max="14840" width="17.42578125" style="179" customWidth="1"/>
    <col min="14841" max="14841" width="17.140625" style="179" customWidth="1"/>
    <col min="14842" max="14842" width="16" style="179" customWidth="1"/>
    <col min="14843" max="14843" width="16.5703125" style="179" customWidth="1"/>
    <col min="14844" max="14844" width="16.28515625" style="179" customWidth="1"/>
    <col min="14845" max="14845" width="18.28515625" style="179" customWidth="1"/>
    <col min="14846" max="14846" width="17.42578125" style="179" customWidth="1"/>
    <col min="14847" max="14847" width="15.85546875" style="179" customWidth="1"/>
    <col min="14848" max="14848" width="17" style="179" customWidth="1"/>
    <col min="14849" max="14849" width="19.7109375" style="179" customWidth="1"/>
    <col min="14850" max="14850" width="17.28515625" style="179" customWidth="1"/>
    <col min="14851" max="14851" width="18.140625" style="179" customWidth="1"/>
    <col min="14852" max="14852" width="21.7109375" style="179" customWidth="1"/>
    <col min="14853" max="14853" width="0.42578125" style="179" customWidth="1"/>
    <col min="14854" max="14854" width="16.140625" style="179" bestFit="1" customWidth="1"/>
    <col min="14855" max="14855" width="11.5703125" style="179" bestFit="1" customWidth="1"/>
    <col min="14856" max="15094" width="9.140625" style="179"/>
    <col min="15095" max="15095" width="33" style="179" customWidth="1"/>
    <col min="15096" max="15096" width="17.42578125" style="179" customWidth="1"/>
    <col min="15097" max="15097" width="17.140625" style="179" customWidth="1"/>
    <col min="15098" max="15098" width="16" style="179" customWidth="1"/>
    <col min="15099" max="15099" width="16.5703125" style="179" customWidth="1"/>
    <col min="15100" max="15100" width="16.28515625" style="179" customWidth="1"/>
    <col min="15101" max="15101" width="18.28515625" style="179" customWidth="1"/>
    <col min="15102" max="15102" width="17.42578125" style="179" customWidth="1"/>
    <col min="15103" max="15103" width="15.85546875" style="179" customWidth="1"/>
    <col min="15104" max="15104" width="17" style="179" customWidth="1"/>
    <col min="15105" max="15105" width="19.7109375" style="179" customWidth="1"/>
    <col min="15106" max="15106" width="17.28515625" style="179" customWidth="1"/>
    <col min="15107" max="15107" width="18.140625" style="179" customWidth="1"/>
    <col min="15108" max="15108" width="21.7109375" style="179" customWidth="1"/>
    <col min="15109" max="15109" width="0.42578125" style="179" customWidth="1"/>
    <col min="15110" max="15110" width="16.140625" style="179" bestFit="1" customWidth="1"/>
    <col min="15111" max="15111" width="11.5703125" style="179" bestFit="1" customWidth="1"/>
    <col min="15112" max="15350" width="9.140625" style="179"/>
    <col min="15351" max="15351" width="33" style="179" customWidth="1"/>
    <col min="15352" max="15352" width="17.42578125" style="179" customWidth="1"/>
    <col min="15353" max="15353" width="17.140625" style="179" customWidth="1"/>
    <col min="15354" max="15354" width="16" style="179" customWidth="1"/>
    <col min="15355" max="15355" width="16.5703125" style="179" customWidth="1"/>
    <col min="15356" max="15356" width="16.28515625" style="179" customWidth="1"/>
    <col min="15357" max="15357" width="18.28515625" style="179" customWidth="1"/>
    <col min="15358" max="15358" width="17.42578125" style="179" customWidth="1"/>
    <col min="15359" max="15359" width="15.85546875" style="179" customWidth="1"/>
    <col min="15360" max="15360" width="17" style="179" customWidth="1"/>
    <col min="15361" max="15361" width="19.7109375" style="179" customWidth="1"/>
    <col min="15362" max="15362" width="17.28515625" style="179" customWidth="1"/>
    <col min="15363" max="15363" width="18.140625" style="179" customWidth="1"/>
    <col min="15364" max="15364" width="21.7109375" style="179" customWidth="1"/>
    <col min="15365" max="15365" width="0.42578125" style="179" customWidth="1"/>
    <col min="15366" max="15366" width="16.140625" style="179" bestFit="1" customWidth="1"/>
    <col min="15367" max="15367" width="11.5703125" style="179" bestFit="1" customWidth="1"/>
    <col min="15368" max="15606" width="9.140625" style="179"/>
    <col min="15607" max="15607" width="33" style="179" customWidth="1"/>
    <col min="15608" max="15608" width="17.42578125" style="179" customWidth="1"/>
    <col min="15609" max="15609" width="17.140625" style="179" customWidth="1"/>
    <col min="15610" max="15610" width="16" style="179" customWidth="1"/>
    <col min="15611" max="15611" width="16.5703125" style="179" customWidth="1"/>
    <col min="15612" max="15612" width="16.28515625" style="179" customWidth="1"/>
    <col min="15613" max="15613" width="18.28515625" style="179" customWidth="1"/>
    <col min="15614" max="15614" width="17.42578125" style="179" customWidth="1"/>
    <col min="15615" max="15615" width="15.85546875" style="179" customWidth="1"/>
    <col min="15616" max="15616" width="17" style="179" customWidth="1"/>
    <col min="15617" max="15617" width="19.7109375" style="179" customWidth="1"/>
    <col min="15618" max="15618" width="17.28515625" style="179" customWidth="1"/>
    <col min="15619" max="15619" width="18.140625" style="179" customWidth="1"/>
    <col min="15620" max="15620" width="21.7109375" style="179" customWidth="1"/>
    <col min="15621" max="15621" width="0.42578125" style="179" customWidth="1"/>
    <col min="15622" max="15622" width="16.140625" style="179" bestFit="1" customWidth="1"/>
    <col min="15623" max="15623" width="11.5703125" style="179" bestFit="1" customWidth="1"/>
    <col min="15624" max="15862" width="9.140625" style="179"/>
    <col min="15863" max="15863" width="33" style="179" customWidth="1"/>
    <col min="15864" max="15864" width="17.42578125" style="179" customWidth="1"/>
    <col min="15865" max="15865" width="17.140625" style="179" customWidth="1"/>
    <col min="15866" max="15866" width="16" style="179" customWidth="1"/>
    <col min="15867" max="15867" width="16.5703125" style="179" customWidth="1"/>
    <col min="15868" max="15868" width="16.28515625" style="179" customWidth="1"/>
    <col min="15869" max="15869" width="18.28515625" style="179" customWidth="1"/>
    <col min="15870" max="15870" width="17.42578125" style="179" customWidth="1"/>
    <col min="15871" max="15871" width="15.85546875" style="179" customWidth="1"/>
    <col min="15872" max="15872" width="17" style="179" customWidth="1"/>
    <col min="15873" max="15873" width="19.7109375" style="179" customWidth="1"/>
    <col min="15874" max="15874" width="17.28515625" style="179" customWidth="1"/>
    <col min="15875" max="15875" width="18.140625" style="179" customWidth="1"/>
    <col min="15876" max="15876" width="21.7109375" style="179" customWidth="1"/>
    <col min="15877" max="15877" width="0.42578125" style="179" customWidth="1"/>
    <col min="15878" max="15878" width="16.140625" style="179" bestFit="1" customWidth="1"/>
    <col min="15879" max="15879" width="11.5703125" style="179" bestFit="1" customWidth="1"/>
    <col min="15880" max="16118" width="9.140625" style="179"/>
    <col min="16119" max="16119" width="33" style="179" customWidth="1"/>
    <col min="16120" max="16120" width="17.42578125" style="179" customWidth="1"/>
    <col min="16121" max="16121" width="17.140625" style="179" customWidth="1"/>
    <col min="16122" max="16122" width="16" style="179" customWidth="1"/>
    <col min="16123" max="16123" width="16.5703125" style="179" customWidth="1"/>
    <col min="16124" max="16124" width="16.28515625" style="179" customWidth="1"/>
    <col min="16125" max="16125" width="18.28515625" style="179" customWidth="1"/>
    <col min="16126" max="16126" width="17.42578125" style="179" customWidth="1"/>
    <col min="16127" max="16127" width="15.85546875" style="179" customWidth="1"/>
    <col min="16128" max="16128" width="17" style="179" customWidth="1"/>
    <col min="16129" max="16129" width="19.7109375" style="179" customWidth="1"/>
    <col min="16130" max="16130" width="17.28515625" style="179" customWidth="1"/>
    <col min="16131" max="16131" width="18.140625" style="179" customWidth="1"/>
    <col min="16132" max="16132" width="21.7109375" style="179" customWidth="1"/>
    <col min="16133" max="16133" width="0.42578125" style="179" customWidth="1"/>
    <col min="16134" max="16134" width="16.140625" style="179" bestFit="1" customWidth="1"/>
    <col min="16135" max="16135" width="11.5703125" style="179" bestFit="1" customWidth="1"/>
    <col min="16136" max="16384" width="9.140625" style="179"/>
  </cols>
  <sheetData>
    <row r="1" spans="1:7" x14ac:dyDescent="0.25">
      <c r="B1" s="181" t="s">
        <v>122</v>
      </c>
    </row>
    <row r="2" spans="1:7" x14ac:dyDescent="0.25">
      <c r="A2" s="42"/>
      <c r="B2" s="181" t="s">
        <v>198</v>
      </c>
      <c r="C2" s="180"/>
      <c r="D2" s="180"/>
      <c r="E2" s="180"/>
    </row>
    <row r="3" spans="1:7" x14ac:dyDescent="0.25">
      <c r="A3" s="42"/>
      <c r="B3" s="181" t="s">
        <v>199</v>
      </c>
      <c r="C3" s="42"/>
      <c r="D3" s="42"/>
      <c r="E3" s="42"/>
      <c r="F3" s="42"/>
    </row>
    <row r="4" spans="1:7" ht="25.5" customHeight="1" x14ac:dyDescent="0.25">
      <c r="A4" s="484"/>
      <c r="B4" s="484"/>
      <c r="C4" s="484"/>
      <c r="D4" s="484"/>
      <c r="E4" s="484"/>
      <c r="F4" s="484"/>
    </row>
    <row r="5" spans="1:7" x14ac:dyDescent="0.25">
      <c r="A5" s="448" t="s">
        <v>219</v>
      </c>
      <c r="B5" s="449"/>
      <c r="C5" s="449"/>
      <c r="D5" s="449"/>
      <c r="E5" s="449"/>
      <c r="F5" s="450"/>
    </row>
    <row r="6" spans="1:7" x14ac:dyDescent="0.25">
      <c r="A6" s="181"/>
      <c r="B6" s="181"/>
      <c r="C6" s="181"/>
      <c r="D6" s="181"/>
      <c r="E6" s="181"/>
      <c r="F6" s="181"/>
    </row>
    <row r="7" spans="1:7" ht="20.100000000000001" customHeight="1" x14ac:dyDescent="0.25">
      <c r="A7" s="182" t="s">
        <v>218</v>
      </c>
      <c r="B7" s="45">
        <v>44197</v>
      </c>
      <c r="C7" s="45">
        <v>44228</v>
      </c>
      <c r="D7" s="45">
        <v>44256</v>
      </c>
      <c r="E7" s="45">
        <v>44287</v>
      </c>
      <c r="F7" s="46" t="s">
        <v>2</v>
      </c>
    </row>
    <row r="8" spans="1:7" ht="20.100000000000001" customHeight="1" x14ac:dyDescent="0.25">
      <c r="A8" s="178" t="s">
        <v>200</v>
      </c>
      <c r="B8" s="48">
        <v>2155137.62</v>
      </c>
      <c r="C8" s="48">
        <v>2633786</v>
      </c>
      <c r="D8" s="48">
        <v>2430955.73</v>
      </c>
      <c r="E8" s="48">
        <v>2465434.13</v>
      </c>
      <c r="F8" s="49">
        <f t="shared" ref="F8:F13" si="0">SUM(B8:E8)</f>
        <v>9685313.4800000004</v>
      </c>
    </row>
    <row r="9" spans="1:7" ht="20.100000000000001" customHeight="1" x14ac:dyDescent="0.25">
      <c r="A9" s="178" t="s">
        <v>201</v>
      </c>
      <c r="B9" s="48">
        <v>0</v>
      </c>
      <c r="C9" s="48">
        <v>0</v>
      </c>
      <c r="D9" s="48">
        <v>0</v>
      </c>
      <c r="E9" s="48">
        <v>0</v>
      </c>
      <c r="F9" s="49">
        <f t="shared" si="0"/>
        <v>0</v>
      </c>
      <c r="G9" s="50"/>
    </row>
    <row r="10" spans="1:7" ht="20.100000000000001" customHeight="1" x14ac:dyDescent="0.25">
      <c r="A10" s="178" t="s">
        <v>204</v>
      </c>
      <c r="B10" s="48">
        <f>180515.91</f>
        <v>180515.91</v>
      </c>
      <c r="C10" s="48">
        <v>229527.05</v>
      </c>
      <c r="D10" s="48">
        <v>243094.13</v>
      </c>
      <c r="E10" s="48">
        <v>207615.02</v>
      </c>
      <c r="F10" s="49">
        <f t="shared" si="0"/>
        <v>860752.11</v>
      </c>
      <c r="G10" s="159"/>
    </row>
    <row r="11" spans="1:7" ht="20.100000000000001" customHeight="1" x14ac:dyDescent="0.25">
      <c r="A11" s="178" t="s">
        <v>202</v>
      </c>
      <c r="B11" s="48">
        <v>0</v>
      </c>
      <c r="C11" s="48">
        <v>0</v>
      </c>
      <c r="D11" s="48">
        <v>0</v>
      </c>
      <c r="E11" s="48">
        <v>0</v>
      </c>
      <c r="F11" s="49">
        <f t="shared" si="0"/>
        <v>0</v>
      </c>
      <c r="G11" s="159"/>
    </row>
    <row r="12" spans="1:7" ht="20.100000000000001" customHeight="1" x14ac:dyDescent="0.25">
      <c r="A12" s="178" t="s">
        <v>206</v>
      </c>
      <c r="B12" s="48">
        <v>0</v>
      </c>
      <c r="C12" s="48">
        <f>12285.54+595.12</f>
        <v>12880.660000000002</v>
      </c>
      <c r="D12" s="48">
        <f>12285.54+595.12</f>
        <v>12880.660000000002</v>
      </c>
      <c r="E12" s="48">
        <f>12285.54+595.12</f>
        <v>12880.660000000002</v>
      </c>
      <c r="F12" s="49">
        <f t="shared" si="0"/>
        <v>38641.980000000003</v>
      </c>
      <c r="G12" s="159"/>
    </row>
    <row r="13" spans="1:7" ht="19.5" customHeight="1" x14ac:dyDescent="0.25">
      <c r="A13" s="178" t="s">
        <v>203</v>
      </c>
      <c r="B13" s="48"/>
      <c r="C13" s="48"/>
      <c r="D13" s="48"/>
      <c r="E13" s="48"/>
      <c r="F13" s="49">
        <f t="shared" si="0"/>
        <v>0</v>
      </c>
      <c r="G13" s="159"/>
    </row>
    <row r="14" spans="1:7" ht="9.75" customHeight="1" x14ac:dyDescent="0.25">
      <c r="A14" s="47"/>
      <c r="B14" s="48"/>
      <c r="C14" s="48"/>
      <c r="D14" s="48"/>
      <c r="E14" s="48"/>
      <c r="F14" s="49"/>
      <c r="G14" s="159"/>
    </row>
    <row r="15" spans="1:7" s="204" customFormat="1" ht="19.5" customHeight="1" x14ac:dyDescent="0.25">
      <c r="A15" s="47" t="s">
        <v>205</v>
      </c>
      <c r="B15" s="49">
        <f>SUM(B8:B13)</f>
        <v>2335653.5300000003</v>
      </c>
      <c r="C15" s="49">
        <f>SUM(C8:C13)</f>
        <v>2876193.71</v>
      </c>
      <c r="D15" s="49">
        <f>SUM(D8:D13)</f>
        <v>2686930.52</v>
      </c>
      <c r="E15" s="49">
        <f>SUM(E8:E13)</f>
        <v>2685929.81</v>
      </c>
      <c r="F15" s="49">
        <f>SUM(F8:F13)</f>
        <v>10584707.57</v>
      </c>
      <c r="G15" s="203"/>
    </row>
    <row r="16" spans="1:7" ht="10.5" customHeight="1" x14ac:dyDescent="0.25">
      <c r="A16" s="47"/>
      <c r="B16" s="48"/>
      <c r="C16" s="48"/>
      <c r="D16" s="48"/>
      <c r="E16" s="48"/>
      <c r="F16" s="49"/>
      <c r="G16" s="159"/>
    </row>
    <row r="17" spans="1:7" ht="20.100000000000001" customHeight="1" x14ac:dyDescent="0.25">
      <c r="A17" s="58" t="s">
        <v>225</v>
      </c>
      <c r="B17" s="177">
        <v>0</v>
      </c>
      <c r="C17" s="177">
        <v>0</v>
      </c>
      <c r="D17" s="177">
        <v>0</v>
      </c>
      <c r="E17" s="177">
        <v>0</v>
      </c>
      <c r="F17" s="49">
        <f>SUM(B17:E17)</f>
        <v>0</v>
      </c>
    </row>
    <row r="18" spans="1:7" ht="10.5" customHeight="1" x14ac:dyDescent="0.25">
      <c r="A18" s="58"/>
      <c r="B18" s="177"/>
      <c r="C18" s="177"/>
      <c r="D18" s="177"/>
      <c r="E18" s="177"/>
      <c r="F18" s="59"/>
    </row>
    <row r="19" spans="1:7" ht="20.100000000000001" customHeight="1" x14ac:dyDescent="0.25">
      <c r="A19" s="51" t="s">
        <v>217</v>
      </c>
      <c r="B19" s="51">
        <f>B15-B17</f>
        <v>2335653.5300000003</v>
      </c>
      <c r="C19" s="51">
        <f>C15-C17</f>
        <v>2876193.71</v>
      </c>
      <c r="D19" s="51">
        <f>D15-D17</f>
        <v>2686930.52</v>
      </c>
      <c r="E19" s="51">
        <f>E15-E17</f>
        <v>2685929.81</v>
      </c>
      <c r="F19" s="51">
        <f>F15-F17</f>
        <v>10584707.57</v>
      </c>
    </row>
    <row r="20" spans="1:7" ht="9" customHeight="1" x14ac:dyDescent="0.25">
      <c r="A20" s="51"/>
      <c r="B20" s="51"/>
      <c r="C20" s="51"/>
      <c r="D20" s="51"/>
      <c r="E20" s="51"/>
      <c r="F20" s="51"/>
    </row>
    <row r="21" spans="1:7" ht="20.100000000000001" customHeight="1" x14ac:dyDescent="0.25">
      <c r="A21" s="52" t="s">
        <v>215</v>
      </c>
      <c r="B21" s="52">
        <f>Receitas!B25</f>
        <v>3819219.5500000003</v>
      </c>
      <c r="C21" s="52">
        <f>Receitas!C25</f>
        <v>4656022.76</v>
      </c>
      <c r="D21" s="52">
        <f>Receitas!D25</f>
        <v>3859246.91</v>
      </c>
      <c r="E21" s="52">
        <f>Receitas!E25</f>
        <v>3607438.63</v>
      </c>
      <c r="F21" s="205">
        <f>SUM(B21:E21)</f>
        <v>15941927.850000001</v>
      </c>
      <c r="G21" s="184"/>
    </row>
    <row r="22" spans="1:7" ht="9.75" customHeight="1" x14ac:dyDescent="0.25">
      <c r="A22" s="51"/>
      <c r="B22" s="51"/>
      <c r="C22" s="51"/>
      <c r="D22" s="51"/>
      <c r="E22" s="51"/>
      <c r="F22" s="53"/>
      <c r="G22" s="184"/>
    </row>
    <row r="23" spans="1:7" ht="20.100000000000001" customHeight="1" x14ac:dyDescent="0.25">
      <c r="A23" s="51" t="s">
        <v>123</v>
      </c>
      <c r="B23" s="56">
        <f>B19/B21</f>
        <v>0.61155256968665239</v>
      </c>
      <c r="C23" s="56">
        <f>C19/C21</f>
        <v>0.61773617919341961</v>
      </c>
      <c r="D23" s="56">
        <f>D19/D21</f>
        <v>0.69623182518788362</v>
      </c>
      <c r="E23" s="56">
        <f>E19/E21</f>
        <v>0.74455315404769618</v>
      </c>
      <c r="F23" s="56">
        <f>F19/F21</f>
        <v>0.66395405057613521</v>
      </c>
    </row>
    <row r="24" spans="1:7" x14ac:dyDescent="0.25">
      <c r="D24" s="160"/>
    </row>
    <row r="25" spans="1:7" ht="26.25" customHeight="1" x14ac:dyDescent="0.3">
      <c r="B25" s="184"/>
      <c r="C25" s="184"/>
      <c r="D25" s="184"/>
      <c r="E25" s="184"/>
      <c r="F25" s="208">
        <f>F23</f>
        <v>0.66395405057613521</v>
      </c>
    </row>
    <row r="26" spans="1:7" x14ac:dyDescent="0.25">
      <c r="A26" s="179" t="s">
        <v>222</v>
      </c>
      <c r="F26" s="54"/>
    </row>
    <row r="27" spans="1:7" x14ac:dyDescent="0.25">
      <c r="A27" s="77"/>
      <c r="F27" s="54"/>
    </row>
    <row r="28" spans="1:7" ht="16.5" customHeight="1" x14ac:dyDescent="0.25">
      <c r="A28" s="77"/>
    </row>
    <row r="29" spans="1:7" ht="16.5" customHeight="1" x14ac:dyDescent="0.25">
      <c r="A29" s="213" t="s">
        <v>223</v>
      </c>
    </row>
    <row r="30" spans="1:7" x14ac:dyDescent="0.25">
      <c r="A30" s="206" t="s">
        <v>224</v>
      </c>
    </row>
    <row r="31" spans="1:7" x14ac:dyDescent="0.25">
      <c r="A31" s="180"/>
    </row>
    <row r="32" spans="1:7" x14ac:dyDescent="0.25">
      <c r="A32" s="180"/>
    </row>
    <row r="33" spans="1:6" x14ac:dyDescent="0.25">
      <c r="A33" s="180"/>
      <c r="B33" s="54"/>
      <c r="C33" s="54"/>
      <c r="D33" s="54"/>
      <c r="E33" s="54"/>
    </row>
    <row r="34" spans="1:6" x14ac:dyDescent="0.25">
      <c r="A34" s="180"/>
      <c r="B34" s="54"/>
      <c r="C34" s="54"/>
      <c r="D34" s="54"/>
      <c r="E34" s="54"/>
    </row>
    <row r="35" spans="1:6" x14ac:dyDescent="0.25">
      <c r="A35" s="180"/>
      <c r="B35" s="187"/>
      <c r="C35" s="187"/>
      <c r="D35" s="187"/>
      <c r="E35" s="187"/>
    </row>
    <row r="44" spans="1:6" x14ac:dyDescent="0.25">
      <c r="B44" s="181" t="s">
        <v>122</v>
      </c>
    </row>
    <row r="45" spans="1:6" x14ac:dyDescent="0.25">
      <c r="A45" s="42"/>
      <c r="B45" s="181" t="s">
        <v>198</v>
      </c>
      <c r="C45" s="180"/>
      <c r="D45" s="180"/>
      <c r="E45" s="180"/>
    </row>
    <row r="46" spans="1:6" x14ac:dyDescent="0.25">
      <c r="A46" s="42"/>
      <c r="B46" s="181" t="s">
        <v>199</v>
      </c>
      <c r="C46" s="42"/>
      <c r="D46" s="42"/>
      <c r="E46" s="42"/>
      <c r="F46" s="42"/>
    </row>
    <row r="47" spans="1:6" x14ac:dyDescent="0.25">
      <c r="A47" s="484"/>
      <c r="B47" s="484"/>
      <c r="C47" s="484"/>
      <c r="D47" s="484"/>
      <c r="E47" s="484"/>
      <c r="F47" s="484"/>
    </row>
    <row r="48" spans="1:6" x14ac:dyDescent="0.25">
      <c r="A48" s="448" t="s">
        <v>221</v>
      </c>
      <c r="B48" s="449"/>
      <c r="C48" s="449"/>
      <c r="D48" s="449"/>
      <c r="E48" s="449"/>
      <c r="F48" s="450"/>
    </row>
    <row r="49" spans="1:12" x14ac:dyDescent="0.25">
      <c r="A49" s="181"/>
      <c r="B49" s="181"/>
      <c r="C49" s="181"/>
      <c r="D49" s="181"/>
      <c r="E49" s="181"/>
      <c r="F49" s="181"/>
    </row>
    <row r="50" spans="1:12" x14ac:dyDescent="0.25">
      <c r="A50" s="182" t="s">
        <v>218</v>
      </c>
      <c r="B50" s="45">
        <v>44197</v>
      </c>
      <c r="C50" s="45">
        <v>44228</v>
      </c>
      <c r="D50" s="45">
        <v>44256</v>
      </c>
      <c r="E50" s="45">
        <v>44287</v>
      </c>
      <c r="F50" s="46" t="s">
        <v>2</v>
      </c>
    </row>
    <row r="51" spans="1:12" x14ac:dyDescent="0.25">
      <c r="A51" s="178" t="s">
        <v>200</v>
      </c>
      <c r="B51" s="48">
        <f>2155137.62-93314.8</f>
        <v>2061822.82</v>
      </c>
      <c r="C51" s="48">
        <f>2633786-93314.8</f>
        <v>2540471.2000000002</v>
      </c>
      <c r="D51" s="48">
        <f>2430955.73-93314.8</f>
        <v>2337640.9300000002</v>
      </c>
      <c r="E51" s="48">
        <f>2465434.13-93314.8</f>
        <v>2372119.33</v>
      </c>
      <c r="F51" s="49">
        <f t="shared" ref="F51:F56" si="1">SUM(B51:E51)</f>
        <v>9312054.2800000012</v>
      </c>
    </row>
    <row r="52" spans="1:12" x14ac:dyDescent="0.25">
      <c r="A52" s="178" t="s">
        <v>201</v>
      </c>
      <c r="B52" s="48">
        <v>0</v>
      </c>
      <c r="C52" s="48">
        <v>0</v>
      </c>
      <c r="D52" s="48">
        <v>0</v>
      </c>
      <c r="E52" s="48">
        <v>0</v>
      </c>
      <c r="F52" s="49">
        <f t="shared" si="1"/>
        <v>0</v>
      </c>
    </row>
    <row r="53" spans="1:12" x14ac:dyDescent="0.25">
      <c r="A53" s="178" t="s">
        <v>204</v>
      </c>
      <c r="B53" s="48">
        <f>180515.91-20062.68</f>
        <v>160453.23000000001</v>
      </c>
      <c r="C53" s="48">
        <f>229527.05-20062.68</f>
        <v>209464.37</v>
      </c>
      <c r="D53" s="48">
        <f>243094.13-20062.68</f>
        <v>223031.45</v>
      </c>
      <c r="E53" s="48">
        <f>207615.02-20062.68</f>
        <v>187552.34</v>
      </c>
      <c r="F53" s="49">
        <f t="shared" si="1"/>
        <v>780501.39</v>
      </c>
    </row>
    <row r="54" spans="1:12" x14ac:dyDescent="0.25">
      <c r="A54" s="178" t="s">
        <v>202</v>
      </c>
      <c r="B54" s="48">
        <v>0</v>
      </c>
      <c r="C54" s="48">
        <v>0</v>
      </c>
      <c r="D54" s="48">
        <v>0</v>
      </c>
      <c r="E54" s="48">
        <v>0</v>
      </c>
      <c r="F54" s="49">
        <f t="shared" si="1"/>
        <v>0</v>
      </c>
    </row>
    <row r="55" spans="1:12" x14ac:dyDescent="0.25">
      <c r="A55" s="178" t="s">
        <v>206</v>
      </c>
      <c r="B55" s="48">
        <v>0</v>
      </c>
      <c r="C55" s="48">
        <f>12285.54+595.12</f>
        <v>12880.660000000002</v>
      </c>
      <c r="D55" s="48">
        <f>12285.54+595.12</f>
        <v>12880.660000000002</v>
      </c>
      <c r="E55" s="48">
        <f>12285.54+595.12</f>
        <v>12880.660000000002</v>
      </c>
      <c r="F55" s="49">
        <f t="shared" si="1"/>
        <v>38641.980000000003</v>
      </c>
    </row>
    <row r="56" spans="1:12" x14ac:dyDescent="0.25">
      <c r="A56" s="178" t="s">
        <v>203</v>
      </c>
      <c r="B56" s="48"/>
      <c r="C56" s="48"/>
      <c r="D56" s="48"/>
      <c r="E56" s="48"/>
      <c r="F56" s="49">
        <f t="shared" si="1"/>
        <v>0</v>
      </c>
    </row>
    <row r="57" spans="1:12" x14ac:dyDescent="0.25">
      <c r="A57" s="47"/>
      <c r="B57" s="209"/>
      <c r="C57" s="209"/>
      <c r="D57" s="209"/>
      <c r="E57" s="209"/>
      <c r="F57" s="49"/>
    </row>
    <row r="58" spans="1:12" x14ac:dyDescent="0.25">
      <c r="A58" s="47" t="s">
        <v>205</v>
      </c>
      <c r="B58" s="49">
        <f>SUM(B51:B56)</f>
        <v>2222276.0500000003</v>
      </c>
      <c r="C58" s="49">
        <f>SUM(C51:C56)</f>
        <v>2762816.2300000004</v>
      </c>
      <c r="D58" s="49">
        <f>SUM(D51:D56)</f>
        <v>2573553.0400000005</v>
      </c>
      <c r="E58" s="49">
        <f>SUM(E51:E56)</f>
        <v>2572552.33</v>
      </c>
      <c r="F58" s="49">
        <f>SUM(F51:F56)</f>
        <v>10131197.650000002</v>
      </c>
    </row>
    <row r="59" spans="1:12" x14ac:dyDescent="0.25">
      <c r="A59" s="47"/>
      <c r="B59" s="48"/>
      <c r="C59" s="48"/>
      <c r="D59" s="48"/>
      <c r="E59" s="48"/>
      <c r="F59" s="49"/>
    </row>
    <row r="60" spans="1:12" x14ac:dyDescent="0.25">
      <c r="A60" s="58" t="s">
        <v>225</v>
      </c>
      <c r="B60" s="177">
        <v>0</v>
      </c>
      <c r="C60" s="177">
        <v>0</v>
      </c>
      <c r="D60" s="177">
        <v>0</v>
      </c>
      <c r="E60" s="177">
        <v>0</v>
      </c>
      <c r="F60" s="49">
        <f>SUM(B60:E60)</f>
        <v>0</v>
      </c>
      <c r="H60" s="77"/>
      <c r="I60" s="77"/>
      <c r="J60" s="77"/>
      <c r="K60" s="77"/>
      <c r="L60" s="77"/>
    </row>
    <row r="61" spans="1:12" x14ac:dyDescent="0.25">
      <c r="A61" s="58"/>
      <c r="B61" s="177"/>
      <c r="C61" s="177"/>
      <c r="D61" s="177"/>
      <c r="E61" s="177"/>
      <c r="F61" s="59"/>
      <c r="H61" s="54">
        <v>93314.8</v>
      </c>
      <c r="I61" s="163">
        <f>H61</f>
        <v>93314.8</v>
      </c>
      <c r="J61" s="163">
        <f>I61</f>
        <v>93314.8</v>
      </c>
      <c r="K61" s="211">
        <f>J61</f>
        <v>93314.8</v>
      </c>
      <c r="L61" s="77"/>
    </row>
    <row r="62" spans="1:12" x14ac:dyDescent="0.25">
      <c r="A62" s="51" t="s">
        <v>217</v>
      </c>
      <c r="B62" s="51">
        <f>B58-B60</f>
        <v>2222276.0500000003</v>
      </c>
      <c r="C62" s="51">
        <f>C58-C60</f>
        <v>2762816.2300000004</v>
      </c>
      <c r="D62" s="51">
        <f>D58-D60</f>
        <v>2573553.0400000005</v>
      </c>
      <c r="E62" s="51">
        <f>E58-E60</f>
        <v>2572552.33</v>
      </c>
      <c r="F62" s="51">
        <f>F58-F60</f>
        <v>10131197.650000002</v>
      </c>
      <c r="G62" s="183">
        <f>F19-F62</f>
        <v>453509.91999999806</v>
      </c>
      <c r="H62" s="44">
        <f>H61*21.5%</f>
        <v>20062.682000000001</v>
      </c>
      <c r="I62" s="44">
        <f t="shared" ref="I62:K62" si="2">I61*21.5%</f>
        <v>20062.682000000001</v>
      </c>
      <c r="J62" s="44">
        <f t="shared" si="2"/>
        <v>20062.682000000001</v>
      </c>
      <c r="K62" s="44">
        <f t="shared" si="2"/>
        <v>20062.682000000001</v>
      </c>
      <c r="L62" s="77"/>
    </row>
    <row r="63" spans="1:12" x14ac:dyDescent="0.25">
      <c r="A63" s="51"/>
      <c r="B63" s="51"/>
      <c r="C63" s="51"/>
      <c r="D63" s="51"/>
      <c r="E63" s="51"/>
      <c r="F63" s="51"/>
      <c r="H63" s="186"/>
      <c r="I63" s="39"/>
      <c r="J63" s="39"/>
      <c r="K63" s="44">
        <f>SUM(K61:K62)</f>
        <v>113377.482</v>
      </c>
    </row>
    <row r="64" spans="1:12" x14ac:dyDescent="0.25">
      <c r="A64" s="52" t="s">
        <v>215</v>
      </c>
      <c r="B64" s="52">
        <f>B21</f>
        <v>3819219.5500000003</v>
      </c>
      <c r="C64" s="52">
        <f t="shared" ref="C64:E64" si="3">C21</f>
        <v>4656022.76</v>
      </c>
      <c r="D64" s="52">
        <f t="shared" si="3"/>
        <v>3859246.91</v>
      </c>
      <c r="E64" s="52">
        <f t="shared" si="3"/>
        <v>3607438.63</v>
      </c>
      <c r="F64" s="205">
        <f>SUM(B64:E64)</f>
        <v>15941927.850000001</v>
      </c>
    </row>
    <row r="65" spans="1:8" x14ac:dyDescent="0.25">
      <c r="A65" s="51"/>
      <c r="B65" s="51"/>
      <c r="C65" s="51"/>
      <c r="D65" s="51"/>
      <c r="E65" s="51"/>
      <c r="F65" s="53"/>
    </row>
    <row r="66" spans="1:8" x14ac:dyDescent="0.25">
      <c r="A66" s="51" t="s">
        <v>123</v>
      </c>
      <c r="B66" s="56">
        <f>B62/B64</f>
        <v>0.58186653605708527</v>
      </c>
      <c r="C66" s="56">
        <f>C62/C64</f>
        <v>0.5933854648940764</v>
      </c>
      <c r="D66" s="56">
        <f>D62/D64</f>
        <v>0.666853689338058</v>
      </c>
      <c r="E66" s="56">
        <f>E62/E64</f>
        <v>0.71312435050350398</v>
      </c>
      <c r="F66" s="56">
        <f>F62/F64</f>
        <v>0.63550642966935778</v>
      </c>
      <c r="G66" s="183">
        <f>G62/4</f>
        <v>113377.47999999952</v>
      </c>
      <c r="H66" s="183">
        <f>G66*13.3</f>
        <v>1507920.4839999937</v>
      </c>
    </row>
    <row r="67" spans="1:8" x14ac:dyDescent="0.25">
      <c r="D67" s="160"/>
    </row>
    <row r="68" spans="1:8" ht="20.25" x14ac:dyDescent="0.3">
      <c r="B68" s="184"/>
      <c r="C68" s="184"/>
      <c r="D68" s="184"/>
      <c r="E68" s="184"/>
      <c r="F68" s="208">
        <f>F66</f>
        <v>0.63550642966935778</v>
      </c>
      <c r="G68" s="212">
        <f>F25-F68</f>
        <v>2.8447620906777438E-2</v>
      </c>
    </row>
    <row r="69" spans="1:8" x14ac:dyDescent="0.25">
      <c r="A69" s="179" t="s">
        <v>222</v>
      </c>
    </row>
    <row r="70" spans="1:8" s="77" customFormat="1" ht="15" x14ac:dyDescent="0.2"/>
    <row r="71" spans="1:8" s="77" customFormat="1" ht="15" x14ac:dyDescent="0.2"/>
    <row r="72" spans="1:8" s="77" customFormat="1" ht="15" x14ac:dyDescent="0.2">
      <c r="A72" s="213" t="s">
        <v>223</v>
      </c>
    </row>
    <row r="73" spans="1:8" x14ac:dyDescent="0.25">
      <c r="A73" s="206" t="s">
        <v>224</v>
      </c>
    </row>
    <row r="78" spans="1:8" ht="15.75" customHeight="1" x14ac:dyDescent="0.25">
      <c r="A78" s="561" t="s">
        <v>226</v>
      </c>
      <c r="B78" s="561"/>
      <c r="C78" s="561"/>
      <c r="D78" s="561"/>
      <c r="E78" s="561"/>
      <c r="F78" s="561"/>
    </row>
    <row r="79" spans="1:8" ht="43.5" customHeight="1" x14ac:dyDescent="0.25">
      <c r="A79" s="561"/>
      <c r="B79" s="561"/>
      <c r="C79" s="561"/>
      <c r="D79" s="561"/>
      <c r="E79" s="561"/>
      <c r="F79" s="561"/>
    </row>
    <row r="80" spans="1:8" x14ac:dyDescent="0.25">
      <c r="A80" s="214"/>
      <c r="B80" s="214"/>
      <c r="C80" s="214"/>
      <c r="D80" s="214"/>
      <c r="E80" s="214"/>
      <c r="F80" s="214"/>
    </row>
    <row r="81" spans="1:6" x14ac:dyDescent="0.25">
      <c r="A81" s="214"/>
      <c r="B81" s="214"/>
      <c r="C81" s="214"/>
      <c r="D81" s="214"/>
      <c r="E81" s="214"/>
      <c r="F81" s="214"/>
    </row>
    <row r="82" spans="1:6" x14ac:dyDescent="0.25">
      <c r="A82" s="214"/>
      <c r="B82" s="214"/>
      <c r="C82" s="214"/>
      <c r="D82" s="214"/>
      <c r="E82" s="214"/>
      <c r="F82" s="214"/>
    </row>
    <row r="83" spans="1:6" x14ac:dyDescent="0.25">
      <c r="A83" s="214"/>
      <c r="B83" s="214"/>
      <c r="C83" s="214"/>
      <c r="D83" s="214"/>
      <c r="E83" s="214"/>
      <c r="F83" s="214"/>
    </row>
    <row r="84" spans="1:6" x14ac:dyDescent="0.25">
      <c r="A84" s="214"/>
      <c r="B84" s="214"/>
      <c r="C84" s="214"/>
      <c r="D84" s="214"/>
      <c r="E84" s="214"/>
      <c r="F84" s="214"/>
    </row>
    <row r="91" spans="1:6" x14ac:dyDescent="0.25">
      <c r="B91" s="181" t="s">
        <v>122</v>
      </c>
    </row>
    <row r="92" spans="1:6" x14ac:dyDescent="0.25">
      <c r="A92" s="42"/>
      <c r="B92" s="181" t="s">
        <v>198</v>
      </c>
      <c r="C92" s="180"/>
      <c r="D92" s="180"/>
      <c r="E92" s="180"/>
    </row>
    <row r="93" spans="1:6" x14ac:dyDescent="0.25">
      <c r="A93" s="42"/>
      <c r="B93" s="181" t="s">
        <v>199</v>
      </c>
      <c r="C93" s="42"/>
      <c r="D93" s="42"/>
      <c r="E93" s="42"/>
      <c r="F93" s="42"/>
    </row>
    <row r="94" spans="1:6" x14ac:dyDescent="0.25">
      <c r="A94" s="484"/>
      <c r="B94" s="484"/>
      <c r="C94" s="484"/>
      <c r="D94" s="484"/>
      <c r="E94" s="484"/>
      <c r="F94" s="484"/>
    </row>
    <row r="95" spans="1:6" x14ac:dyDescent="0.25">
      <c r="A95" s="448" t="s">
        <v>220</v>
      </c>
      <c r="B95" s="449"/>
      <c r="C95" s="449"/>
      <c r="D95" s="449"/>
      <c r="E95" s="449"/>
      <c r="F95" s="450"/>
    </row>
    <row r="96" spans="1:6" x14ac:dyDescent="0.25">
      <c r="A96" s="181"/>
      <c r="B96" s="181"/>
      <c r="C96" s="181"/>
      <c r="D96" s="181"/>
      <c r="E96" s="181"/>
      <c r="F96" s="181"/>
    </row>
    <row r="97" spans="1:11" x14ac:dyDescent="0.25">
      <c r="A97" s="182" t="s">
        <v>218</v>
      </c>
      <c r="B97" s="45">
        <v>44197</v>
      </c>
      <c r="C97" s="45">
        <v>44228</v>
      </c>
      <c r="D97" s="45">
        <v>44256</v>
      </c>
      <c r="E97" s="45">
        <v>44287</v>
      </c>
      <c r="F97" s="46" t="s">
        <v>2</v>
      </c>
    </row>
    <row r="98" spans="1:11" x14ac:dyDescent="0.25">
      <c r="A98" s="178" t="s">
        <v>200</v>
      </c>
      <c r="B98" s="48">
        <f>2155137.62-93314.8</f>
        <v>2061822.82</v>
      </c>
      <c r="C98" s="48">
        <f>2633786-93314.8</f>
        <v>2540471.2000000002</v>
      </c>
      <c r="D98" s="48">
        <f>2430955.73-93314.8</f>
        <v>2337640.9300000002</v>
      </c>
      <c r="E98" s="48">
        <f>2465434.13-93314.8</f>
        <v>2372119.33</v>
      </c>
      <c r="F98" s="49">
        <f t="shared" ref="F98:F103" si="4">SUM(B98:E98)</f>
        <v>9312054.2800000012</v>
      </c>
    </row>
    <row r="99" spans="1:11" x14ac:dyDescent="0.25">
      <c r="A99" s="178" t="s">
        <v>201</v>
      </c>
      <c r="B99" s="48">
        <v>0</v>
      </c>
      <c r="C99" s="48">
        <v>0</v>
      </c>
      <c r="D99" s="48">
        <v>0</v>
      </c>
      <c r="E99" s="48">
        <v>0</v>
      </c>
      <c r="F99" s="49">
        <f t="shared" si="4"/>
        <v>0</v>
      </c>
    </row>
    <row r="100" spans="1:11" x14ac:dyDescent="0.25">
      <c r="A100" s="178" t="s">
        <v>204</v>
      </c>
      <c r="B100" s="48">
        <f>180515.91-7816.12</f>
        <v>172699.79</v>
      </c>
      <c r="C100" s="48">
        <f>229527.05-8132.12</f>
        <v>221394.93</v>
      </c>
      <c r="D100" s="48">
        <f>243094.13-9331.42</f>
        <v>233762.71</v>
      </c>
      <c r="E100" s="48">
        <f>207615.02-7858.07</f>
        <v>199756.94999999998</v>
      </c>
      <c r="F100" s="49">
        <f t="shared" si="4"/>
        <v>827614.37999999989</v>
      </c>
    </row>
    <row r="101" spans="1:11" x14ac:dyDescent="0.25">
      <c r="A101" s="178" t="s">
        <v>202</v>
      </c>
      <c r="B101" s="48">
        <v>0</v>
      </c>
      <c r="C101" s="48">
        <v>0</v>
      </c>
      <c r="D101" s="48">
        <v>0</v>
      </c>
      <c r="E101" s="48">
        <v>0</v>
      </c>
      <c r="F101" s="49">
        <f t="shared" si="4"/>
        <v>0</v>
      </c>
    </row>
    <row r="102" spans="1:11" x14ac:dyDescent="0.25">
      <c r="A102" s="178" t="s">
        <v>206</v>
      </c>
      <c r="B102" s="48">
        <v>0</v>
      </c>
      <c r="C102" s="48">
        <f>12285.54+595.12</f>
        <v>12880.660000000002</v>
      </c>
      <c r="D102" s="48">
        <f>12285.54+595.12</f>
        <v>12880.660000000002</v>
      </c>
      <c r="E102" s="48">
        <f>12285.54+595.12</f>
        <v>12880.660000000002</v>
      </c>
      <c r="F102" s="49">
        <f t="shared" si="4"/>
        <v>38641.980000000003</v>
      </c>
    </row>
    <row r="103" spans="1:11" x14ac:dyDescent="0.25">
      <c r="A103" s="178" t="s">
        <v>203</v>
      </c>
      <c r="B103" s="48"/>
      <c r="C103" s="48"/>
      <c r="D103" s="48"/>
      <c r="E103" s="48"/>
      <c r="F103" s="49">
        <f t="shared" si="4"/>
        <v>0</v>
      </c>
    </row>
    <row r="104" spans="1:11" x14ac:dyDescent="0.25">
      <c r="A104" s="47"/>
      <c r="B104" s="209"/>
      <c r="C104" s="209"/>
      <c r="D104" s="209"/>
      <c r="E104" s="209"/>
      <c r="F104" s="49"/>
      <c r="H104" s="207">
        <f>B10/B8</f>
        <v>8.37607345001012E-2</v>
      </c>
      <c r="I104" s="207">
        <f>C10/C8</f>
        <v>8.7147190394360058E-2</v>
      </c>
      <c r="J104" s="207">
        <f>D10/D8</f>
        <v>9.9999406406302602E-2</v>
      </c>
      <c r="K104" s="207">
        <f>E10/E8</f>
        <v>8.4210329318350111E-2</v>
      </c>
    </row>
    <row r="105" spans="1:11" x14ac:dyDescent="0.25">
      <c r="A105" s="47" t="s">
        <v>205</v>
      </c>
      <c r="B105" s="49">
        <f>SUM(B98:B103)</f>
        <v>2234522.61</v>
      </c>
      <c r="C105" s="49">
        <f>SUM(C98:C103)</f>
        <v>2774746.7900000005</v>
      </c>
      <c r="D105" s="49">
        <f>SUM(D98:D103)</f>
        <v>2584284.3000000003</v>
      </c>
      <c r="E105" s="49">
        <f>SUM(E98:E103)</f>
        <v>2584756.9400000004</v>
      </c>
      <c r="F105" s="49">
        <f>SUM(F98:F103)</f>
        <v>10178310.640000001</v>
      </c>
      <c r="H105" s="54"/>
      <c r="I105" s="185"/>
      <c r="J105" s="185"/>
      <c r="K105" s="54"/>
    </row>
    <row r="106" spans="1:11" x14ac:dyDescent="0.25">
      <c r="A106" s="47"/>
      <c r="B106" s="48"/>
      <c r="C106" s="48"/>
      <c r="D106" s="48"/>
      <c r="E106" s="48"/>
      <c r="F106" s="49"/>
      <c r="H106" s="44"/>
      <c r="I106" s="39"/>
      <c r="J106" s="39"/>
      <c r="K106" s="44"/>
    </row>
    <row r="107" spans="1:11" x14ac:dyDescent="0.25">
      <c r="A107" s="58" t="s">
        <v>138</v>
      </c>
      <c r="B107" s="177">
        <v>0</v>
      </c>
      <c r="C107" s="177">
        <v>0</v>
      </c>
      <c r="D107" s="177">
        <v>0</v>
      </c>
      <c r="E107" s="177">
        <v>0</v>
      </c>
      <c r="F107" s="49">
        <f>SUM(B107:E107)</f>
        <v>0</v>
      </c>
      <c r="H107" s="186"/>
      <c r="I107" s="39"/>
      <c r="J107" s="39"/>
      <c r="K107" s="44"/>
    </row>
    <row r="108" spans="1:11" x14ac:dyDescent="0.25">
      <c r="A108" s="58"/>
      <c r="B108" s="177"/>
      <c r="C108" s="177"/>
      <c r="D108" s="177"/>
      <c r="E108" s="177"/>
      <c r="F108" s="59"/>
      <c r="H108" s="54">
        <v>93314.8</v>
      </c>
      <c r="I108" s="39">
        <f>H108</f>
        <v>93314.8</v>
      </c>
      <c r="J108" s="39">
        <f>I108</f>
        <v>93314.8</v>
      </c>
      <c r="K108" s="211">
        <f>J108</f>
        <v>93314.8</v>
      </c>
    </row>
    <row r="109" spans="1:11" x14ac:dyDescent="0.25">
      <c r="A109" s="51" t="s">
        <v>217</v>
      </c>
      <c r="B109" s="51">
        <f>B105-B107</f>
        <v>2234522.61</v>
      </c>
      <c r="C109" s="51">
        <f>C105-C107</f>
        <v>2774746.7900000005</v>
      </c>
      <c r="D109" s="51">
        <f>D105-D107</f>
        <v>2584284.3000000003</v>
      </c>
      <c r="E109" s="51">
        <f>E105-E107</f>
        <v>2584756.9400000004</v>
      </c>
      <c r="F109" s="51">
        <f>F105-F107</f>
        <v>10178310.640000001</v>
      </c>
      <c r="G109" s="183">
        <f>F19-F109</f>
        <v>406396.9299999997</v>
      </c>
      <c r="H109" s="210">
        <f>H104</f>
        <v>8.37607345001012E-2</v>
      </c>
      <c r="I109" s="210">
        <f t="shared" ref="I109:K109" si="5">I104</f>
        <v>8.7147190394360058E-2</v>
      </c>
      <c r="J109" s="210">
        <f t="shared" si="5"/>
        <v>9.9999406406302602E-2</v>
      </c>
      <c r="K109" s="210">
        <f t="shared" si="5"/>
        <v>8.4210329318350111E-2</v>
      </c>
    </row>
    <row r="110" spans="1:11" x14ac:dyDescent="0.25">
      <c r="A110" s="51"/>
      <c r="B110" s="51"/>
      <c r="C110" s="51"/>
      <c r="D110" s="51"/>
      <c r="E110" s="51"/>
      <c r="F110" s="51"/>
      <c r="H110" s="54">
        <f>H108*H109</f>
        <v>7816.1161877300437</v>
      </c>
      <c r="I110" s="54">
        <f>I108*I109</f>
        <v>8132.1226422116306</v>
      </c>
      <c r="J110" s="54">
        <f t="shared" ref="J110:K110" si="6">J108*J109</f>
        <v>9331.4246089228454</v>
      </c>
      <c r="K110" s="54">
        <f t="shared" si="6"/>
        <v>7858.0700382759769</v>
      </c>
    </row>
    <row r="111" spans="1:11" x14ac:dyDescent="0.25">
      <c r="A111" s="52" t="s">
        <v>215</v>
      </c>
      <c r="B111" s="52">
        <f>B21</f>
        <v>3819219.5500000003</v>
      </c>
      <c r="C111" s="52">
        <f>C21</f>
        <v>4656022.76</v>
      </c>
      <c r="D111" s="52">
        <f>D21</f>
        <v>3859246.91</v>
      </c>
      <c r="E111" s="52">
        <f>E21</f>
        <v>3607438.63</v>
      </c>
      <c r="F111" s="205">
        <f>SUM(B111:E111)</f>
        <v>15941927.850000001</v>
      </c>
    </row>
    <row r="112" spans="1:11" x14ac:dyDescent="0.25">
      <c r="A112" s="51"/>
      <c r="B112" s="51"/>
      <c r="C112" s="51"/>
      <c r="D112" s="51"/>
      <c r="E112" s="51"/>
      <c r="F112" s="53"/>
    </row>
    <row r="113" spans="1:8" x14ac:dyDescent="0.25">
      <c r="A113" s="51" t="s">
        <v>123</v>
      </c>
      <c r="B113" s="56">
        <f>B109/B111</f>
        <v>0.58507309693678111</v>
      </c>
      <c r="C113" s="56">
        <f>C109/C111</f>
        <v>0.59594785786657123</v>
      </c>
      <c r="D113" s="56">
        <f>D109/D111</f>
        <v>0.66963435101901791</v>
      </c>
      <c r="E113" s="56">
        <f>E109/E111</f>
        <v>0.71650752933252271</v>
      </c>
      <c r="F113" s="56">
        <f>F109/F111</f>
        <v>0.63846171779029848</v>
      </c>
      <c r="G113" s="183">
        <f>G109/4</f>
        <v>101599.23249999993</v>
      </c>
      <c r="H113" s="183">
        <f>G113*13.3</f>
        <v>1351269.792249999</v>
      </c>
    </row>
    <row r="114" spans="1:8" x14ac:dyDescent="0.25">
      <c r="D114" s="160"/>
    </row>
    <row r="115" spans="1:8" ht="20.25" x14ac:dyDescent="0.3">
      <c r="B115" s="184"/>
      <c r="C115" s="184"/>
      <c r="D115" s="184"/>
      <c r="E115" s="184"/>
      <c r="F115" s="208">
        <f>F113</f>
        <v>0.63846171779029848</v>
      </c>
    </row>
  </sheetData>
  <mergeCells count="7">
    <mergeCell ref="A95:F95"/>
    <mergeCell ref="A47:F47"/>
    <mergeCell ref="A48:F48"/>
    <mergeCell ref="A78:F79"/>
    <mergeCell ref="A4:F4"/>
    <mergeCell ref="A5:F5"/>
    <mergeCell ref="A94:F94"/>
  </mergeCells>
  <pageMargins left="0.511811024" right="0.511811024" top="0.78740157499999996" bottom="0.78740157499999996" header="0.31496062000000002" footer="0.31496062000000002"/>
  <pageSetup paperSize="9" scale="69" orientation="landscape" horizontalDpi="360" verticalDpi="360" r:id="rId1"/>
  <rowBreaks count="1" manualBreakCount="1">
    <brk id="42" max="5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7BEA7-8BE6-4498-97B7-4BB84AF4239A}">
  <sheetPr>
    <pageSetUpPr fitToPage="1"/>
  </sheetPr>
  <dimension ref="A1:L44"/>
  <sheetViews>
    <sheetView topLeftCell="A17" zoomScaleNormal="100" workbookViewId="0">
      <selection activeCell="B6" sqref="B6:C9"/>
    </sheetView>
  </sheetViews>
  <sheetFormatPr defaultRowHeight="12.75" x14ac:dyDescent="0.2"/>
  <cols>
    <col min="1" max="1" width="49.5703125" style="164" bestFit="1" customWidth="1"/>
    <col min="2" max="4" width="16.85546875" style="164" bestFit="1" customWidth="1"/>
    <col min="5" max="6" width="13.7109375" style="164" bestFit="1" customWidth="1"/>
    <col min="7" max="11" width="12.85546875" style="164" bestFit="1" customWidth="1"/>
    <col min="12" max="12" width="14" style="164" bestFit="1" customWidth="1"/>
    <col min="13" max="16384" width="9.140625" style="164"/>
  </cols>
  <sheetData>
    <row r="1" spans="1:12" x14ac:dyDescent="0.2">
      <c r="A1" s="563" t="s">
        <v>289</v>
      </c>
      <c r="B1" s="564"/>
      <c r="C1" s="564"/>
      <c r="D1" s="363"/>
      <c r="E1" s="363"/>
      <c r="F1" s="363"/>
      <c r="G1" s="363"/>
      <c r="H1" s="363"/>
      <c r="I1" s="363"/>
      <c r="J1" s="363"/>
      <c r="K1" s="363"/>
      <c r="L1" s="363"/>
    </row>
    <row r="2" spans="1:12" s="378" customFormat="1" x14ac:dyDescent="0.2">
      <c r="A2" s="376"/>
      <c r="B2" s="376"/>
      <c r="C2" s="376"/>
      <c r="D2" s="377"/>
      <c r="E2" s="377"/>
      <c r="F2" s="377"/>
      <c r="G2" s="377"/>
      <c r="H2" s="377"/>
      <c r="I2" s="377"/>
      <c r="J2" s="377"/>
      <c r="K2" s="377"/>
      <c r="L2" s="377"/>
    </row>
    <row r="3" spans="1:12" s="378" customFormat="1" x14ac:dyDescent="0.2">
      <c r="D3" s="316"/>
      <c r="E3" s="316"/>
      <c r="F3" s="316"/>
      <c r="G3" s="316"/>
      <c r="H3" s="316"/>
      <c r="I3" s="316"/>
      <c r="J3" s="316"/>
      <c r="K3" s="316"/>
      <c r="L3" s="316"/>
    </row>
    <row r="4" spans="1:12" x14ac:dyDescent="0.2">
      <c r="A4" s="569" t="s">
        <v>298</v>
      </c>
      <c r="B4" s="570"/>
      <c r="C4" s="571"/>
      <c r="D4" s="365"/>
      <c r="E4" s="365"/>
      <c r="F4" s="365"/>
      <c r="G4" s="365"/>
      <c r="H4" s="365"/>
      <c r="I4" s="365"/>
      <c r="J4" s="365"/>
      <c r="K4" s="367"/>
      <c r="L4" s="313"/>
    </row>
    <row r="5" spans="1:12" x14ac:dyDescent="0.2">
      <c r="A5" s="401" t="s">
        <v>301</v>
      </c>
      <c r="B5" s="572">
        <v>21405.74</v>
      </c>
      <c r="C5" s="572"/>
      <c r="D5" s="365"/>
      <c r="E5" s="365"/>
      <c r="F5" s="365"/>
      <c r="G5" s="365"/>
      <c r="H5" s="365"/>
      <c r="I5" s="365"/>
      <c r="J5" s="365"/>
      <c r="K5" s="367"/>
      <c r="L5" s="313"/>
    </row>
    <row r="6" spans="1:12" x14ac:dyDescent="0.2">
      <c r="A6" s="368" t="s">
        <v>305</v>
      </c>
      <c r="B6" s="568">
        <f>Receitas!N31</f>
        <v>11645631.469999999</v>
      </c>
      <c r="C6" s="568"/>
      <c r="D6" s="365"/>
      <c r="E6" s="365"/>
      <c r="F6" s="365"/>
      <c r="G6" s="365"/>
      <c r="H6" s="365"/>
      <c r="I6" s="365"/>
      <c r="J6" s="365"/>
      <c r="K6" s="367"/>
      <c r="L6" s="313"/>
    </row>
    <row r="7" spans="1:12" x14ac:dyDescent="0.2">
      <c r="A7" s="368" t="s">
        <v>302</v>
      </c>
      <c r="B7" s="568">
        <f>Receitas!N32</f>
        <v>15629.960000000001</v>
      </c>
      <c r="C7" s="568"/>
      <c r="D7" s="365"/>
      <c r="E7" s="365"/>
      <c r="F7" s="365"/>
      <c r="G7" s="365"/>
      <c r="H7" s="365"/>
      <c r="I7" s="365"/>
      <c r="J7" s="365"/>
      <c r="K7" s="367"/>
      <c r="L7" s="313"/>
    </row>
    <row r="8" spans="1:12" x14ac:dyDescent="0.2">
      <c r="A8" s="368" t="s">
        <v>303</v>
      </c>
      <c r="B8" s="568">
        <f>Receitas!N33</f>
        <v>3835414.4899999998</v>
      </c>
      <c r="C8" s="568"/>
      <c r="D8" s="366"/>
      <c r="E8" s="366"/>
      <c r="F8" s="366"/>
      <c r="G8" s="366"/>
      <c r="H8" s="366"/>
      <c r="I8" s="366"/>
      <c r="J8" s="366"/>
      <c r="K8" s="366"/>
      <c r="L8" s="313"/>
    </row>
    <row r="9" spans="1:12" x14ac:dyDescent="0.2">
      <c r="A9" s="368" t="s">
        <v>304</v>
      </c>
      <c r="B9" s="568">
        <f>Receitas!N36</f>
        <v>354828.24</v>
      </c>
      <c r="C9" s="568"/>
      <c r="D9" s="366"/>
      <c r="E9" s="366"/>
      <c r="F9" s="366"/>
      <c r="G9" s="366"/>
      <c r="H9" s="366"/>
      <c r="I9" s="366"/>
      <c r="J9" s="366"/>
      <c r="K9" s="366"/>
      <c r="L9" s="313"/>
    </row>
    <row r="10" spans="1:12" x14ac:dyDescent="0.2">
      <c r="A10" s="369" t="s">
        <v>288</v>
      </c>
      <c r="B10" s="573">
        <f>SUM(B5:C9)</f>
        <v>15872909.9</v>
      </c>
      <c r="C10" s="573"/>
      <c r="D10" s="386"/>
      <c r="E10" s="386"/>
      <c r="F10" s="313"/>
      <c r="G10" s="313"/>
      <c r="H10" s="313"/>
      <c r="I10" s="313"/>
      <c r="J10" s="313"/>
      <c r="K10" s="313"/>
      <c r="L10" s="313"/>
    </row>
    <row r="11" spans="1:12" x14ac:dyDescent="0.2">
      <c r="D11" s="412"/>
      <c r="E11" s="313"/>
      <c r="F11" s="313"/>
      <c r="G11" s="313"/>
      <c r="H11" s="313"/>
      <c r="I11" s="313"/>
      <c r="J11" s="313"/>
      <c r="K11" s="313"/>
      <c r="L11" s="313"/>
    </row>
    <row r="13" spans="1:12" s="313" customFormat="1" ht="15" x14ac:dyDescent="0.25">
      <c r="A13" s="567" t="s">
        <v>290</v>
      </c>
      <c r="B13" s="567"/>
      <c r="C13" s="567"/>
      <c r="D13" s="363"/>
      <c r="E13" s="39"/>
      <c r="F13" s="363"/>
      <c r="G13" s="363"/>
      <c r="H13" s="363"/>
      <c r="I13" s="363"/>
      <c r="J13" s="363"/>
      <c r="K13" s="363"/>
      <c r="L13" s="363"/>
    </row>
    <row r="14" spans="1:12" s="378" customFormat="1" ht="15" x14ac:dyDescent="0.25">
      <c r="A14" s="402"/>
      <c r="B14" s="403"/>
      <c r="C14" s="404"/>
      <c r="E14" s="39"/>
    </row>
    <row r="15" spans="1:12" x14ac:dyDescent="0.2">
      <c r="A15" s="400" t="s">
        <v>277</v>
      </c>
      <c r="B15" s="400" t="s">
        <v>279</v>
      </c>
      <c r="C15" s="400" t="s">
        <v>281</v>
      </c>
    </row>
    <row r="16" spans="1:12" x14ac:dyDescent="0.2">
      <c r="A16" s="370" t="s">
        <v>278</v>
      </c>
      <c r="B16" s="371">
        <v>0.7</v>
      </c>
      <c r="C16" s="372">
        <v>10360702.59</v>
      </c>
      <c r="D16" s="362"/>
    </row>
    <row r="17" spans="1:8" x14ac:dyDescent="0.2">
      <c r="A17" s="370" t="s">
        <v>280</v>
      </c>
      <c r="B17" s="371">
        <v>0.7</v>
      </c>
      <c r="C17" s="372">
        <v>1376926.04</v>
      </c>
      <c r="H17" s="361"/>
    </row>
    <row r="18" spans="1:8" x14ac:dyDescent="0.2">
      <c r="A18" s="565" t="s">
        <v>299</v>
      </c>
      <c r="B18" s="566"/>
      <c r="C18" s="373">
        <f>SUM(C16:C17)</f>
        <v>11737628.629999999</v>
      </c>
      <c r="D18" s="166"/>
      <c r="H18" s="361"/>
    </row>
    <row r="19" spans="1:8" x14ac:dyDescent="0.2">
      <c r="A19" s="565" t="s">
        <v>283</v>
      </c>
      <c r="B19" s="566"/>
      <c r="C19" s="374">
        <f>(C18-B5)/B10</f>
        <v>0.73812697002708993</v>
      </c>
      <c r="D19" s="364"/>
      <c r="H19" s="361"/>
    </row>
    <row r="20" spans="1:8" s="378" customFormat="1" x14ac:dyDescent="0.2">
      <c r="A20" s="405"/>
      <c r="B20" s="376"/>
      <c r="C20" s="406"/>
      <c r="H20" s="379"/>
    </row>
    <row r="21" spans="1:8" x14ac:dyDescent="0.2">
      <c r="A21" s="400" t="s">
        <v>277</v>
      </c>
      <c r="B21" s="400" t="s">
        <v>279</v>
      </c>
      <c r="C21" s="400" t="s">
        <v>281</v>
      </c>
      <c r="D21" s="364"/>
      <c r="E21" s="362"/>
      <c r="H21" s="361"/>
    </row>
    <row r="22" spans="1:8" x14ac:dyDescent="0.2">
      <c r="A22" s="370" t="s">
        <v>278</v>
      </c>
      <c r="B22" s="371">
        <v>0.3</v>
      </c>
      <c r="C22" s="375">
        <v>3489393.67</v>
      </c>
    </row>
    <row r="23" spans="1:8" x14ac:dyDescent="0.2">
      <c r="A23" s="370" t="s">
        <v>280</v>
      </c>
      <c r="B23" s="371">
        <v>0.3</v>
      </c>
      <c r="C23" s="375">
        <v>571049.12</v>
      </c>
      <c r="H23" s="216"/>
    </row>
    <row r="24" spans="1:8" x14ac:dyDescent="0.2">
      <c r="A24" s="370" t="s">
        <v>282</v>
      </c>
      <c r="B24" s="371">
        <v>0.3</v>
      </c>
      <c r="C24" s="375">
        <v>72412.47</v>
      </c>
    </row>
    <row r="25" spans="1:8" x14ac:dyDescent="0.2">
      <c r="A25" s="565" t="s">
        <v>300</v>
      </c>
      <c r="B25" s="566"/>
      <c r="C25" s="373">
        <f>SUM(C22:C24)</f>
        <v>4132855.2600000002</v>
      </c>
      <c r="D25" s="362"/>
      <c r="E25" s="362"/>
      <c r="F25" s="362"/>
    </row>
    <row r="26" spans="1:8" x14ac:dyDescent="0.2">
      <c r="A26" s="565" t="s">
        <v>283</v>
      </c>
      <c r="B26" s="566"/>
      <c r="C26" s="374">
        <f>C25/B10</f>
        <v>0.2603716196990446</v>
      </c>
      <c r="D26" s="364"/>
    </row>
    <row r="29" spans="1:8" x14ac:dyDescent="0.2">
      <c r="A29" s="488" t="s">
        <v>291</v>
      </c>
      <c r="B29" s="488"/>
      <c r="C29" s="488"/>
    </row>
    <row r="30" spans="1:8" s="378" customFormat="1" x14ac:dyDescent="0.2">
      <c r="A30" s="407"/>
      <c r="B30" s="316"/>
      <c r="C30" s="408"/>
    </row>
    <row r="31" spans="1:8" x14ac:dyDescent="0.2">
      <c r="A31" s="298" t="s">
        <v>277</v>
      </c>
      <c r="B31" s="380" t="s">
        <v>279</v>
      </c>
      <c r="C31" s="380" t="s">
        <v>281</v>
      </c>
    </row>
    <row r="32" spans="1:8" x14ac:dyDescent="0.2">
      <c r="A32" s="381" t="s">
        <v>278</v>
      </c>
      <c r="B32" s="382" t="s">
        <v>284</v>
      </c>
      <c r="C32" s="383">
        <v>2328641.42</v>
      </c>
      <c r="D32" s="166"/>
    </row>
    <row r="33" spans="1:3" x14ac:dyDescent="0.2">
      <c r="A33" s="381" t="s">
        <v>280</v>
      </c>
      <c r="B33" s="382" t="s">
        <v>284</v>
      </c>
      <c r="C33" s="383">
        <v>227274.12</v>
      </c>
    </row>
    <row r="34" spans="1:3" x14ac:dyDescent="0.2">
      <c r="A34" s="381" t="s">
        <v>286</v>
      </c>
      <c r="B34" s="382" t="s">
        <v>284</v>
      </c>
      <c r="C34" s="383">
        <f>1060888.41+2227.6</f>
        <v>1063116.01</v>
      </c>
    </row>
    <row r="35" spans="1:3" x14ac:dyDescent="0.2">
      <c r="A35" s="488" t="s">
        <v>285</v>
      </c>
      <c r="B35" s="488"/>
      <c r="C35" s="384">
        <f>SUM(C32:C34)</f>
        <v>3619031.55</v>
      </c>
    </row>
    <row r="38" spans="1:3" x14ac:dyDescent="0.2">
      <c r="A38" s="574" t="s">
        <v>287</v>
      </c>
      <c r="B38" s="574"/>
      <c r="C38" s="574"/>
    </row>
    <row r="39" spans="1:3" x14ac:dyDescent="0.2">
      <c r="A39" s="409"/>
      <c r="B39" s="313"/>
      <c r="C39" s="410"/>
    </row>
    <row r="40" spans="1:3" ht="52.5" customHeight="1" x14ac:dyDescent="0.2">
      <c r="A40" s="562" t="s">
        <v>297</v>
      </c>
      <c r="B40" s="562"/>
      <c r="C40" s="562"/>
    </row>
    <row r="41" spans="1:3" x14ac:dyDescent="0.2">
      <c r="A41" s="409"/>
      <c r="B41" s="313"/>
      <c r="C41" s="410"/>
    </row>
    <row r="42" spans="1:3" ht="39" customHeight="1" x14ac:dyDescent="0.2">
      <c r="A42" s="562" t="s">
        <v>295</v>
      </c>
      <c r="B42" s="562"/>
      <c r="C42" s="562"/>
    </row>
    <row r="43" spans="1:3" x14ac:dyDescent="0.2">
      <c r="A43" s="409"/>
      <c r="B43" s="313"/>
      <c r="C43" s="410"/>
    </row>
    <row r="44" spans="1:3" ht="54" customHeight="1" x14ac:dyDescent="0.2">
      <c r="A44" s="562" t="s">
        <v>296</v>
      </c>
      <c r="B44" s="562"/>
      <c r="C44" s="562"/>
    </row>
  </sheetData>
  <mergeCells count="19">
    <mergeCell ref="A40:C40"/>
    <mergeCell ref="A42:C42"/>
    <mergeCell ref="A38:C38"/>
    <mergeCell ref="A44:C44"/>
    <mergeCell ref="A1:C1"/>
    <mergeCell ref="A25:B25"/>
    <mergeCell ref="A26:B26"/>
    <mergeCell ref="A18:B18"/>
    <mergeCell ref="A19:B19"/>
    <mergeCell ref="A35:B35"/>
    <mergeCell ref="A13:C13"/>
    <mergeCell ref="A29:C29"/>
    <mergeCell ref="B7:C7"/>
    <mergeCell ref="B8:C8"/>
    <mergeCell ref="B6:C6"/>
    <mergeCell ref="A4:C4"/>
    <mergeCell ref="B5:C5"/>
    <mergeCell ref="B9:C9"/>
    <mergeCell ref="B10:C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5</vt:i4>
      </vt:variant>
    </vt:vector>
  </HeadingPairs>
  <TitlesOfParts>
    <vt:vector size="16" baseType="lpstr">
      <vt:lpstr>Receitas</vt:lpstr>
      <vt:lpstr>Despesas</vt:lpstr>
      <vt:lpstr>Pessoal 54%</vt:lpstr>
      <vt:lpstr>Resumo Índices</vt:lpstr>
      <vt:lpstr>Educação</vt:lpstr>
      <vt:lpstr>Saúde 15%</vt:lpstr>
      <vt:lpstr>VAAT</vt:lpstr>
      <vt:lpstr>Resposta oficio</vt:lpstr>
      <vt:lpstr>Sec Educação</vt:lpstr>
      <vt:lpstr>RREO 8</vt:lpstr>
      <vt:lpstr>Planilha1</vt:lpstr>
      <vt:lpstr>Educação!Area_de_impressao</vt:lpstr>
      <vt:lpstr>'Pessoal 54%'!Area_de_impressao</vt:lpstr>
      <vt:lpstr>'Resposta oficio'!Area_de_impressao</vt:lpstr>
      <vt:lpstr>'Resumo Índices'!Area_de_impressao</vt:lpstr>
      <vt:lpstr>'Sec Educação'!Area_de_impressao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NOTEBOOK</dc:creator>
  <cp:lastModifiedBy>Lopes Consultoria</cp:lastModifiedBy>
  <cp:lastPrinted>2022-01-24T18:44:48Z</cp:lastPrinted>
  <dcterms:created xsi:type="dcterms:W3CDTF">2014-11-30T22:34:26Z</dcterms:created>
  <dcterms:modified xsi:type="dcterms:W3CDTF">2025-05-07T18:22:02Z</dcterms:modified>
</cp:coreProperties>
</file>