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pes Consultoria\Downloads\"/>
    </mc:Choice>
  </mc:AlternateContent>
  <xr:revisionPtr revIDLastSave="0" documentId="13_ncr:1_{626E18BF-41E5-4A07-8D43-F39435C47997}" xr6:coauthVersionLast="47" xr6:coauthVersionMax="47" xr10:uidLastSave="{00000000-0000-0000-0000-000000000000}"/>
  <bookViews>
    <workbookView xWindow="-120" yWindow="-120" windowWidth="20730" windowHeight="11160" tabRatio="874" activeTab="2" xr2:uid="{00000000-000D-0000-FFFF-FFFF00000000}"/>
  </bookViews>
  <sheets>
    <sheet name="Receitas" sheetId="22" r:id="rId1"/>
    <sheet name="Despesas" sheetId="57" r:id="rId2"/>
    <sheet name="Resumo Índices" sheetId="20" r:id="rId3"/>
    <sheet name="Pessoal 54%" sheetId="41" r:id="rId4"/>
    <sheet name="Saúde 15%" sheetId="13" r:id="rId5"/>
    <sheet name="Educação" sheetId="12" r:id="rId6"/>
    <sheet name="VAAT" sheetId="59" r:id="rId7"/>
    <sheet name="Resposta oficio" sheetId="58" r:id="rId8"/>
    <sheet name="Sec Educação 22" sheetId="64" r:id="rId9"/>
    <sheet name="´COMPARACAO" sheetId="63" r:id="rId10"/>
    <sheet name="Sec Educação 21" sheetId="60" r:id="rId11"/>
    <sheet name="RREO 8" sheetId="61" r:id="rId12"/>
    <sheet name="Planilha1" sheetId="50" state="hidden" r:id="rId13"/>
  </sheets>
  <definedNames>
    <definedName name="_xlnm.Print_Area" localSheetId="5">Educação!$A$1:$T$57</definedName>
    <definedName name="_xlnm.Print_Area" localSheetId="3">'Pessoal 54%'!$A$1:$N$81</definedName>
    <definedName name="_xlnm.Print_Area" localSheetId="7">'Resposta oficio'!$A$1:$F$85</definedName>
    <definedName name="_xlnm.Print_Area" localSheetId="2">'Resumo Índices'!$A$1:$B$56</definedName>
    <definedName name="_xlnm.Print_Area" localSheetId="10">'Sec Educação 21'!$A$1:$C$44</definedName>
    <definedName name="_xlnm.Print_Area" localSheetId="8">'Sec Educação 22'!$A$1:$C$38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20" l="1"/>
  <c r="B32" i="20"/>
  <c r="B31" i="20"/>
  <c r="M137" i="22"/>
  <c r="L137" i="22"/>
  <c r="K137" i="22"/>
  <c r="J137" i="22"/>
  <c r="I137" i="22"/>
  <c r="B139" i="22"/>
  <c r="C139" i="22"/>
  <c r="D139" i="22"/>
  <c r="E139" i="22"/>
  <c r="F139" i="22"/>
  <c r="G139" i="22"/>
  <c r="H139" i="22"/>
  <c r="M141" i="22"/>
  <c r="I141" i="22"/>
  <c r="L141" i="22"/>
  <c r="K141" i="22"/>
  <c r="J141" i="22"/>
  <c r="N134" i="22"/>
  <c r="G133" i="22"/>
  <c r="F133" i="22"/>
  <c r="E133" i="22"/>
  <c r="E143" i="22" s="1"/>
  <c r="D133" i="22"/>
  <c r="D143" i="22" s="1"/>
  <c r="C133" i="22"/>
  <c r="C143" i="22" s="1"/>
  <c r="N132" i="22"/>
  <c r="M131" i="22"/>
  <c r="M135" i="22" s="1"/>
  <c r="L131" i="22"/>
  <c r="L135" i="22" s="1"/>
  <c r="J131" i="22"/>
  <c r="J135" i="22" s="1"/>
  <c r="N129" i="22"/>
  <c r="M127" i="22"/>
  <c r="L127" i="22"/>
  <c r="K127" i="22"/>
  <c r="K131" i="22" s="1"/>
  <c r="K135" i="22" s="1"/>
  <c r="J127" i="22"/>
  <c r="H127" i="22"/>
  <c r="H133" i="22" s="1"/>
  <c r="H143" i="22" s="1"/>
  <c r="G127" i="22"/>
  <c r="F127" i="22"/>
  <c r="E127" i="22"/>
  <c r="D127" i="22"/>
  <c r="C127" i="22"/>
  <c r="B127" i="22"/>
  <c r="B133" i="22" s="1"/>
  <c r="I125" i="22"/>
  <c r="I127" i="22" s="1"/>
  <c r="I131" i="22" s="1"/>
  <c r="N124" i="22"/>
  <c r="N123" i="22"/>
  <c r="K123" i="22"/>
  <c r="N122" i="22"/>
  <c r="N121" i="22"/>
  <c r="N120" i="22"/>
  <c r="D31" i="57"/>
  <c r="C31" i="57"/>
  <c r="B31" i="57"/>
  <c r="E27" i="57"/>
  <c r="E23" i="57"/>
  <c r="B24" i="20"/>
  <c r="B23" i="20"/>
  <c r="B22" i="20"/>
  <c r="D112" i="22"/>
  <c r="D111" i="22"/>
  <c r="D110" i="22"/>
  <c r="D109" i="22"/>
  <c r="D108" i="22"/>
  <c r="D101" i="22"/>
  <c r="E101" i="22" s="1"/>
  <c r="D100" i="22"/>
  <c r="D99" i="22"/>
  <c r="D98" i="22"/>
  <c r="C113" i="22"/>
  <c r="E113" i="22" s="1"/>
  <c r="C112" i="22"/>
  <c r="E111" i="22"/>
  <c r="C111" i="22"/>
  <c r="E110" i="22"/>
  <c r="C110" i="22"/>
  <c r="D107" i="22"/>
  <c r="C109" i="22"/>
  <c r="C107" i="22" s="1"/>
  <c r="C108" i="22"/>
  <c r="B107" i="22"/>
  <c r="C101" i="22"/>
  <c r="C100" i="22"/>
  <c r="C99" i="22"/>
  <c r="C97" i="22" s="1"/>
  <c r="E98" i="22"/>
  <c r="C98" i="22"/>
  <c r="B97" i="22"/>
  <c r="B115" i="22" s="1"/>
  <c r="B19" i="20"/>
  <c r="B18" i="20"/>
  <c r="B17" i="20"/>
  <c r="B16" i="20"/>
  <c r="B15" i="20"/>
  <c r="B12" i="20"/>
  <c r="B11" i="20"/>
  <c r="B10" i="20"/>
  <c r="S88" i="22"/>
  <c r="S86" i="22"/>
  <c r="S84" i="22"/>
  <c r="S82" i="22"/>
  <c r="S67" i="22"/>
  <c r="S62" i="22"/>
  <c r="S60" i="22"/>
  <c r="S59" i="22"/>
  <c r="O22" i="57"/>
  <c r="S80" i="22"/>
  <c r="S5" i="57"/>
  <c r="S4" i="57"/>
  <c r="S3" i="57"/>
  <c r="R5" i="57"/>
  <c r="R4" i="57"/>
  <c r="R3" i="57"/>
  <c r="S6" i="57"/>
  <c r="O18" i="57"/>
  <c r="H18" i="57"/>
  <c r="N17" i="57"/>
  <c r="M17" i="57"/>
  <c r="L17" i="57"/>
  <c r="K17" i="57"/>
  <c r="J17" i="57"/>
  <c r="I17" i="57"/>
  <c r="H17" i="57"/>
  <c r="G17" i="57"/>
  <c r="F17" i="57"/>
  <c r="E17" i="57"/>
  <c r="D17" i="57"/>
  <c r="C17" i="57"/>
  <c r="B17" i="57"/>
  <c r="O17" i="57" s="1"/>
  <c r="N15" i="57"/>
  <c r="J15" i="57"/>
  <c r="O15" i="57" s="1"/>
  <c r="L14" i="57"/>
  <c r="O14" i="57" s="1"/>
  <c r="J14" i="57"/>
  <c r="O13" i="57"/>
  <c r="O12" i="57"/>
  <c r="N11" i="57"/>
  <c r="N10" i="57" s="1"/>
  <c r="M11" i="57"/>
  <c r="M10" i="57" s="1"/>
  <c r="M4" i="57" s="1"/>
  <c r="M3" i="57" s="1"/>
  <c r="L11" i="57"/>
  <c r="O11" i="57" s="1"/>
  <c r="K10" i="57"/>
  <c r="J10" i="57"/>
  <c r="O9" i="57"/>
  <c r="O8" i="57"/>
  <c r="L8" i="57"/>
  <c r="K8" i="57"/>
  <c r="J8" i="57"/>
  <c r="J5" i="57" s="1"/>
  <c r="O7" i="57"/>
  <c r="O6" i="57"/>
  <c r="N5" i="57"/>
  <c r="N4" i="57" s="1"/>
  <c r="N3" i="57" s="1"/>
  <c r="M5" i="57"/>
  <c r="L5" i="57"/>
  <c r="K5" i="57"/>
  <c r="K4" i="57" s="1"/>
  <c r="K3" i="57" s="1"/>
  <c r="I4" i="57"/>
  <c r="H4" i="57"/>
  <c r="G4" i="57"/>
  <c r="G3" i="57" s="1"/>
  <c r="F4" i="57"/>
  <c r="F3" i="57" s="1"/>
  <c r="E4" i="57"/>
  <c r="D4" i="57"/>
  <c r="C4" i="57"/>
  <c r="B4" i="57"/>
  <c r="I3" i="57"/>
  <c r="H3" i="57"/>
  <c r="R66" i="22"/>
  <c r="R65" i="22"/>
  <c r="R63" i="22"/>
  <c r="R62" i="22"/>
  <c r="R60" i="22"/>
  <c r="R59" i="22"/>
  <c r="R58" i="22"/>
  <c r="N89" i="22"/>
  <c r="M89" i="22"/>
  <c r="L89" i="22"/>
  <c r="K89" i="22"/>
  <c r="J89" i="22"/>
  <c r="L88" i="22"/>
  <c r="K88" i="22"/>
  <c r="K87" i="22" s="1"/>
  <c r="J86" i="22"/>
  <c r="K86" i="22"/>
  <c r="L86" i="22"/>
  <c r="M86" i="22"/>
  <c r="N86" i="22"/>
  <c r="L85" i="22"/>
  <c r="K85" i="22"/>
  <c r="N83" i="22"/>
  <c r="L82" i="22"/>
  <c r="K82" i="22"/>
  <c r="N76" i="22"/>
  <c r="M76" i="22"/>
  <c r="L76" i="22"/>
  <c r="K76" i="22"/>
  <c r="J76" i="22"/>
  <c r="I76" i="22"/>
  <c r="H76" i="22"/>
  <c r="G76" i="22"/>
  <c r="F76" i="22"/>
  <c r="E76" i="22"/>
  <c r="D76" i="22"/>
  <c r="C76" i="22"/>
  <c r="C91" i="22" s="1"/>
  <c r="N70" i="22"/>
  <c r="M70" i="22"/>
  <c r="L70" i="22"/>
  <c r="K70" i="22"/>
  <c r="J70" i="22"/>
  <c r="I70" i="22"/>
  <c r="H70" i="22"/>
  <c r="G70" i="22"/>
  <c r="F70" i="22"/>
  <c r="N69" i="22"/>
  <c r="M69" i="22"/>
  <c r="L69" i="22"/>
  <c r="K69" i="22"/>
  <c r="J69" i="22"/>
  <c r="I69" i="22"/>
  <c r="H69" i="22"/>
  <c r="G69" i="22"/>
  <c r="F69" i="22"/>
  <c r="N68" i="22"/>
  <c r="M68" i="22"/>
  <c r="L68" i="22"/>
  <c r="K68" i="22"/>
  <c r="J68" i="22"/>
  <c r="I68" i="22"/>
  <c r="H68" i="22"/>
  <c r="G68" i="22"/>
  <c r="F68" i="22"/>
  <c r="N67" i="22"/>
  <c r="M67" i="22"/>
  <c r="L67" i="22"/>
  <c r="K67" i="22"/>
  <c r="J67" i="22"/>
  <c r="I67" i="22"/>
  <c r="H67" i="22"/>
  <c r="G67" i="22"/>
  <c r="F67" i="22"/>
  <c r="J66" i="22"/>
  <c r="K66" i="22"/>
  <c r="L66" i="22"/>
  <c r="M66" i="22"/>
  <c r="N66" i="22"/>
  <c r="I66" i="22"/>
  <c r="H66" i="22"/>
  <c r="G66" i="22"/>
  <c r="N65" i="22"/>
  <c r="M65" i="22"/>
  <c r="L65" i="22"/>
  <c r="K65" i="22"/>
  <c r="J65" i="22"/>
  <c r="F65" i="22"/>
  <c r="G65" i="22"/>
  <c r="H65" i="22"/>
  <c r="I65" i="22"/>
  <c r="N62" i="22"/>
  <c r="M62" i="22"/>
  <c r="L62" i="22"/>
  <c r="K62" i="22"/>
  <c r="J62" i="22"/>
  <c r="I62" i="22"/>
  <c r="H62" i="22"/>
  <c r="G62" i="22"/>
  <c r="F62" i="22"/>
  <c r="N61" i="22"/>
  <c r="L61" i="22"/>
  <c r="K61" i="22"/>
  <c r="J61" i="22"/>
  <c r="I61" i="22"/>
  <c r="H61" i="22"/>
  <c r="G61" i="22"/>
  <c r="F61" i="22"/>
  <c r="N60" i="22"/>
  <c r="M60" i="22"/>
  <c r="L60" i="22"/>
  <c r="K60" i="22"/>
  <c r="J60" i="22"/>
  <c r="I60" i="22"/>
  <c r="H60" i="22"/>
  <c r="G60" i="22"/>
  <c r="F60" i="22"/>
  <c r="N59" i="22"/>
  <c r="M59" i="22"/>
  <c r="L59" i="22"/>
  <c r="K59" i="22"/>
  <c r="J59" i="22"/>
  <c r="I59" i="22"/>
  <c r="H59" i="22"/>
  <c r="G59" i="22"/>
  <c r="F59" i="22"/>
  <c r="H91" i="22"/>
  <c r="L87" i="22"/>
  <c r="I87" i="22"/>
  <c r="H87" i="22"/>
  <c r="G87" i="22"/>
  <c r="F87" i="22"/>
  <c r="E87" i="22"/>
  <c r="D87" i="22"/>
  <c r="C87" i="22"/>
  <c r="B87" i="22"/>
  <c r="O86" i="22"/>
  <c r="G84" i="22"/>
  <c r="F84" i="22"/>
  <c r="E84" i="22"/>
  <c r="D84" i="22"/>
  <c r="C84" i="22"/>
  <c r="B84" i="22"/>
  <c r="L91" i="22"/>
  <c r="I81" i="22"/>
  <c r="H81" i="22"/>
  <c r="G81" i="22"/>
  <c r="F81" i="22"/>
  <c r="E81" i="22"/>
  <c r="E80" i="22" s="1"/>
  <c r="D81" i="22"/>
  <c r="C81" i="22"/>
  <c r="C80" i="22" s="1"/>
  <c r="B81" i="22"/>
  <c r="B80" i="22" s="1"/>
  <c r="I91" i="22"/>
  <c r="G91" i="22"/>
  <c r="F91" i="22"/>
  <c r="E91" i="22"/>
  <c r="D91" i="22"/>
  <c r="B76" i="22"/>
  <c r="B91" i="22" s="1"/>
  <c r="O72" i="22"/>
  <c r="O71" i="22"/>
  <c r="E64" i="22"/>
  <c r="D64" i="22"/>
  <c r="C64" i="22"/>
  <c r="B64" i="22"/>
  <c r="B74" i="22" s="1"/>
  <c r="E58" i="22"/>
  <c r="E78" i="22" s="1"/>
  <c r="D58" i="22"/>
  <c r="D78" i="22" s="1"/>
  <c r="C58" i="22"/>
  <c r="B58" i="22"/>
  <c r="B78" i="22" s="1"/>
  <c r="N101" i="12"/>
  <c r="O56" i="12"/>
  <c r="O57" i="12"/>
  <c r="N116" i="12"/>
  <c r="N109" i="12"/>
  <c r="N93" i="12"/>
  <c r="N86" i="12"/>
  <c r="O13" i="41"/>
  <c r="H28" i="13"/>
  <c r="L143" i="22" l="1"/>
  <c r="F143" i="22"/>
  <c r="N139" i="22"/>
  <c r="G143" i="22"/>
  <c r="K143" i="22"/>
  <c r="M143" i="22"/>
  <c r="N141" i="22"/>
  <c r="J143" i="22"/>
  <c r="N133" i="22"/>
  <c r="B143" i="22"/>
  <c r="I135" i="22"/>
  <c r="N131" i="22"/>
  <c r="N125" i="22"/>
  <c r="N127" i="22" s="1"/>
  <c r="N137" i="22"/>
  <c r="B33" i="57"/>
  <c r="C33" i="57"/>
  <c r="D33" i="57"/>
  <c r="E33" i="57"/>
  <c r="E31" i="57"/>
  <c r="E112" i="22"/>
  <c r="E100" i="22"/>
  <c r="D97" i="22"/>
  <c r="E97" i="22" s="1"/>
  <c r="E107" i="22"/>
  <c r="C115" i="22"/>
  <c r="E109" i="22"/>
  <c r="E99" i="22"/>
  <c r="C74" i="22"/>
  <c r="G80" i="22"/>
  <c r="F80" i="22"/>
  <c r="D74" i="22"/>
  <c r="O10" i="57"/>
  <c r="O5" i="57"/>
  <c r="J4" i="57"/>
  <c r="J3" i="57" s="1"/>
  <c r="E3" i="57"/>
  <c r="L10" i="57"/>
  <c r="L4" i="57" s="1"/>
  <c r="O89" i="22"/>
  <c r="O67" i="22"/>
  <c r="F64" i="22"/>
  <c r="E74" i="22"/>
  <c r="D80" i="22"/>
  <c r="O76" i="22"/>
  <c r="C78" i="22"/>
  <c r="N135" i="22" l="1"/>
  <c r="N143" i="22" s="1"/>
  <c r="N145" i="22" s="1"/>
  <c r="I143" i="22"/>
  <c r="E35" i="57"/>
  <c r="E37" i="57"/>
  <c r="B28" i="20" s="1"/>
  <c r="B25" i="20"/>
  <c r="D115" i="22"/>
  <c r="E115" i="22" s="1"/>
  <c r="O19" i="57"/>
  <c r="O20" i="57" s="1"/>
  <c r="L3" i="57"/>
  <c r="O4" i="57"/>
  <c r="K91" i="22"/>
  <c r="F58" i="22"/>
  <c r="F78" i="22" s="1"/>
  <c r="I29" i="22"/>
  <c r="C30" i="64"/>
  <c r="C29" i="64"/>
  <c r="K9" i="41"/>
  <c r="H57" i="12"/>
  <c r="L47" i="22"/>
  <c r="M83" i="22" s="1"/>
  <c r="N41" i="22"/>
  <c r="M8" i="22"/>
  <c r="N50" i="12"/>
  <c r="C126" i="12"/>
  <c r="B125" i="12"/>
  <c r="J100" i="12"/>
  <c r="J103" i="12" s="1"/>
  <c r="E97" i="12"/>
  <c r="E101" i="12"/>
  <c r="E125" i="12"/>
  <c r="E118" i="12"/>
  <c r="C106" i="12"/>
  <c r="C109" i="12"/>
  <c r="B108" i="12"/>
  <c r="D123" i="12"/>
  <c r="N54" i="12"/>
  <c r="D106" i="12"/>
  <c r="O3" i="57" l="1"/>
  <c r="F74" i="22"/>
  <c r="G64" i="22" s="1"/>
  <c r="C31" i="64"/>
  <c r="B151" i="12"/>
  <c r="N22" i="12"/>
  <c r="I11" i="41"/>
  <c r="C134" i="12"/>
  <c r="B134" i="12"/>
  <c r="G58" i="22" l="1"/>
  <c r="G78" i="22" s="1"/>
  <c r="C135" i="12"/>
  <c r="G74" i="22" l="1"/>
  <c r="B144" i="12"/>
  <c r="B138" i="12"/>
  <c r="B139" i="12" s="1"/>
  <c r="L5" i="22"/>
  <c r="M61" i="22" s="1"/>
  <c r="O61" i="22" s="1"/>
  <c r="H58" i="22" l="1"/>
  <c r="H64" i="22"/>
  <c r="M52" i="22"/>
  <c r="N88" i="22" s="1"/>
  <c r="N87" i="22" s="1"/>
  <c r="M49" i="22"/>
  <c r="N85" i="22" s="1"/>
  <c r="M46" i="22"/>
  <c r="N82" i="22" s="1"/>
  <c r="N91" i="22" l="1"/>
  <c r="N81" i="22"/>
  <c r="H74" i="22"/>
  <c r="H78" i="22"/>
  <c r="B84" i="12"/>
  <c r="M50" i="12"/>
  <c r="L46" i="22"/>
  <c r="M82" i="22" s="1"/>
  <c r="L49" i="22"/>
  <c r="M85" i="22" s="1"/>
  <c r="L52" i="22"/>
  <c r="M88" i="22" s="1"/>
  <c r="M87" i="22" s="1"/>
  <c r="L27" i="22"/>
  <c r="M91" i="22" l="1"/>
  <c r="M81" i="22"/>
  <c r="O60" i="22"/>
  <c r="O70" i="22"/>
  <c r="I64" i="22"/>
  <c r="I58" i="22"/>
  <c r="I78" i="22" s="1"/>
  <c r="B92" i="12"/>
  <c r="J12" i="12"/>
  <c r="G12" i="12"/>
  <c r="H12" i="12"/>
  <c r="I12" i="12"/>
  <c r="K12" i="12"/>
  <c r="L12" i="12"/>
  <c r="M12" i="12"/>
  <c r="N12" i="12"/>
  <c r="K47" i="22"/>
  <c r="L83" i="22" s="1"/>
  <c r="L81" i="22" s="1"/>
  <c r="N38" i="22"/>
  <c r="N35" i="22"/>
  <c r="N33" i="22"/>
  <c r="N31" i="22"/>
  <c r="N30" i="22"/>
  <c r="N29" i="22"/>
  <c r="N28" i="22"/>
  <c r="N26" i="22"/>
  <c r="N25" i="22"/>
  <c r="N24" i="22"/>
  <c r="N23" i="22"/>
  <c r="N22" i="22"/>
  <c r="N21" i="22"/>
  <c r="N20" i="22"/>
  <c r="N19" i="22"/>
  <c r="N18" i="22"/>
  <c r="N17" i="22"/>
  <c r="N16" i="22"/>
  <c r="N15" i="22"/>
  <c r="N14" i="22"/>
  <c r="N11" i="22"/>
  <c r="N10" i="22"/>
  <c r="N9" i="22"/>
  <c r="N7" i="22"/>
  <c r="N6" i="22"/>
  <c r="N5" i="22"/>
  <c r="N4" i="22"/>
  <c r="I8" i="22"/>
  <c r="N8" i="22" s="1"/>
  <c r="L53" i="12"/>
  <c r="L50" i="12"/>
  <c r="L47" i="12"/>
  <c r="I74" i="22" l="1"/>
  <c r="O66" i="22"/>
  <c r="O69" i="22"/>
  <c r="O12" i="12"/>
  <c r="N3" i="22"/>
  <c r="N34" i="22"/>
  <c r="O52" i="12"/>
  <c r="O51" i="12"/>
  <c r="O50" i="12"/>
  <c r="O48" i="12"/>
  <c r="O46" i="12"/>
  <c r="O45" i="12"/>
  <c r="K49" i="12"/>
  <c r="L49" i="12"/>
  <c r="M49" i="12"/>
  <c r="N49" i="12"/>
  <c r="L44" i="12"/>
  <c r="M44" i="12"/>
  <c r="N44" i="12"/>
  <c r="K47" i="12"/>
  <c r="K44" i="12" s="1"/>
  <c r="J47" i="22"/>
  <c r="K83" i="22" s="1"/>
  <c r="K81" i="22" s="1"/>
  <c r="J3" i="22"/>
  <c r="K3" i="22"/>
  <c r="L3" i="22"/>
  <c r="M3" i="22"/>
  <c r="I3" i="22"/>
  <c r="N27" i="22"/>
  <c r="N115" i="63"/>
  <c r="N125" i="63"/>
  <c r="N128" i="63"/>
  <c r="N129" i="63"/>
  <c r="N105" i="63"/>
  <c r="N106" i="63"/>
  <c r="N107" i="63"/>
  <c r="N109" i="63"/>
  <c r="N110" i="63"/>
  <c r="N111" i="63"/>
  <c r="N104" i="63"/>
  <c r="N152" i="63"/>
  <c r="I151" i="63"/>
  <c r="N151" i="63" s="1"/>
  <c r="M150" i="63"/>
  <c r="L150" i="63"/>
  <c r="K150" i="63"/>
  <c r="J150" i="63"/>
  <c r="H150" i="63"/>
  <c r="G150" i="63"/>
  <c r="F150" i="63"/>
  <c r="E150" i="63"/>
  <c r="D150" i="63"/>
  <c r="C150" i="63"/>
  <c r="B150" i="63"/>
  <c r="N149" i="63"/>
  <c r="I148" i="63"/>
  <c r="N148" i="63" s="1"/>
  <c r="M147" i="63"/>
  <c r="L147" i="63"/>
  <c r="K147" i="63"/>
  <c r="J147" i="63"/>
  <c r="H147" i="63"/>
  <c r="G147" i="63"/>
  <c r="F147" i="63"/>
  <c r="E147" i="63"/>
  <c r="D147" i="63"/>
  <c r="C147" i="63"/>
  <c r="B147" i="63"/>
  <c r="I146" i="63"/>
  <c r="N146" i="63" s="1"/>
  <c r="I145" i="63"/>
  <c r="M144" i="63"/>
  <c r="L144" i="63"/>
  <c r="K144" i="63"/>
  <c r="J144" i="63"/>
  <c r="H144" i="63"/>
  <c r="G144" i="63"/>
  <c r="F144" i="63"/>
  <c r="E144" i="63"/>
  <c r="D144" i="63"/>
  <c r="C144" i="63"/>
  <c r="B144" i="63"/>
  <c r="N134" i="63"/>
  <c r="I127" i="63"/>
  <c r="I113" i="63" s="1"/>
  <c r="M113" i="63"/>
  <c r="L113" i="63"/>
  <c r="K113" i="63"/>
  <c r="J113" i="63"/>
  <c r="H113" i="63"/>
  <c r="G113" i="63"/>
  <c r="F113" i="63"/>
  <c r="E113" i="63"/>
  <c r="D113" i="63"/>
  <c r="C113" i="63"/>
  <c r="B113" i="63"/>
  <c r="I108" i="63"/>
  <c r="I103" i="63" s="1"/>
  <c r="M103" i="63"/>
  <c r="L103" i="63"/>
  <c r="K103" i="63"/>
  <c r="J103" i="63"/>
  <c r="H103" i="63"/>
  <c r="G103" i="63"/>
  <c r="F103" i="63"/>
  <c r="F136" i="63" s="1"/>
  <c r="E103" i="63"/>
  <c r="D103" i="63"/>
  <c r="C103" i="63"/>
  <c r="B103" i="63"/>
  <c r="C3" i="22"/>
  <c r="D3" i="22"/>
  <c r="E3" i="22"/>
  <c r="F3" i="22"/>
  <c r="G3" i="22"/>
  <c r="H3" i="22"/>
  <c r="B3" i="22"/>
  <c r="B13" i="22"/>
  <c r="N69" i="63"/>
  <c r="N70" i="63"/>
  <c r="N52" i="63"/>
  <c r="N53" i="63"/>
  <c r="N99" i="63"/>
  <c r="I98" i="63"/>
  <c r="I97" i="63" s="1"/>
  <c r="M97" i="63"/>
  <c r="L97" i="63"/>
  <c r="K97" i="63"/>
  <c r="J97" i="63"/>
  <c r="H97" i="63"/>
  <c r="G97" i="63"/>
  <c r="F97" i="63"/>
  <c r="E97" i="63"/>
  <c r="D97" i="63"/>
  <c r="C97" i="63"/>
  <c r="B97" i="63"/>
  <c r="N96" i="63"/>
  <c r="I95" i="63"/>
  <c r="I94" i="63" s="1"/>
  <c r="M94" i="63"/>
  <c r="L94" i="63"/>
  <c r="K94" i="63"/>
  <c r="J94" i="63"/>
  <c r="H94" i="63"/>
  <c r="G94" i="63"/>
  <c r="F94" i="63"/>
  <c r="E94" i="63"/>
  <c r="D94" i="63"/>
  <c r="C94" i="63"/>
  <c r="B94" i="63"/>
  <c r="I93" i="63"/>
  <c r="N93" i="63" s="1"/>
  <c r="I92" i="63"/>
  <c r="N92" i="63" s="1"/>
  <c r="M91" i="63"/>
  <c r="L91" i="63"/>
  <c r="K91" i="63"/>
  <c r="J91" i="63"/>
  <c r="H91" i="63"/>
  <c r="G91" i="63"/>
  <c r="F91" i="63"/>
  <c r="E91" i="63"/>
  <c r="D91" i="63"/>
  <c r="C91" i="63"/>
  <c r="B91" i="63"/>
  <c r="N81" i="63"/>
  <c r="N80" i="63"/>
  <c r="I74" i="63"/>
  <c r="N74" i="63" s="1"/>
  <c r="N127" i="63" s="1"/>
  <c r="N68" i="63"/>
  <c r="N67" i="63"/>
  <c r="N66" i="63"/>
  <c r="N65" i="63"/>
  <c r="N64" i="63"/>
  <c r="N63" i="63"/>
  <c r="N61" i="63"/>
  <c r="M60" i="63"/>
  <c r="L60" i="63"/>
  <c r="K60" i="63"/>
  <c r="J60" i="63"/>
  <c r="H60" i="63"/>
  <c r="G60" i="63"/>
  <c r="F60" i="63"/>
  <c r="E60" i="63"/>
  <c r="D60" i="63"/>
  <c r="C60" i="63"/>
  <c r="N58" i="63"/>
  <c r="O111" i="63" s="1"/>
  <c r="N57" i="63"/>
  <c r="N56" i="63"/>
  <c r="O109" i="63" s="1"/>
  <c r="I55" i="63"/>
  <c r="N55" i="63" s="1"/>
  <c r="N54" i="63"/>
  <c r="N51" i="63"/>
  <c r="M50" i="63"/>
  <c r="L50" i="63"/>
  <c r="K50" i="63"/>
  <c r="J50" i="63"/>
  <c r="H50" i="63"/>
  <c r="G50" i="63"/>
  <c r="F50" i="63"/>
  <c r="E50" i="63"/>
  <c r="D50" i="63"/>
  <c r="D83" i="63" s="1"/>
  <c r="C50" i="63"/>
  <c r="B50" i="63"/>
  <c r="P38" i="63"/>
  <c r="N38" i="63"/>
  <c r="N37" i="63"/>
  <c r="M36" i="63"/>
  <c r="L36" i="63"/>
  <c r="K36" i="63"/>
  <c r="J36" i="63"/>
  <c r="I36" i="63"/>
  <c r="H36" i="63"/>
  <c r="G36" i="63"/>
  <c r="F36" i="63"/>
  <c r="E36" i="63"/>
  <c r="D36" i="63"/>
  <c r="C36" i="63"/>
  <c r="B36" i="63"/>
  <c r="N35" i="63"/>
  <c r="N34" i="63"/>
  <c r="M33" i="63"/>
  <c r="L33" i="63"/>
  <c r="K33" i="63"/>
  <c r="J33" i="63"/>
  <c r="I33" i="63"/>
  <c r="H33" i="63"/>
  <c r="G33" i="63"/>
  <c r="F33" i="63"/>
  <c r="E33" i="63"/>
  <c r="D33" i="63"/>
  <c r="C33" i="63"/>
  <c r="B33" i="63"/>
  <c r="N32" i="63"/>
  <c r="N31" i="63"/>
  <c r="N132" i="63" s="1"/>
  <c r="P30" i="63"/>
  <c r="P32" i="63" s="1"/>
  <c r="M30" i="63"/>
  <c r="L30" i="63"/>
  <c r="K30" i="63"/>
  <c r="J30" i="63"/>
  <c r="I30" i="63"/>
  <c r="H30" i="63"/>
  <c r="G30" i="63"/>
  <c r="F30" i="63"/>
  <c r="E30" i="63"/>
  <c r="D30" i="63"/>
  <c r="C30" i="63"/>
  <c r="B30" i="63"/>
  <c r="N23" i="63"/>
  <c r="N124" i="63" s="1"/>
  <c r="N22" i="63"/>
  <c r="N21" i="63"/>
  <c r="N20" i="63"/>
  <c r="N19" i="63"/>
  <c r="N18" i="63"/>
  <c r="N17" i="63"/>
  <c r="N16" i="63"/>
  <c r="N15" i="63"/>
  <c r="N13" i="63"/>
  <c r="M12" i="63"/>
  <c r="L12" i="63"/>
  <c r="K12" i="63"/>
  <c r="J12" i="63"/>
  <c r="I12" i="63"/>
  <c r="H12" i="63"/>
  <c r="G12" i="63"/>
  <c r="F12" i="63"/>
  <c r="E12" i="63"/>
  <c r="D12" i="63"/>
  <c r="C12" i="63"/>
  <c r="B12" i="63"/>
  <c r="N10" i="63"/>
  <c r="N8" i="63"/>
  <c r="N7" i="63"/>
  <c r="N6" i="63"/>
  <c r="N5" i="63"/>
  <c r="N4" i="63"/>
  <c r="M3" i="63"/>
  <c r="L3" i="63"/>
  <c r="K3" i="63"/>
  <c r="J3" i="63"/>
  <c r="I3" i="63"/>
  <c r="H3" i="63"/>
  <c r="G3" i="63"/>
  <c r="F3" i="63"/>
  <c r="E3" i="63"/>
  <c r="D3" i="63"/>
  <c r="C3" i="63"/>
  <c r="C25" i="63" s="1"/>
  <c r="B3" i="63"/>
  <c r="J58" i="22" l="1"/>
  <c r="J78" i="22" s="1"/>
  <c r="J64" i="22"/>
  <c r="L83" i="63"/>
  <c r="G143" i="63"/>
  <c r="I50" i="63"/>
  <c r="I83" i="63" s="1"/>
  <c r="I88" i="63" s="1"/>
  <c r="I25" i="63"/>
  <c r="L143" i="63"/>
  <c r="O107" i="63"/>
  <c r="N114" i="63"/>
  <c r="O114" i="63" s="1"/>
  <c r="N133" i="63"/>
  <c r="I136" i="63"/>
  <c r="I141" i="63" s="1"/>
  <c r="C143" i="63"/>
  <c r="D29" i="63"/>
  <c r="I144" i="63"/>
  <c r="N144" i="63" s="1"/>
  <c r="E29" i="63"/>
  <c r="N117" i="63"/>
  <c r="O105" i="63"/>
  <c r="J83" i="63"/>
  <c r="I60" i="63"/>
  <c r="H136" i="63"/>
  <c r="H25" i="63"/>
  <c r="E83" i="63"/>
  <c r="M83" i="63"/>
  <c r="N13" i="22"/>
  <c r="O108" i="63"/>
  <c r="N116" i="63"/>
  <c r="O106" i="63"/>
  <c r="O110" i="63"/>
  <c r="N118" i="63"/>
  <c r="N123" i="63"/>
  <c r="N108" i="63"/>
  <c r="N122" i="63"/>
  <c r="J136" i="63"/>
  <c r="N120" i="63"/>
  <c r="E90" i="63"/>
  <c r="B25" i="63"/>
  <c r="N121" i="63"/>
  <c r="K25" i="63"/>
  <c r="J29" i="63"/>
  <c r="K143" i="63"/>
  <c r="E143" i="63"/>
  <c r="M43" i="12"/>
  <c r="C63" i="12"/>
  <c r="C65" i="12"/>
  <c r="L43" i="12"/>
  <c r="K43" i="12"/>
  <c r="N43" i="12"/>
  <c r="B37" i="22"/>
  <c r="O104" i="63"/>
  <c r="C83" i="63"/>
  <c r="K83" i="63"/>
  <c r="G90" i="63"/>
  <c r="D143" i="63"/>
  <c r="M143" i="63"/>
  <c r="F90" i="63"/>
  <c r="B136" i="63"/>
  <c r="L136" i="63"/>
  <c r="F143" i="63"/>
  <c r="D136" i="63"/>
  <c r="M90" i="63"/>
  <c r="H143" i="63"/>
  <c r="G29" i="63"/>
  <c r="C136" i="63"/>
  <c r="K136" i="63"/>
  <c r="N145" i="63"/>
  <c r="I150" i="63"/>
  <c r="N150" i="63" s="1"/>
  <c r="H90" i="63"/>
  <c r="J90" i="63"/>
  <c r="L90" i="63"/>
  <c r="E136" i="63"/>
  <c r="M136" i="63"/>
  <c r="I147" i="63"/>
  <c r="N94" i="63"/>
  <c r="D25" i="63"/>
  <c r="L25" i="63"/>
  <c r="F83" i="63"/>
  <c r="K90" i="63"/>
  <c r="D90" i="63"/>
  <c r="J143" i="63"/>
  <c r="C29" i="63"/>
  <c r="G83" i="63"/>
  <c r="C90" i="63"/>
  <c r="G136" i="63"/>
  <c r="H83" i="63"/>
  <c r="F29" i="63"/>
  <c r="B143" i="63"/>
  <c r="J25" i="63"/>
  <c r="L29" i="63"/>
  <c r="M29" i="63"/>
  <c r="K29" i="63"/>
  <c r="N3" i="63"/>
  <c r="B60" i="63"/>
  <c r="B83" i="63" s="1"/>
  <c r="N60" i="63"/>
  <c r="N50" i="63"/>
  <c r="N97" i="63"/>
  <c r="B90" i="63"/>
  <c r="I91" i="63"/>
  <c r="I90" i="63" s="1"/>
  <c r="N95" i="63"/>
  <c r="N98" i="63"/>
  <c r="H29" i="63"/>
  <c r="N36" i="63"/>
  <c r="N12" i="63"/>
  <c r="I29" i="63"/>
  <c r="E25" i="63"/>
  <c r="M25" i="63"/>
  <c r="N30" i="63"/>
  <c r="N131" i="63" s="1"/>
  <c r="N33" i="63"/>
  <c r="F25" i="63"/>
  <c r="G25" i="63"/>
  <c r="B29" i="63"/>
  <c r="J74" i="22" l="1"/>
  <c r="N103" i="63"/>
  <c r="I138" i="63"/>
  <c r="N83" i="63"/>
  <c r="I143" i="63"/>
  <c r="N143" i="63" s="1"/>
  <c r="I85" i="63"/>
  <c r="N147" i="63"/>
  <c r="N25" i="63"/>
  <c r="N126" i="63" s="1"/>
  <c r="N29" i="63"/>
  <c r="N130" i="63" s="1"/>
  <c r="N90" i="63"/>
  <c r="N91" i="63"/>
  <c r="K64" i="22" l="1"/>
  <c r="K58" i="22"/>
  <c r="K78" i="22" s="1"/>
  <c r="N113" i="63"/>
  <c r="N136" i="63" s="1"/>
  <c r="M72" i="12"/>
  <c r="J22" i="12"/>
  <c r="K74" i="22" l="1"/>
  <c r="A67" i="12"/>
  <c r="A65" i="12"/>
  <c r="A63" i="12"/>
  <c r="N20" i="41"/>
  <c r="N18" i="41"/>
  <c r="N15" i="41"/>
  <c r="N10" i="41"/>
  <c r="N8" i="41"/>
  <c r="N6" i="41"/>
  <c r="I13" i="41"/>
  <c r="I17" i="41" s="1"/>
  <c r="I21" i="41" s="1"/>
  <c r="J40" i="41"/>
  <c r="A16" i="20"/>
  <c r="A17" i="20"/>
  <c r="J54" i="12"/>
  <c r="J53" i="12"/>
  <c r="O53" i="12" s="1"/>
  <c r="J47" i="12"/>
  <c r="K16" i="12"/>
  <c r="L16" i="12"/>
  <c r="M16" i="12"/>
  <c r="N16" i="12"/>
  <c r="K15" i="12"/>
  <c r="L15" i="12"/>
  <c r="M15" i="12"/>
  <c r="N15" i="12"/>
  <c r="K14" i="12"/>
  <c r="L14" i="12"/>
  <c r="M14" i="12"/>
  <c r="N14" i="12"/>
  <c r="K13" i="12"/>
  <c r="L13" i="12"/>
  <c r="M13" i="12"/>
  <c r="N13" i="12"/>
  <c r="K11" i="12"/>
  <c r="L11" i="12"/>
  <c r="M11" i="12"/>
  <c r="N11" i="12"/>
  <c r="K8" i="12"/>
  <c r="L8" i="12"/>
  <c r="M8" i="12"/>
  <c r="N8" i="12"/>
  <c r="K7" i="12"/>
  <c r="L7" i="12"/>
  <c r="M7" i="12"/>
  <c r="N7" i="12"/>
  <c r="K6" i="12"/>
  <c r="L6" i="12"/>
  <c r="M6" i="12"/>
  <c r="N6" i="12"/>
  <c r="K5" i="12"/>
  <c r="L5" i="12"/>
  <c r="M5" i="12"/>
  <c r="N5" i="12"/>
  <c r="J16" i="12"/>
  <c r="J15" i="12"/>
  <c r="J14" i="12"/>
  <c r="J13" i="12"/>
  <c r="J8" i="12"/>
  <c r="J7" i="12"/>
  <c r="J6" i="12"/>
  <c r="I13" i="22"/>
  <c r="I47" i="22"/>
  <c r="I52" i="22"/>
  <c r="I49" i="22"/>
  <c r="I46" i="22"/>
  <c r="Q11" i="59"/>
  <c r="Q14" i="59" s="1"/>
  <c r="Q18" i="59" s="1"/>
  <c r="H7" i="59"/>
  <c r="I32" i="59" s="1"/>
  <c r="E31" i="59"/>
  <c r="H31" i="59" s="1"/>
  <c r="E30" i="59"/>
  <c r="H30" i="59" s="1"/>
  <c r="F22" i="61"/>
  <c r="F26" i="61" s="1"/>
  <c r="B20" i="61"/>
  <c r="C21" i="61" s="1"/>
  <c r="B16" i="61"/>
  <c r="D12" i="61"/>
  <c r="D10" i="61" s="1"/>
  <c r="C12" i="61"/>
  <c r="C10" i="61" s="1"/>
  <c r="B12" i="61"/>
  <c r="B10" i="61" s="1"/>
  <c r="E6" i="61"/>
  <c r="D5" i="61"/>
  <c r="C5" i="61"/>
  <c r="E5" i="61" s="1"/>
  <c r="B5" i="61"/>
  <c r="E4" i="61"/>
  <c r="F3" i="61"/>
  <c r="E3" i="61"/>
  <c r="F2" i="61"/>
  <c r="F4" i="61" s="1"/>
  <c r="E2" i="61"/>
  <c r="H29" i="59"/>
  <c r="D28" i="59"/>
  <c r="H28" i="59" s="1"/>
  <c r="A18" i="20"/>
  <c r="B30" i="12"/>
  <c r="C34" i="60"/>
  <c r="O17" i="12"/>
  <c r="C25" i="60"/>
  <c r="C18" i="60"/>
  <c r="E27" i="59"/>
  <c r="H27" i="59" s="1"/>
  <c r="J27" i="59" s="1"/>
  <c r="H13" i="59"/>
  <c r="H14" i="59"/>
  <c r="H15" i="59"/>
  <c r="H21" i="59"/>
  <c r="H12" i="59"/>
  <c r="H5" i="59"/>
  <c r="I33" i="59" s="1"/>
  <c r="H3" i="59"/>
  <c r="E27" i="13"/>
  <c r="J56" i="12"/>
  <c r="K56" i="12"/>
  <c r="L56" i="12"/>
  <c r="L42" i="12" s="1"/>
  <c r="M56" i="12"/>
  <c r="M42" i="12" s="1"/>
  <c r="I43" i="12"/>
  <c r="I56" i="12"/>
  <c r="J35" i="12"/>
  <c r="K35" i="12"/>
  <c r="L35" i="12"/>
  <c r="M35" i="12"/>
  <c r="N35" i="12"/>
  <c r="K34" i="12"/>
  <c r="L34" i="12"/>
  <c r="M34" i="12"/>
  <c r="N34" i="12"/>
  <c r="J32" i="12"/>
  <c r="K32" i="12"/>
  <c r="L32" i="12"/>
  <c r="M32" i="12"/>
  <c r="N32" i="12"/>
  <c r="K31" i="12"/>
  <c r="L31" i="12"/>
  <c r="M31" i="12"/>
  <c r="N31" i="12"/>
  <c r="K29" i="12"/>
  <c r="L29" i="12"/>
  <c r="M29" i="12"/>
  <c r="N29" i="12"/>
  <c r="K28" i="12"/>
  <c r="L28" i="12"/>
  <c r="M28" i="12"/>
  <c r="N28" i="12"/>
  <c r="O18" i="12"/>
  <c r="I22" i="12"/>
  <c r="K22" i="12"/>
  <c r="L22" i="12"/>
  <c r="M22" i="12"/>
  <c r="J11" i="12"/>
  <c r="I7" i="12"/>
  <c r="I8" i="12"/>
  <c r="J5" i="12"/>
  <c r="E43" i="12"/>
  <c r="F43" i="12"/>
  <c r="G43" i="12"/>
  <c r="H43" i="12"/>
  <c r="E56" i="12"/>
  <c r="F56" i="12"/>
  <c r="G56" i="12"/>
  <c r="H56" i="12"/>
  <c r="D35" i="13"/>
  <c r="H22" i="12"/>
  <c r="D22" i="12"/>
  <c r="E22" i="12"/>
  <c r="F22" i="12"/>
  <c r="G22" i="12"/>
  <c r="C22" i="12"/>
  <c r="I13" i="12"/>
  <c r="I14" i="12"/>
  <c r="I15" i="12"/>
  <c r="I16" i="12"/>
  <c r="I11" i="12"/>
  <c r="H13" i="12"/>
  <c r="H14" i="12"/>
  <c r="H15" i="12"/>
  <c r="H16" i="12"/>
  <c r="H11" i="12"/>
  <c r="I6" i="12"/>
  <c r="H6" i="12"/>
  <c r="H7" i="12"/>
  <c r="H8" i="12"/>
  <c r="I5" i="12"/>
  <c r="H5" i="12"/>
  <c r="G13" i="12"/>
  <c r="G14" i="12"/>
  <c r="G15" i="12"/>
  <c r="G16" i="12"/>
  <c r="F13" i="12"/>
  <c r="F14" i="12"/>
  <c r="F15" i="12"/>
  <c r="G11" i="12"/>
  <c r="G6" i="12"/>
  <c r="G7" i="12"/>
  <c r="G8" i="12"/>
  <c r="G5" i="12"/>
  <c r="F13" i="22"/>
  <c r="A31" i="20"/>
  <c r="A27" i="20"/>
  <c r="A25" i="20"/>
  <c r="A24" i="20"/>
  <c r="A23" i="20"/>
  <c r="A22" i="20"/>
  <c r="A19" i="20"/>
  <c r="A15" i="20"/>
  <c r="C20" i="13"/>
  <c r="C19" i="13"/>
  <c r="C18" i="13"/>
  <c r="C17" i="13"/>
  <c r="C16" i="13"/>
  <c r="C15" i="13"/>
  <c r="C8" i="13"/>
  <c r="C7" i="13"/>
  <c r="C6" i="13"/>
  <c r="C5" i="13"/>
  <c r="R19" i="12"/>
  <c r="A12" i="20" s="1"/>
  <c r="R17" i="12"/>
  <c r="A10" i="20" s="1"/>
  <c r="R18" i="12"/>
  <c r="A11" i="20" s="1"/>
  <c r="R12" i="12"/>
  <c r="R11" i="12"/>
  <c r="R9" i="12"/>
  <c r="R8" i="12"/>
  <c r="R6" i="12"/>
  <c r="R5" i="12"/>
  <c r="R4" i="12"/>
  <c r="B56" i="12"/>
  <c r="C56" i="12"/>
  <c r="D56" i="12"/>
  <c r="C43" i="12"/>
  <c r="D43" i="12"/>
  <c r="B43" i="12"/>
  <c r="N52" i="22" l="1"/>
  <c r="J88" i="22"/>
  <c r="J29" i="12"/>
  <c r="J83" i="22"/>
  <c r="O83" i="22" s="1"/>
  <c r="N49" i="22"/>
  <c r="J85" i="22"/>
  <c r="O85" i="22" s="1"/>
  <c r="N46" i="22"/>
  <c r="J82" i="22"/>
  <c r="L64" i="22"/>
  <c r="L58" i="22"/>
  <c r="O62" i="22"/>
  <c r="B6" i="60"/>
  <c r="B6" i="64"/>
  <c r="N23" i="12"/>
  <c r="M23" i="12" s="1"/>
  <c r="F7" i="61"/>
  <c r="J44" i="12"/>
  <c r="O47" i="12"/>
  <c r="J49" i="12"/>
  <c r="O54" i="12"/>
  <c r="C21" i="64" s="1"/>
  <c r="K42" i="12"/>
  <c r="E35" i="59"/>
  <c r="J28" i="59"/>
  <c r="K28" i="59" s="1"/>
  <c r="N11" i="41"/>
  <c r="J31" i="12"/>
  <c r="O31" i="12" s="1"/>
  <c r="K33" i="12"/>
  <c r="J28" i="12"/>
  <c r="O28" i="12" s="1"/>
  <c r="I37" i="22"/>
  <c r="J34" i="12"/>
  <c r="J33" i="12" s="1"/>
  <c r="N47" i="22"/>
  <c r="B7" i="64" s="1"/>
  <c r="L33" i="12"/>
  <c r="C37" i="12"/>
  <c r="O29" i="12"/>
  <c r="K27" i="59"/>
  <c r="M33" i="12"/>
  <c r="N27" i="12"/>
  <c r="N33" i="12"/>
  <c r="E37" i="12"/>
  <c r="D37" i="12"/>
  <c r="F37" i="22"/>
  <c r="F25" i="41" s="1"/>
  <c r="O35" i="12"/>
  <c r="O32" i="12"/>
  <c r="N56" i="12"/>
  <c r="N42" i="12" s="1"/>
  <c r="H32" i="59"/>
  <c r="H16" i="59"/>
  <c r="C35" i="60"/>
  <c r="H22" i="59"/>
  <c r="I42" i="12"/>
  <c r="I37" i="12"/>
  <c r="O14" i="12"/>
  <c r="L27" i="12"/>
  <c r="M37" i="12"/>
  <c r="K37" i="12"/>
  <c r="K4" i="12"/>
  <c r="K24" i="12" s="1"/>
  <c r="H33" i="12"/>
  <c r="L37" i="12"/>
  <c r="I27" i="12"/>
  <c r="I33" i="12"/>
  <c r="O13" i="12"/>
  <c r="G33" i="12"/>
  <c r="O15" i="12"/>
  <c r="M10" i="12"/>
  <c r="M27" i="12"/>
  <c r="K27" i="12"/>
  <c r="N10" i="12"/>
  <c r="L10" i="12"/>
  <c r="K10" i="12"/>
  <c r="N4" i="12"/>
  <c r="N24" i="12" s="1"/>
  <c r="M4" i="12"/>
  <c r="M24" i="12" s="1"/>
  <c r="L4" i="12"/>
  <c r="I10" i="12"/>
  <c r="H37" i="12"/>
  <c r="I4" i="12"/>
  <c r="I24" i="12" s="1"/>
  <c r="G42" i="12"/>
  <c r="G37" i="12"/>
  <c r="J4" i="12"/>
  <c r="H42" i="12"/>
  <c r="H27" i="12"/>
  <c r="J10" i="12"/>
  <c r="H10" i="12"/>
  <c r="H4" i="12"/>
  <c r="H24" i="12" s="1"/>
  <c r="F42" i="12"/>
  <c r="E42" i="12"/>
  <c r="F51" i="22"/>
  <c r="G51" i="22"/>
  <c r="H51" i="22"/>
  <c r="I51" i="22"/>
  <c r="J51" i="22"/>
  <c r="K51" i="22"/>
  <c r="L51" i="22"/>
  <c r="M51" i="22"/>
  <c r="F48" i="22"/>
  <c r="G48" i="22"/>
  <c r="H48" i="22"/>
  <c r="I84" i="22" s="1"/>
  <c r="I80" i="22" s="1"/>
  <c r="I48" i="22"/>
  <c r="J48" i="22"/>
  <c r="K48" i="22"/>
  <c r="L48" i="22"/>
  <c r="M84" i="22" s="1"/>
  <c r="M80" i="22" s="1"/>
  <c r="M48" i="22"/>
  <c r="F45" i="22"/>
  <c r="G45" i="22"/>
  <c r="H45" i="22"/>
  <c r="I45" i="22"/>
  <c r="J45" i="22"/>
  <c r="K45" i="22"/>
  <c r="L45" i="22"/>
  <c r="M45" i="22"/>
  <c r="N50" i="22"/>
  <c r="N53" i="22"/>
  <c r="B51" i="22"/>
  <c r="C51" i="22"/>
  <c r="D51" i="22"/>
  <c r="B48" i="22"/>
  <c r="C48" i="22"/>
  <c r="D48" i="22"/>
  <c r="B45" i="22"/>
  <c r="C45" i="22"/>
  <c r="D45" i="22"/>
  <c r="E51" i="22"/>
  <c r="E48" i="22"/>
  <c r="E45" i="22"/>
  <c r="F16" i="12"/>
  <c r="O16" i="12" s="1"/>
  <c r="F11" i="12"/>
  <c r="O11" i="12" s="1"/>
  <c r="F8" i="12"/>
  <c r="O8" i="12" s="1"/>
  <c r="F7" i="12"/>
  <c r="O7" i="12" s="1"/>
  <c r="F6" i="12"/>
  <c r="O6" i="12" s="1"/>
  <c r="F5" i="12"/>
  <c r="O5" i="12" s="1"/>
  <c r="E53" i="58"/>
  <c r="D53" i="58"/>
  <c r="C53" i="58"/>
  <c r="B53" i="58"/>
  <c r="H62" i="58"/>
  <c r="I61" i="58"/>
  <c r="I62" i="58" s="1"/>
  <c r="F60" i="58"/>
  <c r="F56" i="58"/>
  <c r="E55" i="58"/>
  <c r="D55" i="58"/>
  <c r="C55" i="58"/>
  <c r="F54" i="58"/>
  <c r="F52" i="58"/>
  <c r="E51" i="58"/>
  <c r="D51" i="58"/>
  <c r="C51" i="58"/>
  <c r="B51" i="58"/>
  <c r="E100" i="58"/>
  <c r="D100" i="58"/>
  <c r="C100" i="58"/>
  <c r="B100" i="58"/>
  <c r="E98" i="58"/>
  <c r="D98" i="58"/>
  <c r="C98" i="58"/>
  <c r="B98" i="58"/>
  <c r="K104" i="58"/>
  <c r="K109" i="58" s="1"/>
  <c r="J104" i="58"/>
  <c r="J109" i="58" s="1"/>
  <c r="I104" i="58"/>
  <c r="I109" i="58" s="1"/>
  <c r="I108" i="58"/>
  <c r="B10" i="58"/>
  <c r="B15" i="58" s="1"/>
  <c r="B19" i="58" s="1"/>
  <c r="F8" i="58"/>
  <c r="F107" i="58"/>
  <c r="F103" i="58"/>
  <c r="E102" i="58"/>
  <c r="D102" i="58"/>
  <c r="C102" i="58"/>
  <c r="F101" i="58"/>
  <c r="F99" i="58"/>
  <c r="F17" i="58"/>
  <c r="F13" i="58"/>
  <c r="E12" i="58"/>
  <c r="E15" i="58" s="1"/>
  <c r="E19" i="58" s="1"/>
  <c r="D12" i="58"/>
  <c r="D15" i="58" s="1"/>
  <c r="D19" i="58" s="1"/>
  <c r="C12" i="58"/>
  <c r="C15" i="58" s="1"/>
  <c r="C19" i="58" s="1"/>
  <c r="F11" i="58"/>
  <c r="F9" i="58"/>
  <c r="M13" i="41"/>
  <c r="F13" i="41"/>
  <c r="F19" i="41" s="1"/>
  <c r="G13" i="41"/>
  <c r="H13" i="41"/>
  <c r="H19" i="41" s="1"/>
  <c r="J13" i="41"/>
  <c r="J17" i="41" s="1"/>
  <c r="J21" i="41" s="1"/>
  <c r="K13" i="41"/>
  <c r="L13" i="41"/>
  <c r="N7" i="41"/>
  <c r="N9" i="41"/>
  <c r="B13" i="41"/>
  <c r="D18" i="13"/>
  <c r="D17" i="13"/>
  <c r="D16" i="13"/>
  <c r="D19" i="13"/>
  <c r="D15" i="13"/>
  <c r="C13" i="22"/>
  <c r="D13" i="22"/>
  <c r="E13" i="22"/>
  <c r="G13" i="22"/>
  <c r="G37" i="22" s="1"/>
  <c r="G25" i="41" s="1"/>
  <c r="H13" i="22"/>
  <c r="H37" i="22" s="1"/>
  <c r="H25" i="41" s="1"/>
  <c r="J13" i="22"/>
  <c r="K13" i="22"/>
  <c r="L13" i="22"/>
  <c r="M13" i="22"/>
  <c r="M37" i="22" s="1"/>
  <c r="E13" i="41"/>
  <c r="E19" i="41" s="1"/>
  <c r="D13" i="41"/>
  <c r="C13" i="41"/>
  <c r="C19" i="41" s="1"/>
  <c r="C30" i="12"/>
  <c r="D30" i="12"/>
  <c r="E30" i="12"/>
  <c r="F30" i="12"/>
  <c r="G30" i="12"/>
  <c r="C33" i="12"/>
  <c r="D33" i="12"/>
  <c r="E33" i="12"/>
  <c r="C27" i="12"/>
  <c r="D27" i="12"/>
  <c r="E27" i="12"/>
  <c r="G27" i="12"/>
  <c r="B33" i="12"/>
  <c r="B27" i="12"/>
  <c r="B22" i="12"/>
  <c r="B37" i="12" s="1"/>
  <c r="G4" i="12"/>
  <c r="E4" i="12"/>
  <c r="E24" i="12" s="1"/>
  <c r="D4" i="12"/>
  <c r="D24" i="12" s="1"/>
  <c r="C4" i="12"/>
  <c r="B4" i="12"/>
  <c r="B24" i="12" s="1"/>
  <c r="E10" i="12"/>
  <c r="G10" i="12"/>
  <c r="D10" i="12"/>
  <c r="C10" i="12"/>
  <c r="B10" i="12"/>
  <c r="K30" i="12" l="1"/>
  <c r="K84" i="22"/>
  <c r="K80" i="22" s="1"/>
  <c r="J30" i="12"/>
  <c r="J84" i="22"/>
  <c r="H30" i="12"/>
  <c r="H84" i="22"/>
  <c r="L30" i="12"/>
  <c r="L84" i="22"/>
  <c r="L80" i="22" s="1"/>
  <c r="N30" i="12"/>
  <c r="N84" i="22"/>
  <c r="N80" i="22" s="1"/>
  <c r="O88" i="22"/>
  <c r="P88" i="22" s="1"/>
  <c r="P89" i="22" s="1"/>
  <c r="J87" i="22"/>
  <c r="O87" i="22" s="1"/>
  <c r="P15" i="57" s="1"/>
  <c r="O82" i="22"/>
  <c r="J91" i="22"/>
  <c r="O91" i="22" s="1"/>
  <c r="J81" i="22"/>
  <c r="L74" i="22"/>
  <c r="L78" i="22"/>
  <c r="B7" i="60"/>
  <c r="C68" i="12"/>
  <c r="C67" i="12"/>
  <c r="M42" i="22"/>
  <c r="M39" i="22"/>
  <c r="K20" i="12"/>
  <c r="C69" i="12"/>
  <c r="B79" i="12"/>
  <c r="B85" i="12" s="1"/>
  <c r="L37" i="22"/>
  <c r="O63" i="12"/>
  <c r="I42" i="22"/>
  <c r="I39" i="22"/>
  <c r="I23" i="41" s="1"/>
  <c r="J20" i="12"/>
  <c r="L20" i="12"/>
  <c r="O49" i="12"/>
  <c r="C20" i="64" s="1"/>
  <c r="C22" i="64" s="1"/>
  <c r="J43" i="12"/>
  <c r="O44" i="12"/>
  <c r="K37" i="22"/>
  <c r="K39" i="22" s="1"/>
  <c r="L17" i="41"/>
  <c r="L21" i="41" s="1"/>
  <c r="M17" i="41"/>
  <c r="M21" i="41" s="1"/>
  <c r="K17" i="41"/>
  <c r="K21" i="41" s="1"/>
  <c r="J37" i="22"/>
  <c r="J26" i="59"/>
  <c r="N13" i="41"/>
  <c r="J37" i="12"/>
  <c r="J27" i="12"/>
  <c r="J26" i="12" s="1"/>
  <c r="O34" i="12"/>
  <c r="P34" i="12" s="1"/>
  <c r="P35" i="12" s="1"/>
  <c r="L44" i="22"/>
  <c r="F44" i="22"/>
  <c r="M44" i="22"/>
  <c r="G44" i="22"/>
  <c r="N26" i="12"/>
  <c r="F29" i="41"/>
  <c r="H35" i="59"/>
  <c r="J33" i="59"/>
  <c r="E36" i="59"/>
  <c r="J32" i="59"/>
  <c r="K44" i="22"/>
  <c r="J44" i="22"/>
  <c r="L26" i="12"/>
  <c r="I44" i="22"/>
  <c r="D44" i="22"/>
  <c r="C44" i="22"/>
  <c r="N51" i="22"/>
  <c r="H44" i="22"/>
  <c r="N45" i="22"/>
  <c r="B44" i="22"/>
  <c r="E44" i="22"/>
  <c r="N48" i="22"/>
  <c r="G19" i="41"/>
  <c r="G29" i="41" s="1"/>
  <c r="K26" i="12"/>
  <c r="I30" i="12"/>
  <c r="I26" i="12" s="1"/>
  <c r="M30" i="12"/>
  <c r="M26" i="12" s="1"/>
  <c r="N20" i="12"/>
  <c r="L24" i="12"/>
  <c r="M20" i="12"/>
  <c r="C24" i="12"/>
  <c r="I20" i="12"/>
  <c r="J24" i="12"/>
  <c r="F37" i="12"/>
  <c r="F33" i="12"/>
  <c r="H29" i="41"/>
  <c r="H26" i="12"/>
  <c r="H20" i="12"/>
  <c r="D14" i="13"/>
  <c r="F27" i="12"/>
  <c r="C37" i="22"/>
  <c r="E37" i="22"/>
  <c r="E25" i="41" s="1"/>
  <c r="E29" i="41" s="1"/>
  <c r="F10" i="12"/>
  <c r="O10" i="12" s="1"/>
  <c r="F4" i="12"/>
  <c r="F24" i="12" s="1"/>
  <c r="H104" i="58"/>
  <c r="H109" i="58" s="1"/>
  <c r="H110" i="58" s="1"/>
  <c r="F10" i="58"/>
  <c r="B105" i="58"/>
  <c r="B109" i="58" s="1"/>
  <c r="F55" i="58"/>
  <c r="I110" i="58"/>
  <c r="E58" i="58"/>
  <c r="E62" i="58" s="1"/>
  <c r="F100" i="58"/>
  <c r="F53" i="58"/>
  <c r="D58" i="58"/>
  <c r="D62" i="58" s="1"/>
  <c r="F102" i="58"/>
  <c r="B58" i="58"/>
  <c r="B62" i="58" s="1"/>
  <c r="C58" i="58"/>
  <c r="C62" i="58" s="1"/>
  <c r="J61" i="58"/>
  <c r="J62" i="58" s="1"/>
  <c r="F51" i="58"/>
  <c r="E105" i="58"/>
  <c r="E109" i="58" s="1"/>
  <c r="D105" i="58"/>
  <c r="D109" i="58" s="1"/>
  <c r="F98" i="58"/>
  <c r="J108" i="58"/>
  <c r="C105" i="58"/>
  <c r="C109" i="58" s="1"/>
  <c r="F12" i="58"/>
  <c r="G26" i="12"/>
  <c r="B26" i="12"/>
  <c r="E26" i="12"/>
  <c r="D26" i="12"/>
  <c r="C26" i="12"/>
  <c r="D20" i="12"/>
  <c r="G20" i="12"/>
  <c r="G24" i="12"/>
  <c r="C20" i="12"/>
  <c r="E20" i="12"/>
  <c r="B20" i="12"/>
  <c r="O81" i="22" l="1"/>
  <c r="S66" i="22" s="1"/>
  <c r="J80" i="22"/>
  <c r="H80" i="22"/>
  <c r="O80" i="22" s="1"/>
  <c r="O84" i="22"/>
  <c r="M58" i="22"/>
  <c r="M78" i="22" s="1"/>
  <c r="M64" i="22"/>
  <c r="B9" i="60"/>
  <c r="B9" i="64"/>
  <c r="B8" i="60"/>
  <c r="B8" i="64"/>
  <c r="I27" i="41"/>
  <c r="S17" i="12"/>
  <c r="C15" i="64"/>
  <c r="C16" i="64" s="1"/>
  <c r="C71" i="12"/>
  <c r="O71" i="12"/>
  <c r="S19" i="12"/>
  <c r="S18" i="12"/>
  <c r="L39" i="22"/>
  <c r="L23" i="41" s="1"/>
  <c r="L27" i="41" s="1"/>
  <c r="L29" i="41" s="1"/>
  <c r="L42" i="22"/>
  <c r="C21" i="58"/>
  <c r="C111" i="58" s="1"/>
  <c r="C113" i="58" s="1"/>
  <c r="M23" i="41"/>
  <c r="M27" i="41" s="1"/>
  <c r="M29" i="41" s="1"/>
  <c r="J42" i="12"/>
  <c r="O43" i="12"/>
  <c r="O42" i="12" s="1"/>
  <c r="K42" i="22"/>
  <c r="K23" i="41"/>
  <c r="K27" i="41" s="1"/>
  <c r="D5" i="13"/>
  <c r="N17" i="41"/>
  <c r="J39" i="22"/>
  <c r="J23" i="41" s="1"/>
  <c r="J42" i="22"/>
  <c r="B21" i="58"/>
  <c r="B111" i="58" s="1"/>
  <c r="B113" i="58" s="1"/>
  <c r="O27" i="12"/>
  <c r="N44" i="22"/>
  <c r="O33" i="12"/>
  <c r="O30" i="12"/>
  <c r="O24" i="12"/>
  <c r="O4" i="12"/>
  <c r="S4" i="12" s="1"/>
  <c r="S5" i="12"/>
  <c r="F26" i="12"/>
  <c r="O26" i="12" s="1"/>
  <c r="C25" i="41"/>
  <c r="B25" i="41"/>
  <c r="E21" i="58"/>
  <c r="E23" i="58" s="1"/>
  <c r="F20" i="12"/>
  <c r="F58" i="58"/>
  <c r="F62" i="58" s="1"/>
  <c r="F15" i="58"/>
  <c r="F19" i="58" s="1"/>
  <c r="F105" i="58"/>
  <c r="F109" i="58" s="1"/>
  <c r="K61" i="58"/>
  <c r="K108" i="58"/>
  <c r="K110" i="58" s="1"/>
  <c r="J110" i="58"/>
  <c r="K66" i="41"/>
  <c r="F66" i="41"/>
  <c r="G66" i="41"/>
  <c r="H66" i="41"/>
  <c r="I66" i="41"/>
  <c r="J66" i="41"/>
  <c r="P80" i="22" l="1"/>
  <c r="P81" i="22" s="1"/>
  <c r="P10" i="57"/>
  <c r="S65" i="22"/>
  <c r="B6" i="20" s="1"/>
  <c r="P4" i="57"/>
  <c r="P5" i="57"/>
  <c r="O65" i="22"/>
  <c r="M74" i="22"/>
  <c r="O68" i="22" s="1"/>
  <c r="B10" i="60"/>
  <c r="C19" i="60" s="1"/>
  <c r="N23" i="41"/>
  <c r="O93" i="12"/>
  <c r="O86" i="12"/>
  <c r="N42" i="22"/>
  <c r="B10" i="64"/>
  <c r="C23" i="64" s="1"/>
  <c r="S30" i="12"/>
  <c r="B77" i="12"/>
  <c r="B88" i="12" s="1"/>
  <c r="B89" i="12" s="1"/>
  <c r="S28" i="12"/>
  <c r="P26" i="12"/>
  <c r="P27" i="12" s="1"/>
  <c r="S13" i="12"/>
  <c r="S38" i="12" s="1"/>
  <c r="T17" i="12"/>
  <c r="S40" i="12"/>
  <c r="C23" i="58"/>
  <c r="N39" i="22"/>
  <c r="J27" i="41"/>
  <c r="N27" i="41" s="1"/>
  <c r="C64" i="58"/>
  <c r="C66" i="58" s="1"/>
  <c r="O20" i="12"/>
  <c r="S20" i="12"/>
  <c r="P54" i="12"/>
  <c r="O66" i="12"/>
  <c r="P66" i="12" s="1"/>
  <c r="P44" i="12"/>
  <c r="P43" i="12"/>
  <c r="N21" i="41"/>
  <c r="K29" i="41"/>
  <c r="B64" i="58"/>
  <c r="B66" i="58" s="1"/>
  <c r="B23" i="58"/>
  <c r="S12" i="12"/>
  <c r="B63" i="12"/>
  <c r="B65" i="12"/>
  <c r="E65" i="12" s="1"/>
  <c r="B67" i="12"/>
  <c r="S11" i="12"/>
  <c r="S26" i="12" s="1"/>
  <c r="P49" i="12"/>
  <c r="I29" i="41"/>
  <c r="E111" i="58"/>
  <c r="E113" i="58" s="1"/>
  <c r="E64" i="58"/>
  <c r="E66" i="58" s="1"/>
  <c r="K62" i="58"/>
  <c r="K63" i="58" s="1"/>
  <c r="G62" i="58"/>
  <c r="G66" i="58" s="1"/>
  <c r="H66" i="58" s="1"/>
  <c r="G109" i="58"/>
  <c r="G113" i="58" s="1"/>
  <c r="H113" i="58" s="1"/>
  <c r="C26" i="60" l="1"/>
  <c r="N58" i="22"/>
  <c r="N78" i="22" s="1"/>
  <c r="O78" i="22" s="1"/>
  <c r="O59" i="22"/>
  <c r="N77" i="22"/>
  <c r="M77" i="22" s="1"/>
  <c r="N64" i="22"/>
  <c r="O64" i="22" s="1"/>
  <c r="S6" i="12"/>
  <c r="S7" i="12" s="1"/>
  <c r="O101" i="12"/>
  <c r="E67" i="12"/>
  <c r="O116" i="12"/>
  <c r="O109" i="12"/>
  <c r="C17" i="64"/>
  <c r="E63" i="12"/>
  <c r="G63" i="12"/>
  <c r="B78" i="12"/>
  <c r="B81" i="12" s="1"/>
  <c r="D69" i="12"/>
  <c r="D67" i="12"/>
  <c r="D68" i="12"/>
  <c r="J29" i="41"/>
  <c r="B80" i="12"/>
  <c r="B71" i="12"/>
  <c r="E71" i="12" s="1"/>
  <c r="G65" i="12"/>
  <c r="D65" i="12"/>
  <c r="D63" i="12"/>
  <c r="G67" i="12"/>
  <c r="N29" i="41"/>
  <c r="N74" i="22" l="1"/>
  <c r="O58" i="22"/>
  <c r="D71" i="12"/>
  <c r="O74" i="22" l="1"/>
  <c r="S58" i="22"/>
  <c r="F81" i="41"/>
  <c r="H56" i="41"/>
  <c r="G56" i="41"/>
  <c r="O21" i="57" l="1"/>
  <c r="P18" i="57" s="1"/>
  <c r="F54" i="41"/>
  <c r="F52" i="41"/>
  <c r="S61" i="22" l="1"/>
  <c r="S63" i="22" s="1"/>
  <c r="B5" i="20"/>
  <c r="D56" i="41"/>
  <c r="D19" i="41" s="1"/>
  <c r="B7" i="20" l="1"/>
  <c r="B52" i="41"/>
  <c r="C51" i="41"/>
  <c r="B51" i="41"/>
  <c r="B54" i="41"/>
  <c r="B55" i="41"/>
  <c r="C54" i="41"/>
  <c r="C52" i="41"/>
  <c r="C50" i="41"/>
  <c r="C55" i="41"/>
  <c r="B68" i="41" l="1"/>
  <c r="D6" i="13" l="1"/>
  <c r="D8" i="13"/>
  <c r="D7" i="13" l="1"/>
  <c r="D4" i="13" s="1"/>
  <c r="D22" i="13" l="1"/>
  <c r="H30" i="13" s="1"/>
  <c r="L61" i="41" l="1"/>
  <c r="E56" i="41" l="1"/>
  <c r="F56" i="41"/>
  <c r="I56" i="41"/>
  <c r="J56" i="41"/>
  <c r="K56" i="41"/>
  <c r="L56" i="41"/>
  <c r="M56" i="41"/>
  <c r="N56" i="41"/>
  <c r="B56" i="41"/>
  <c r="B19" i="41" s="1"/>
  <c r="N19" i="41" s="1"/>
  <c r="C56" i="41"/>
  <c r="C29" i="41" s="1"/>
  <c r="B29" i="41" l="1"/>
  <c r="C69" i="13"/>
  <c r="D69" i="13"/>
  <c r="D37" i="13" s="1"/>
  <c r="E41" i="13" s="1"/>
  <c r="B69" i="13"/>
  <c r="D48" i="13"/>
  <c r="C48" i="13"/>
  <c r="B48" i="13"/>
  <c r="B56" i="13" s="1"/>
  <c r="C4" i="13"/>
  <c r="C14" i="13"/>
  <c r="B4" i="13"/>
  <c r="B14" i="13"/>
  <c r="E39" i="13" l="1"/>
  <c r="B22" i="13"/>
  <c r="C22" i="13"/>
  <c r="E31" i="13"/>
  <c r="D37" i="22" l="1"/>
  <c r="N37" i="22" s="1"/>
  <c r="D25" i="41" l="1"/>
  <c r="N25" i="41" s="1"/>
  <c r="D21" i="58"/>
  <c r="D111" i="58" l="1"/>
  <c r="F21" i="58"/>
  <c r="F23" i="58" s="1"/>
  <c r="F25" i="58" s="1"/>
  <c r="D23" i="58"/>
  <c r="D64" i="58"/>
  <c r="D29" i="41"/>
  <c r="N31" i="41" l="1"/>
  <c r="F64" i="58"/>
  <c r="F66" i="58" s="1"/>
  <c r="F68" i="58" s="1"/>
  <c r="G68" i="58" s="1"/>
  <c r="D66" i="58"/>
  <c r="F111" i="58"/>
  <c r="F113" i="58" s="1"/>
  <c r="F115" i="58" s="1"/>
  <c r="D113" i="58"/>
  <c r="C56" i="13" l="1"/>
  <c r="D56" i="13"/>
  <c r="E5" i="13"/>
  <c r="E6" i="13"/>
  <c r="E7" i="13"/>
  <c r="E8" i="13"/>
  <c r="E14" i="13"/>
  <c r="E16" i="13"/>
  <c r="E17" i="13"/>
  <c r="E18" i="13"/>
  <c r="E19" i="13"/>
  <c r="E20" i="13"/>
  <c r="E22" i="13"/>
  <c r="C35" i="13" l="1"/>
  <c r="C37" i="13" s="1"/>
  <c r="E56" i="13"/>
  <c r="E53" i="13"/>
  <c r="E50" i="13"/>
  <c r="E49" i="13"/>
  <c r="E48" i="13"/>
  <c r="B35" i="13" l="1"/>
  <c r="B37" i="13" s="1"/>
  <c r="E4" i="13"/>
  <c r="E37" i="13" l="1"/>
  <c r="B27" i="20"/>
  <c r="E35" i="13"/>
  <c r="E69" i="13"/>
  <c r="E63" i="13"/>
  <c r="E62" i="13"/>
  <c r="N37" i="12"/>
  <c r="O37" i="12" s="1"/>
  <c r="O22" i="12"/>
  <c r="S8" i="12" s="1"/>
  <c r="T34" i="12" s="1"/>
  <c r="S39" i="12" l="1"/>
  <c r="S42" i="12" s="1"/>
  <c r="S34" i="12"/>
  <c r="S9" i="12"/>
  <c r="S32" i="12" s="1"/>
  <c r="O58" i="12"/>
  <c r="O59" i="12" s="1"/>
  <c r="O60" i="12" s="1"/>
  <c r="P57" i="12" s="1"/>
  <c r="O72" i="12"/>
  <c r="O73" i="12" s="1"/>
  <c r="O75" i="12" s="1"/>
  <c r="T19" i="12" l="1"/>
</calcChain>
</file>

<file path=xl/sharedStrings.xml><?xml version="1.0" encoding="utf-8"?>
<sst xmlns="http://schemas.openxmlformats.org/spreadsheetml/2006/main" count="884" uniqueCount="386">
  <si>
    <t>TRANSFERÊNCIAS CORRENTES</t>
  </si>
  <si>
    <t>TOTAL</t>
  </si>
  <si>
    <t>No Ano</t>
  </si>
  <si>
    <t>DESPESAS CORRENTES</t>
  </si>
  <si>
    <t>DESPESAS DE CAPITAL</t>
  </si>
  <si>
    <t>FUNDEB</t>
  </si>
  <si>
    <t>RECEITAS DO FUNDEB</t>
  </si>
  <si>
    <t>PREVISÃO INICIAL</t>
  </si>
  <si>
    <t>PREVISÃO ATUALIZADA</t>
  </si>
  <si>
    <t>RECEITAS REALIZADAS</t>
  </si>
  <si>
    <t>% ATINGIDO</t>
  </si>
  <si>
    <t>DOTAÇÃO ATUALIZADA</t>
  </si>
  <si>
    <t xml:space="preserve">DOTAÇÃO INICIAL </t>
  </si>
  <si>
    <t>EDUCAÇÃO 25%</t>
  </si>
  <si>
    <t>DESPESAS REALIZADAS</t>
  </si>
  <si>
    <t>1. RECEITA DE IMPOSTOS</t>
  </si>
  <si>
    <t>RECEITA PARA APURAÇÃO DA APLICAÇÃO EM AÇÕES E SERVIÇOS PÚBLICOS DE SAÚDE</t>
  </si>
  <si>
    <t>RECEITA DE IMPOSTOS LÍQUIDA (I)</t>
  </si>
  <si>
    <t>Impostos Predial e Territorial - IPTU</t>
  </si>
  <si>
    <t>Imposto Sobre Transmissão de Bens Intervivos - ITBI</t>
  </si>
  <si>
    <t>Impostos Sobre Serviços de Qualquer Natureza</t>
  </si>
  <si>
    <t>Imposto de Renda Retido na Fonte - IRRF</t>
  </si>
  <si>
    <t>Imposto Territorial Rural - ITR</t>
  </si>
  <si>
    <t>Dívida Ativas dos Impostos</t>
  </si>
  <si>
    <t>Multas, Juros de Mora e Outros encargos da Dívida Ativa</t>
  </si>
  <si>
    <t>Cota-parte FPM</t>
  </si>
  <si>
    <t>Cota-Parte ITR</t>
  </si>
  <si>
    <t>Cota-Parte IPVA</t>
  </si>
  <si>
    <t>Cota-Parte ICMS</t>
  </si>
  <si>
    <t>Cota-Parte IPI -Exportação</t>
  </si>
  <si>
    <t>Desoneração ICMS (LC 87/96)</t>
  </si>
  <si>
    <t>Outras</t>
  </si>
  <si>
    <t>TOTAL DAS RECEITAS PARA APURAÇÃO EM AÇÕES E SERVIÇOS PÚBLICOS DE SAÚDE (III) = I + II</t>
  </si>
  <si>
    <t>RECEITA ADICIONAIS PARA FINANCIAMENTO DA SÁUDE</t>
  </si>
  <si>
    <t>Provenientes da União</t>
  </si>
  <si>
    <t>Provenientes dos Estados</t>
  </si>
  <si>
    <t>Provenientes de Outros Municipios</t>
  </si>
  <si>
    <t>Outras Receitas do SUS</t>
  </si>
  <si>
    <t>TRANSFERÊNCIAS DE RECURSO DO SISTEMA ÚNICO DE SAÚDE - SUSS</t>
  </si>
  <si>
    <t>RECEITA DE OPERAÇÕES DE CRÉDITO VINCULADAS A SAÚDE</t>
  </si>
  <si>
    <t>OUTRAS RECEITAS PARA FINANCIAMENTO DA SAÚDE</t>
  </si>
  <si>
    <t>TOTAL RECEITAS ADICIONAIS PARA FINANCIAMENTO DA SAUDE</t>
  </si>
  <si>
    <t xml:space="preserve">DESPESAS COM SAÚDE </t>
  </si>
  <si>
    <t>(Por grupo de Natureza da Despesa)</t>
  </si>
  <si>
    <t>Pessoal e Encargos Sociais</t>
  </si>
  <si>
    <t>Juros e Encargos da dívida</t>
  </si>
  <si>
    <t>Outras Despesas Correntes</t>
  </si>
  <si>
    <t xml:space="preserve">Investimentos </t>
  </si>
  <si>
    <t>Inversões Financeiras</t>
  </si>
  <si>
    <t>Amortização da Dívida</t>
  </si>
  <si>
    <t>TOTAL DAS DESPEAS COM SAÚDE (IV)</t>
  </si>
  <si>
    <t>DESPESAS COM SAÚDE NÃO COMPUTADAS PARA FINS DE APURAÇÃO DO PERCENTUAL MÍNIMO</t>
  </si>
  <si>
    <t>DESPESAS COM INATIVOS E PENSIONISTAS</t>
  </si>
  <si>
    <t>DESPESAS COM ASSISTÊNCIA A SAÚDE QUE NÃO ATENDE AO PRINCIPIO DE ACESSO UNIVERSAL</t>
  </si>
  <si>
    <t>DESPESAS CUSTEADAS COM OUTROS RECURSOS</t>
  </si>
  <si>
    <t>Recursos de Transferência do Sistema Único de Sapude - SUS</t>
  </si>
  <si>
    <t>Recursos de Operações de Crédito</t>
  </si>
  <si>
    <t>Outros Recursos</t>
  </si>
  <si>
    <t>OUTRAS AÇÕES E SERVIÇOS NÃO COMPUTADOS</t>
  </si>
  <si>
    <t>RESTOS A PAGAR NÃO PROCESSADOS INSCRITOS INDEVIDAMENTE NO EXERCICIO SEM DISPONIBILIDADE FINANCEIRA</t>
  </si>
  <si>
    <t>DESPESAS CUSTEADAS COM RECURSOS VINCULADOS A PARCELA DO PERCENTUAL MÍNIMO QUE NÃO FOI APLICADA EM AÇÕES E SERVIÇOS DE SAÚDE EM EXERCICIO ANTERIORES</t>
  </si>
  <si>
    <t>TOTAL DAS DESEPAS COM SAÚDE NÃO COMPUTADAS (V)</t>
  </si>
  <si>
    <t>TOTAL DAS DESPESA COM AÇÕES E SEVIÇOS PÚBLICOS EM SAÚDE (VI) = (IV) -(V)</t>
  </si>
  <si>
    <t>Receita Patrimonial</t>
  </si>
  <si>
    <t>Outras Receitas Correntes</t>
  </si>
  <si>
    <t>DEMOSTRATIVO DAS RECEITAS E DESPESAS COM EDUCAÇÃO</t>
  </si>
  <si>
    <t xml:space="preserve">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</si>
  <si>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</si>
  <si>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</si>
  <si>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</si>
  <si>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</si>
  <si>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</si>
  <si>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</si>
  <si>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</si>
  <si>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</si>
  <si>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</si>
  <si>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</si>
  <si>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</si>
  <si>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</si>
  <si>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ESPECIFICAÇÕES</t>
  </si>
  <si>
    <t>IPTU</t>
  </si>
  <si>
    <t>ISS</t>
  </si>
  <si>
    <t>ITBI</t>
  </si>
  <si>
    <t>IRRF</t>
  </si>
  <si>
    <t>Contribuições</t>
  </si>
  <si>
    <t>ESTADO DA BAHIA</t>
  </si>
  <si>
    <t>PERCENTUAL COM PESSOAL</t>
  </si>
  <si>
    <t>PROGRAMAS FEDERAIS - DESPESAS EXCLUIDAS EM CONFORMIDADE COM A INSTRUÇAO 03/2018 TCM/BA</t>
  </si>
  <si>
    <t>NO ANO</t>
  </si>
  <si>
    <t>EMP. 70 FONTE 29</t>
  </si>
  <si>
    <t>EMP. 68 FONTE 29</t>
  </si>
  <si>
    <t>EMP. 4 FONTE 14 (PSF)</t>
  </si>
  <si>
    <t>EMP. 5 FONTE 14 MAC</t>
  </si>
  <si>
    <t>EMP. 6 FONTE 14 CEO</t>
  </si>
  <si>
    <t>EMP. 7 FONTE 14 NASF</t>
  </si>
  <si>
    <t>Saúde da Família - SF</t>
  </si>
  <si>
    <t>Saúde Bucal</t>
  </si>
  <si>
    <t>Média e Alta Complexidade</t>
  </si>
  <si>
    <t>Assistência Social</t>
  </si>
  <si>
    <t>Atenção Psicossocial</t>
  </si>
  <si>
    <t>Núcleo de Apoio à Saúde da Família - NASF</t>
  </si>
  <si>
    <t>DESPESAS EXCLUIDAS (IN. 003/2018)</t>
  </si>
  <si>
    <t>Indireta por Preço Unitário</t>
  </si>
  <si>
    <t>EMP. 9 CAPS FONTE 14</t>
  </si>
  <si>
    <t>Os dados disponibilizados nesta consulta são declaratórios, sob a responsabilidade da respectiva entidade.</t>
  </si>
  <si>
    <t>Núm. Licitação</t>
  </si>
  <si>
    <t>Modalidade</t>
  </si>
  <si>
    <t>Data Homologação</t>
  </si>
  <si>
    <t>Execução</t>
  </si>
  <si>
    <t>Objeto</t>
  </si>
  <si>
    <t>Valor Estimado</t>
  </si>
  <si>
    <t>Valor Homologado</t>
  </si>
  <si>
    <t>PERP0003/2020</t>
  </si>
  <si>
    <t>Pregão eletrônico para registro de preço</t>
  </si>
  <si>
    <t>Não Aplicável</t>
  </si>
  <si>
    <t>Contratação de ...</t>
  </si>
  <si>
    <t>PERP0015/2019</t>
  </si>
  <si>
    <t>PERP0017/2019</t>
  </si>
  <si>
    <t>TP0001/2020</t>
  </si>
  <si>
    <t>Tomada de preço para compras e serviços</t>
  </si>
  <si>
    <t>Indireta por Preço Global</t>
  </si>
  <si>
    <t>TP0013/2019</t>
  </si>
  <si>
    <t>Tomada de preço p/obras e serviços de engenharia</t>
  </si>
  <si>
    <r>
      <t>TOTAL Estimado : </t>
    </r>
    <r>
      <rPr>
        <sz val="11"/>
        <color theme="1"/>
        <rFont val="Calibri"/>
        <family val="2"/>
        <scheme val="minor"/>
      </rPr>
      <t>R$ 6.261.823,75</t>
    </r>
  </si>
  <si>
    <r>
      <t>TOTAL Homologado : </t>
    </r>
    <r>
      <rPr>
        <sz val="11"/>
        <color theme="1"/>
        <rFont val="Calibri"/>
        <family val="2"/>
        <scheme val="minor"/>
      </rPr>
      <t>R$ 30.028.628,71</t>
    </r>
  </si>
  <si>
    <t>Caps</t>
  </si>
  <si>
    <t>Nasf</t>
  </si>
  <si>
    <t>Psf</t>
  </si>
  <si>
    <t>Samu</t>
  </si>
  <si>
    <t>COVID</t>
  </si>
  <si>
    <t>social</t>
  </si>
  <si>
    <t>RECEITA RESULTANTE DE IMPOSTOS (caput do art. 212 da CF)</t>
  </si>
  <si>
    <t>1.1- Receita Resultante do Imposto sobre a Propriedade Predial e Territorial Urbana – IPTU</t>
  </si>
  <si>
    <t>1.2- Receita Resultante do Imposto sobre Transmissão Inter Vivos – ITBI</t>
  </si>
  <si>
    <t>1.3- Receita Resultante do Imposto sobre Serviços de Qualquer Natureza – ISS</t>
  </si>
  <si>
    <t>1.4- Receita Resultante do Imposto de Renda Retido na Fonte – IRRF</t>
  </si>
  <si>
    <t>2- RECEITA DE TRANSFERÊNCIAS CONSTITUCIONAIS E LEGAIS</t>
  </si>
  <si>
    <t>2.1- Cota-Parte FPM</t>
  </si>
  <si>
    <t>2.2- Cota-Parte ICMS</t>
  </si>
  <si>
    <t>2.4- Cota-Parte ITR</t>
  </si>
  <si>
    <t>2.5- Cota-Parte IPVA</t>
  </si>
  <si>
    <t>2.6- Cota-Parte IOF-Ouro</t>
  </si>
  <si>
    <t>3- TOTAL DA RECEITA DE IMPOSTOS (1 + 2)</t>
  </si>
  <si>
    <t xml:space="preserve">   2.1.1- Cota-Parte FPM (1% julho e dezembro)</t>
  </si>
  <si>
    <t>4- TOTAL DESTINADO AO FUNDEB - 20% DE ((2.1) + (2.2) + (2.3) + (2.4) + (2.5))</t>
  </si>
  <si>
    <t>2.3- Cota-Parte IPI-Exportação (LC 61/89)</t>
  </si>
  <si>
    <t>5- VALOR MÍNIMO A SER APLICADO ALÉM DO VALOR DESTINADO AO FUNDEB - 5% DE ((2.2) + (2.3) + (2.4) + (2.5)) + 25% DE ((1.1) + (1.2) + (1.3) + (1.4) + (2.1.1) + (2.6)+ (2.7))</t>
  </si>
  <si>
    <t>ACUMULADO ANO</t>
  </si>
  <si>
    <t>2.7- Comp. Financeiras Prov. de Impostos e Transf. Constitucionais</t>
  </si>
  <si>
    <t>6- RECEITAS RECEBIDAS DO FUNDEB</t>
  </si>
  <si>
    <t>6.1- FUNDEB - Impostos e Transferências de Impostos</t>
  </si>
  <si>
    <t>6.1.1- Principal</t>
  </si>
  <si>
    <t>6.1.2- Rendimentos de Aplicação Financeira</t>
  </si>
  <si>
    <t>6.2- FUNDEB - Complementação da União - VAAF</t>
  </si>
  <si>
    <t>6.2.1- Principal</t>
  </si>
  <si>
    <t>6.2.2- Rendimentos de Aplicação Financeira</t>
  </si>
  <si>
    <t>6.3- FUNDEB - Complementação da União - VAAT</t>
  </si>
  <si>
    <t>6.3.1- Principal</t>
  </si>
  <si>
    <t>6.3.2- Rendimentos de Aplicação Financeira</t>
  </si>
  <si>
    <t>7- RESULTADO LÍQUIDO DAS TRANSFERÊNCIAS DO FUNDEB (6.1.1 – 4)</t>
  </si>
  <si>
    <t>PREFEITURA MUNICIPAL DE ITARANTIM</t>
  </si>
  <si>
    <t>EXERCÍCIO 2021</t>
  </si>
  <si>
    <t>Vencimentos e Vantagens (salarios) (ED 319011)</t>
  </si>
  <si>
    <t>Contratação tempo Determinado (ED 319004)</t>
  </si>
  <si>
    <t>INATIVOS</t>
  </si>
  <si>
    <t>Outras Despesas com Pessoal (ED 319035, 36 e 39)</t>
  </si>
  <si>
    <t>Obrigações Patronais INSS - (319013)</t>
  </si>
  <si>
    <t>DESPESA BRUTA COM PESSOAL</t>
  </si>
  <si>
    <t>Despesa Pessoal Rateio Consórcio (ED 317170)</t>
  </si>
  <si>
    <t>Outros Impostos e Taxas</t>
  </si>
  <si>
    <t>FPM</t>
  </si>
  <si>
    <t>ICMS</t>
  </si>
  <si>
    <t>IPVA</t>
  </si>
  <si>
    <t>ITR</t>
  </si>
  <si>
    <t>OUTRAS Transferências Correntes</t>
  </si>
  <si>
    <t>Dedução p/ formação do FUNDEB</t>
  </si>
  <si>
    <t>RECEITA CORRENTE LÍQUIDA</t>
  </si>
  <si>
    <t>RECEITA DE CAPITAL</t>
  </si>
  <si>
    <t>DESPESA LÍQUIDA COM PESSOAL</t>
  </si>
  <si>
    <t>ESPECIFICAÇÃO</t>
  </si>
  <si>
    <t xml:space="preserve"> DEMONSTRATIVO DA DESPESA COM PESSOAL - EXERCICIO 2021 - TOTAL</t>
  </si>
  <si>
    <t xml:space="preserve"> DEMONSTRATIVO DA DESPESA COM PESSOAL - EXERCICIO 2021 - EXCLUINDO OS SERVIDORES APOSENTADOS EM ATIVIDADE - MODELO 1</t>
  </si>
  <si>
    <t xml:space="preserve"> DEMONSTRATIVO DA DESPESA COM PESSOAL - EXERCICIO 2021 - EXCLUINDO OS SERVIDORES APOSENTADOS EM ATIVIDADE - MODELO 2</t>
  </si>
  <si>
    <t>Itarantim - BA, 21 de maio de 2021.</t>
  </si>
  <si>
    <t>José Marcos Oliveira Lopes</t>
  </si>
  <si>
    <t>CRC-BA 36.449/O-0</t>
  </si>
  <si>
    <t>DESPESAS EXCLUIDAS (Instrução TCM 003/2018)</t>
  </si>
  <si>
    <r>
      <t xml:space="preserve">Notas Explicativas: </t>
    </r>
    <r>
      <rPr>
        <b/>
        <u/>
        <sz val="12"/>
        <color theme="1"/>
        <rFont val="Calibri"/>
        <family val="2"/>
        <scheme val="minor"/>
      </rPr>
      <t>a)</t>
    </r>
    <r>
      <rPr>
        <sz val="12"/>
        <color theme="1"/>
        <rFont val="Calibri"/>
        <family val="2"/>
        <scheme val="minor"/>
      </rPr>
      <t xml:space="preserve"> O valor da folha de pagamento dos aposentados pelo Regime Geral da Previdência Social, que continuam em atividade no Município de Itarantim, tem o valor mensal de R$ 93.314,80, o que deve ser acrescido o custo com a contribuição patronal sobre os vencimentos, que tem o valor de R$ 20.062,68, </t>
    </r>
    <r>
      <rPr>
        <b/>
        <sz val="12"/>
        <color theme="1"/>
        <rFont val="Calibri"/>
        <family val="2"/>
        <scheme val="minor"/>
      </rPr>
      <t>totalizando um custo mensal de R$ 113.377,48.</t>
    </r>
    <r>
      <rPr>
        <b/>
        <u/>
        <sz val="12"/>
        <color theme="1"/>
        <rFont val="Calibri"/>
        <family val="2"/>
        <scheme val="minor"/>
      </rPr>
      <t xml:space="preserve"> b)</t>
    </r>
    <r>
      <rPr>
        <sz val="12"/>
        <color theme="1"/>
        <rFont val="Calibri"/>
        <family val="2"/>
        <scheme val="minor"/>
      </rPr>
      <t xml:space="preserve"> Calculando o </t>
    </r>
    <r>
      <rPr>
        <b/>
        <sz val="12"/>
        <color theme="1"/>
        <rFont val="Calibri"/>
        <family val="2"/>
        <scheme val="minor"/>
      </rPr>
      <t>custo anual dessa despesa é R$ 1.507.920,48.</t>
    </r>
    <r>
      <rPr>
        <sz val="12"/>
        <color theme="1"/>
        <rFont val="Calibri"/>
        <family val="2"/>
        <scheme val="minor"/>
      </rPr>
      <t xml:space="preserve"> </t>
    </r>
    <r>
      <rPr>
        <b/>
        <u/>
        <sz val="12"/>
        <color theme="1"/>
        <rFont val="Calibri"/>
        <family val="2"/>
        <scheme val="minor"/>
      </rPr>
      <t>c)</t>
    </r>
    <r>
      <rPr>
        <sz val="12"/>
        <color theme="1"/>
        <rFont val="Calibri"/>
        <family val="2"/>
        <scheme val="minor"/>
      </rPr>
      <t xml:space="preserve"> Com os valores mensais e anuais, podemos estimar que a Despesa com Pessoal do Município, tenha uma redução percentual de 2,84%, diminuindo dos atuais 66,40%, passando para 63,55%.</t>
    </r>
  </si>
  <si>
    <t>LC 61/89 (IPI-Exportação)</t>
  </si>
  <si>
    <t>LC 87/96 (ICMS desoneração)</t>
  </si>
  <si>
    <t xml:space="preserve"> - Principal</t>
  </si>
  <si>
    <t xml:space="preserve"> - Rend de Aplicação Financeira</t>
  </si>
  <si>
    <t xml:space="preserve"> - FUNDEB - Comp da União - VAAF</t>
  </si>
  <si>
    <t xml:space="preserve"> - FUNDEB - Comp da União - VAAT</t>
  </si>
  <si>
    <t xml:space="preserve"> - FUNDEB - Imp. e Transferências</t>
  </si>
  <si>
    <t>DESPESAS DO MDE</t>
  </si>
  <si>
    <t>DESPESAS MDE</t>
  </si>
  <si>
    <t>MDE - FONTE 01</t>
  </si>
  <si>
    <t>APLICAÇÃO FUNDEB 70%</t>
  </si>
  <si>
    <t>RESUMO</t>
  </si>
  <si>
    <t>APURAÇÃO</t>
  </si>
  <si>
    <t>VALOR ACUMULADO</t>
  </si>
  <si>
    <t>3.1 - MÍNIMO A SER APLICADO (25%</t>
  </si>
  <si>
    <t>APLICAÇÃO MDE 25% (TOTAL)</t>
  </si>
  <si>
    <t>DESPESAS LIQUIDADAS DO FUNDEB</t>
  </si>
  <si>
    <t>Multas, Juros de Mora e Outros Encargos dos Impostos</t>
  </si>
  <si>
    <t>RECEITA DE TRANSFERÊNCIAS CONSTITUCIONAIS E LEGAIS (II)</t>
  </si>
  <si>
    <t>TRANSFERENCAIS DE RECURSO DO SISTEMA ÚNICO DE SÁUDE- SUS</t>
  </si>
  <si>
    <t>DEMOSTRATIVO DAS RECEITAS E DESPESAS COM SAUDE (APLICAÇÃO 15%)</t>
  </si>
  <si>
    <t>MUNICÍPIO DE ITARANTIM                                                                        RESUMO ÍNDICES</t>
  </si>
  <si>
    <t>DESPESA TOTAL MDE</t>
  </si>
  <si>
    <t>PERCENTUAL DE APLICAÇÃO EM AÇÕES E SERVIÇOS PÚBLICOS DE SAÚDE SOBRE AS RECEITAS (VII%) = (VIh/IIIb x 100)</t>
  </si>
  <si>
    <t>VALOR REFERENTE Á DIFERENÇA ENTRE O VALOR EXECUTADO E O LIMITE MÍNIMO CONSTITUCIONAL</t>
  </si>
  <si>
    <t>%</t>
  </si>
  <si>
    <t>TOTAL DA RECEITA PARA FINS DE APURAÇÃO DOS ÍNDICES</t>
  </si>
  <si>
    <t>VALOR PARA APLICAÇÃO DIRETA NO MDE (5%)</t>
  </si>
  <si>
    <t xml:space="preserve"> DEMONSTRATIVO DO PESSOAL RELATIVO AO EXERCICIO DE 2021 - PELO PAGAMENTO</t>
  </si>
  <si>
    <t>REPASSE REALIZADO</t>
  </si>
  <si>
    <t>PORTARIA FNDE 8 (REVOGADA)</t>
  </si>
  <si>
    <t>PORTARIA FNDE 10 de 20-12-2021</t>
  </si>
  <si>
    <t>DESPESAS REALIZADAS VAAT</t>
  </si>
  <si>
    <t>FOLHA CRECHE FUNDEB 70%</t>
  </si>
  <si>
    <t>FOLHA CRECHE FUNDEB 30%</t>
  </si>
  <si>
    <t>Aquisição Imobilizado (Cleudimar)</t>
  </si>
  <si>
    <t>RECEITAS VAAT</t>
  </si>
  <si>
    <t>FOLHA 1/3 FÉRIAS CRECHE FUNDEB 70%</t>
  </si>
  <si>
    <t>APÓS EXECUÇÃO DE TODAS AS DESPESAS VAAT</t>
  </si>
  <si>
    <t>Despesa de Capital</t>
  </si>
  <si>
    <t>DESPESAS A REALIZAR - VAAT (FOLHA DO 1/3 FÉRIAS PROCESSADA LIQUIDADA EM 2021)</t>
  </si>
  <si>
    <t>CLASSIFICAÇÃO DA DESPESA</t>
  </si>
  <si>
    <t>Vencimentos e Vantagens Fixas - Pessoal</t>
  </si>
  <si>
    <t>FONTE RECURSO</t>
  </si>
  <si>
    <t>Obrigacoes Patronais - INSS</t>
  </si>
  <si>
    <t>DESPESA PAGA</t>
  </si>
  <si>
    <t>Equipamentos e Material Permanente</t>
  </si>
  <si>
    <t>PERCENTUAL APURADO (%)</t>
  </si>
  <si>
    <t>MDE - 01</t>
  </si>
  <si>
    <t>TOTAL APLICADO COM RECURSOS PRÓPRIOS (FPM, ICMS, ETC.)</t>
  </si>
  <si>
    <t>OUTRAS DESPESAS CORRENTES</t>
  </si>
  <si>
    <t>NOTAS EXPLICATIVAS:</t>
  </si>
  <si>
    <t>TOTAL RECEITAS DO FUNDEB</t>
  </si>
  <si>
    <t>RESUMO FUNDEB - MUNICÍPIO DE ITARANTIM 2021</t>
  </si>
  <si>
    <t>DESPESAS COM RECURSOS DO FUNDEB - MUNICÍPIO DE ITARANTIM 2021</t>
  </si>
  <si>
    <t>DESPESAS COM RECURSOS PRÓPRIOS NA EDUCAÇÃO</t>
  </si>
  <si>
    <t>DESPESA TOTAL EM APLICAÇÕES NA EDUCAÇÃO</t>
  </si>
  <si>
    <t>2 - Para honrar os salários e encargos dos servidores da educação, foi necessário o Município utilizar recursos livres (FPM, ICMS, etc.), através do MDE, para cobrir as despesas com salários e encargos dos servidores da educação, no montante de R$ 2.555.915,54.</t>
  </si>
  <si>
    <t>3 - Os recursos disponíveis na conta bancária do FUNDEB, devem ser utilizados para o recolhimento dos valores retidos e consignados, como o INSS, Imposto de Renda, Pensões, Planos de Saúde, Emprestimos Consignados, Sindicato(s), etc., retidos nas competência de dezembro e do 13º salário.</t>
  </si>
  <si>
    <t>1 - Os recursos recebidos do FUNDEB durante o exercício de 2021, foram completamente revertidos para o pagamento dos salários e encargos (INSS) dos servidores vinculados à educação. Exceto o valor aplicado na forma do art. 27 da Lei Federal nº 14.113/2020, que obriga aplicação em despesa de capital, 15% dos recursos da complementação VAAT.</t>
  </si>
  <si>
    <t>RECEITAS DO FUNDEB - MUNICÍPIO DE ITARANTIM 2021</t>
  </si>
  <si>
    <t>TOTAL APLICADO NOS 70% (70% MÍNIMO OBRIGATÓRIO)</t>
  </si>
  <si>
    <t>TOTAL APLICADO NOS 30% (RESTANTE DO RECURSO)</t>
  </si>
  <si>
    <t>Saldo 2020</t>
  </si>
  <si>
    <t>Rendimento de Aplicação Financeira</t>
  </si>
  <si>
    <t>FUNDEB - Complementação da União - VAAF</t>
  </si>
  <si>
    <t>FUNDEB - Complementação da União - VAAT</t>
  </si>
  <si>
    <t>FUNDEB - Impostos e Transferências</t>
  </si>
  <si>
    <t>FPM (1% julho e dezembro)</t>
  </si>
  <si>
    <t>PAGA 21</t>
  </si>
  <si>
    <t>6.3- Complementação FUNDEB</t>
  </si>
  <si>
    <t>APURAÇÃO EM SAÚDE (MÍNINO 15%)</t>
  </si>
  <si>
    <t>APURAÇÃO FUNDEB (MÍNIMO 70%) E EDUCAÇÃO (MÍNIMO 25%)</t>
  </si>
  <si>
    <t>APURAÇÃO LIMITE DESPESA COM PESSOAL (LIMITE MÁXIMO 54%)</t>
  </si>
  <si>
    <t>EMPENHADA</t>
  </si>
  <si>
    <t>LIQUIDADA</t>
  </si>
  <si>
    <t>PAGA</t>
  </si>
  <si>
    <t>13- Total das Despesas do FUNDEB com Profissionais da Educação Básica</t>
  </si>
  <si>
    <t>14- Total das Despesas custeadas com FUNDEB - Impostos e Transferências de Impostos</t>
  </si>
  <si>
    <t xml:space="preserve">15 - Total das Despesas custeadas com FUNDEB - Complementação da União - VAAF </t>
  </si>
  <si>
    <t>16- Total das Despesas custeadas com FUNDEB - Complementação da União - VAAT</t>
  </si>
  <si>
    <t>17- Total das Despesas custeadas com FUNDEB - Complementação da União - VAAT Aplicadas na Educação Infantil</t>
  </si>
  <si>
    <t>18- Total das Despesas custeadas com FUNDEB - Complementação da União - VAAT Aplicadas em Despesa de Capital</t>
  </si>
  <si>
    <t>-</t>
  </si>
  <si>
    <t xml:space="preserve">  </t>
  </si>
  <si>
    <t>2021 DESPESA LÍQUIDA COM PESSOAL</t>
  </si>
  <si>
    <t>2022 DESPESA LÍQUIDA COM PESSOAL</t>
  </si>
  <si>
    <t>2021 RECEITA CORRENTE LÍQUIDA</t>
  </si>
  <si>
    <t>2022 RECEITA CORRENTE LÍQUIDA</t>
  </si>
  <si>
    <t>Exploração de Recursos Naturais</t>
  </si>
  <si>
    <t>Sistema Único de Saúde - SUS</t>
  </si>
  <si>
    <t>FNDE</t>
  </si>
  <si>
    <t>FNAS</t>
  </si>
  <si>
    <t>Convênios da União e de Suas Entidades</t>
  </si>
  <si>
    <t>CIDE</t>
  </si>
  <si>
    <t>Outras Receitas do Estado</t>
  </si>
  <si>
    <t>FUNDEB - fundo</t>
  </si>
  <si>
    <t>FUNDEB VAAT</t>
  </si>
  <si>
    <t>FUNDEB VAAF</t>
  </si>
  <si>
    <t>RECEITAS</t>
  </si>
  <si>
    <t>Receita de Serviços</t>
  </si>
  <si>
    <t>TOTAL RECEITA</t>
  </si>
  <si>
    <t>TOTAL FUNDEB - FONTE 18</t>
  </si>
  <si>
    <t>FUNDEB VAAT NA EDUCAÇÃO INFANTIL - FONTE 18 (AÇÃO 2018 + 2023)</t>
  </si>
  <si>
    <t>FUNDEB VAAT NA EDUCAÇÃO INFANTIL - FONTE 19 (AÇÃO 2018 + 2023)</t>
  </si>
  <si>
    <t>FUNDEB FUNDO - FONTE 18 (AÇÃO 2017)</t>
  </si>
  <si>
    <t>FUNDEB VAAF - FONTE 18 (AÇÃO 2019)</t>
  </si>
  <si>
    <t>FUNDEB VAAT - FONTE 18 (AÇÃO 2081)</t>
  </si>
  <si>
    <t>FUNDEB VAAF - FONTE 19 (AÇÃO 2019)</t>
  </si>
  <si>
    <t>FUNDEB FUNDO - FONTE 19 (AÇÃO 2017 + 2021)</t>
  </si>
  <si>
    <t>FUNDEB VAAT OUTRAS DESPESAS - FONTE 19 (AÇÃO 2081 + 2025 - EL 30 e 40)</t>
  </si>
  <si>
    <t>FUNDEB VAAT APLICAÇÃO DESPESA CAPITAL - FONTE 19 (AÇÃO 2025 + 1005 + 2018 + 2023)</t>
  </si>
  <si>
    <t>DESTINADO FUNDEB</t>
  </si>
  <si>
    <t>DESPESA MDE 25%</t>
  </si>
  <si>
    <t>PERCENTUAL</t>
  </si>
  <si>
    <t>EDUCAÇÃO INFANTIL VAAT</t>
  </si>
  <si>
    <t>APLICAÇÃO MDE FONTE 01 - (PERCENTUAL DA APLICAÇÃO PRÓPRIA)</t>
  </si>
  <si>
    <t>APLICAÇÃO FUNDEB VAAT - EDUCAÇÃO INFANTIL - MINIMO DE 50%</t>
  </si>
  <si>
    <t>APLICAÇÃO FUNDEB VAAT - DESPESA CAPITAL - MÍNIMO DE 15%</t>
  </si>
  <si>
    <t>CALCULO 12 MESES DA DESPESA PESSOAL</t>
  </si>
  <si>
    <t>RECEITA CORRENTE LIQUIDA 12 MESES</t>
  </si>
  <si>
    <t>PERCENTUAL APLICADO 2022</t>
  </si>
  <si>
    <t>% APURADO NOS ULTIMOS 12 MESES</t>
  </si>
  <si>
    <t>DESPESA COM PESSOAL (ACUMULADO 12 MESES)</t>
  </si>
  <si>
    <t>VALOR APLICADO ACIMA DO LIMITE MÍNIMO EXIGIDO</t>
  </si>
  <si>
    <t>ÍNDICES CONSTITUIÇÕES E LEGAIS</t>
  </si>
  <si>
    <t>RECEITAS DO FUNDEB (IMPOSTOS E COMPLEMENTAÇÃO)</t>
  </si>
  <si>
    <t>DEDUÇÃO EMENDAS PARLAMENTAR</t>
  </si>
  <si>
    <t>RCL AJUSTADA</t>
  </si>
  <si>
    <t>CONTROLE RECURSOS DO FUNDEB</t>
  </si>
  <si>
    <t>RECEITA</t>
  </si>
  <si>
    <t>DESPESA</t>
  </si>
  <si>
    <t>SALDO</t>
  </si>
  <si>
    <t>RECEITAS 2022</t>
  </si>
  <si>
    <t>SALDO FUNDEB</t>
  </si>
  <si>
    <t>APLICAÇÃO FUNDEB IMPOSTOS + MDE</t>
  </si>
  <si>
    <t>DESPESAS PARA FINS DE LIMITE</t>
  </si>
  <si>
    <t>RECEITAS 2021</t>
  </si>
  <si>
    <t>RECEITA TRIBUTÁRIA</t>
  </si>
  <si>
    <t>COMPARACAO</t>
  </si>
  <si>
    <t>TOTAIS</t>
  </si>
  <si>
    <t>META</t>
  </si>
  <si>
    <t>Meta dos 15% de aplicação em despesa de Capital</t>
  </si>
  <si>
    <t>Despesa efetivamente realizada</t>
  </si>
  <si>
    <t>% realizado da despesa</t>
  </si>
  <si>
    <t>Deficít apurado até o mês (necessário aplicar para cumprir o indicador)</t>
  </si>
  <si>
    <t>Estimativa anual da Receita Complementação VAAT (conforme portaria 04/2022)</t>
  </si>
  <si>
    <t xml:space="preserve">Estimativa anual para a Despesa de Capital com recursos da Complementação VAAT </t>
  </si>
  <si>
    <t>Receita da Complementação FUNDEB VAAT até o mês</t>
  </si>
  <si>
    <t>Valor sugerido para Despesa de Capital com o FUNDEB VAAT, a ser aplicado ainda em 2022</t>
  </si>
  <si>
    <t>APLICAÇÃO DO FUNDEB NO 25%</t>
  </si>
  <si>
    <t>CONTRIBUIÇÃO AO FUNDEB (20%)</t>
  </si>
  <si>
    <t>APLICAÇÃO FONTE 01</t>
  </si>
  <si>
    <t>TOTAL APLICADO NO MDE</t>
  </si>
  <si>
    <t>6.3.1 - Complementação FUNDEB VAAT - Educação Infantil</t>
  </si>
  <si>
    <t>6.3.2 - Complementação FUNDEB VAAT - Despesa de Capital</t>
  </si>
  <si>
    <t>Estimativa TOTAL</t>
  </si>
  <si>
    <t>MDE</t>
  </si>
  <si>
    <t>FOLHA CC 11</t>
  </si>
  <si>
    <t>FOLHA CC 14</t>
  </si>
  <si>
    <t>FOLHA CC 100</t>
  </si>
  <si>
    <t>FOLHA CC 200</t>
  </si>
  <si>
    <t>FOLHA CC 313</t>
  </si>
  <si>
    <t>FOLHA CC 532</t>
  </si>
  <si>
    <t>FOLHA CC 9</t>
  </si>
  <si>
    <t>FUNDEB 70%</t>
  </si>
  <si>
    <t>ORÇAMENTÁRIO</t>
  </si>
  <si>
    <t>EXTRA</t>
  </si>
  <si>
    <t>FUNDEB 30%</t>
  </si>
  <si>
    <t>TOTAL FINANCEIRO</t>
  </si>
  <si>
    <t>FOLHA FUNDEB 70 CC 21</t>
  </si>
  <si>
    <t>FOLHA FUNDEB 70 CC 213</t>
  </si>
  <si>
    <t>FOLHA FUNDEB 70 CC 24</t>
  </si>
  <si>
    <t>FOLHA FUNDEB 70 CC 111</t>
  </si>
  <si>
    <t>FOLHA FUNDEB 70 CC 533</t>
  </si>
  <si>
    <t>INSS PATRONAL 70% 11-2022</t>
  </si>
  <si>
    <t>INSS PATRONAL 70% 12-2022</t>
  </si>
  <si>
    <t>INSS PATRONAL 30% 11-2022</t>
  </si>
  <si>
    <t>INSS PATRONAL 22% - 12-2022</t>
  </si>
  <si>
    <t>TOTAL FUNDEB - FONTE 19</t>
  </si>
  <si>
    <t>FINANCEIRO</t>
  </si>
  <si>
    <t>EXTRA / FINAN</t>
  </si>
  <si>
    <t>DESPESA FUNDEB - FINANCEIRO</t>
  </si>
  <si>
    <t>Transferencias da União (LC 176/2020 e ICMS EC 123/2022)</t>
  </si>
  <si>
    <t>Vitória da Conquista - BA, 23/01/2023.</t>
  </si>
  <si>
    <t>RESUMO FUNDEB - MUNICÍPIO DE ITARANTIM 2022</t>
  </si>
  <si>
    <t>RECEITAS DO FUNDEB - MUNICÍPIO DE ITARANTIM 2022</t>
  </si>
  <si>
    <t>Saldo 2021</t>
  </si>
  <si>
    <t>DESPESAS COM RECURSOS DO FUNDEB - MUNICÍPIO DE ITARANTIM 2022</t>
  </si>
  <si>
    <t>Vencimentos e Vantagens Fixas + INSS Patronal</t>
  </si>
  <si>
    <t>OUTRAS DESPESAS CORRENTES + CAPITAL</t>
  </si>
  <si>
    <t>1 - Para honrar os salários e encargos dos servidores da educação, foi necessário o Município utilizar recursos livres (FPM, ICMS, etc.), através do MDE, para cobrir as despesas com salários e encargos dos servidores da educação, no montante de R$ 1.358.271,25.</t>
  </si>
  <si>
    <t>2 - Os recursos disponíveis na conta bancária do FUNDEB, devem ser utilizados para o pagamento do 1/3 das férias dos profissionais da educação.</t>
  </si>
  <si>
    <t>FUNDEB 70 - APURAÇÃO TCM</t>
  </si>
  <si>
    <t>FUNDEB 30 - APURAÇÃO TCM</t>
  </si>
  <si>
    <t>MDE 25% - APURAÇÃO TCM</t>
  </si>
  <si>
    <t>VAAT DESPESA CAPITAL - APURAÇÃO TCM</t>
  </si>
  <si>
    <t>VAAT DESPESA EDU INFANTIL - APURAÇÃO TCM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</si>
</sst>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(* #,##0.00_);_(* \(#,##0.00\);_(* &quot;-&quot;??_);_(@_)"/>
    <numFmt numFmtId="166" formatCode="[$-416]mmmm\-yy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rgb="FFFF0000"/>
      <name val="Microsoft Sans Serif"/>
      <family val="2"/>
    </font>
    <font>
      <sz val="7"/>
      <color rgb="FF000000"/>
      <name val="Microsoft Sans Serif"/>
      <family val="2"/>
    </font>
    <font>
      <b/>
      <sz val="10"/>
      <color rgb="FF0E4380"/>
      <name val="Tahoma"/>
      <family val="2"/>
    </font>
    <font>
      <sz val="12"/>
      <color rgb="FF000000"/>
      <name val="Arial"/>
      <family val="2"/>
    </font>
    <font>
      <sz val="12"/>
      <color rgb="FF080000"/>
      <name val="Arial"/>
      <family val="2"/>
    </font>
    <font>
      <sz val="12"/>
      <color rgb="FF080000"/>
      <name val="Times New Roman"/>
      <family val="1"/>
    </font>
    <font>
      <b/>
      <sz val="12"/>
      <color rgb="FF080000"/>
      <name val="Times New Roman"/>
      <family val="1"/>
    </font>
    <font>
      <sz val="12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indexed="10"/>
      <name val="Arial"/>
      <family val="2"/>
    </font>
    <font>
      <u/>
      <sz val="12"/>
      <name val="Arial"/>
      <family val="2"/>
    </font>
    <font>
      <sz val="12"/>
      <color indexed="22"/>
      <name val="Arial"/>
      <family val="2"/>
    </font>
    <font>
      <b/>
      <sz val="12"/>
      <color indexed="22"/>
      <name val="Arial"/>
      <family val="2"/>
    </font>
    <font>
      <b/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rgb="FF080000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sz val="10"/>
      <color indexed="10"/>
      <name val="Arial"/>
      <family val="2"/>
    </font>
    <font>
      <b/>
      <sz val="16"/>
      <color theme="1"/>
      <name val="Calibri"/>
      <family val="2"/>
      <scheme val="minor"/>
    </font>
    <font>
      <b/>
      <sz val="7"/>
      <color theme="1"/>
      <name val="Arial"/>
      <family val="2"/>
    </font>
    <font>
      <b/>
      <sz val="9"/>
      <name val="Calibri"/>
      <family val="2"/>
      <scheme val="minor"/>
    </font>
    <font>
      <b/>
      <sz val="14"/>
      <name val="Arial"/>
      <family val="2"/>
    </font>
    <font>
      <sz val="12"/>
      <color rgb="FF162937"/>
      <name val="Arial"/>
      <family val="2"/>
    </font>
    <font>
      <b/>
      <sz val="12"/>
      <color rgb="FF162937"/>
      <name val="Arial"/>
      <family val="2"/>
    </font>
    <font>
      <sz val="10"/>
      <color rgb="FF0000FF"/>
      <name val="Arial"/>
      <family val="2"/>
    </font>
    <font>
      <sz val="8"/>
      <color rgb="FF000000"/>
      <name val="Arial"/>
      <family val="2"/>
    </font>
    <font>
      <sz val="8"/>
      <color rgb="FF080000"/>
      <name val="Times New Roman"/>
      <family val="1"/>
    </font>
    <font>
      <sz val="8"/>
      <color rgb="FF080000"/>
      <name val="Arial"/>
      <family val="2"/>
    </font>
    <font>
      <b/>
      <sz val="8"/>
      <color rgb="FF000000"/>
      <name val="Arial"/>
      <family val="2"/>
    </font>
    <font>
      <sz val="8"/>
      <color rgb="FF0000FF"/>
      <name val="Arial"/>
      <family val="2"/>
    </font>
    <font>
      <sz val="12"/>
      <color rgb="FF0000FF"/>
      <name val="Arial"/>
      <family val="2"/>
    </font>
    <font>
      <sz val="8"/>
      <color rgb="FFFF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3D8F7"/>
        <bgColor indexed="64"/>
      </patternFill>
    </fill>
    <fill>
      <patternFill patternType="solid">
        <fgColor rgb="FFEDF4FC"/>
        <bgColor indexed="64"/>
      </patternFill>
    </fill>
    <fill>
      <patternFill patternType="solid">
        <fgColor indexed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>
      <alignment horizontal="left" vertical="top" wrapText="1"/>
    </xf>
    <xf numFmtId="43" fontId="22" fillId="0" borderId="0" applyFont="0" applyFill="0" applyBorder="0" applyAlignment="0" applyProtection="0"/>
  </cellStyleXfs>
  <cellXfs count="516">
    <xf numFmtId="0" fontId="0" fillId="0" borderId="0" xfId="0"/>
    <xf numFmtId="44" fontId="0" fillId="0" borderId="11" xfId="1" applyFont="1" applyBorder="1"/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0" borderId="24" xfId="0" applyFont="1" applyBorder="1"/>
    <xf numFmtId="44" fontId="0" fillId="0" borderId="25" xfId="1" applyFont="1" applyBorder="1"/>
    <xf numFmtId="10" fontId="0" fillId="0" borderId="26" xfId="2" applyNumberFormat="1" applyFont="1" applyBorder="1"/>
    <xf numFmtId="0" fontId="0" fillId="0" borderId="12" xfId="0" applyBorder="1" applyAlignment="1">
      <alignment horizontal="left" indent="2"/>
    </xf>
    <xf numFmtId="44" fontId="0" fillId="0" borderId="27" xfId="1" applyFont="1" applyBorder="1"/>
    <xf numFmtId="0" fontId="2" fillId="0" borderId="12" xfId="0" applyFont="1" applyBorder="1"/>
    <xf numFmtId="0" fontId="2" fillId="5" borderId="5" xfId="0" applyFont="1" applyFill="1" applyBorder="1"/>
    <xf numFmtId="44" fontId="0" fillId="5" borderId="10" xfId="1" applyFont="1" applyFill="1" applyBorder="1"/>
    <xf numFmtId="10" fontId="0" fillId="5" borderId="10" xfId="2" applyNumberFormat="1" applyFont="1" applyFill="1" applyBorder="1"/>
    <xf numFmtId="0" fontId="2" fillId="0" borderId="15" xfId="0" applyFont="1" applyBorder="1"/>
    <xf numFmtId="10" fontId="0" fillId="0" borderId="15" xfId="2" applyNumberFormat="1" applyFont="1" applyBorder="1"/>
    <xf numFmtId="0" fontId="0" fillId="0" borderId="11" xfId="0" applyBorder="1" applyAlignment="1">
      <alignment horizontal="left" indent="1"/>
    </xf>
    <xf numFmtId="0" fontId="2" fillId="0" borderId="11" xfId="0" applyFont="1" applyBorder="1" applyAlignment="1">
      <alignment horizontal="left"/>
    </xf>
    <xf numFmtId="0" fontId="6" fillId="4" borderId="20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44" fontId="4" fillId="0" borderId="15" xfId="1" applyFont="1" applyBorder="1"/>
    <xf numFmtId="10" fontId="4" fillId="0" borderId="11" xfId="2" applyNumberFormat="1" applyFont="1" applyBorder="1"/>
    <xf numFmtId="44" fontId="4" fillId="0" borderId="11" xfId="1" applyFont="1" applyBorder="1"/>
    <xf numFmtId="0" fontId="6" fillId="0" borderId="11" xfId="0" applyFont="1" applyBorder="1"/>
    <xf numFmtId="0" fontId="4" fillId="0" borderId="11" xfId="0" applyFont="1" applyBorder="1" applyAlignment="1">
      <alignment horizontal="left" indent="2"/>
    </xf>
    <xf numFmtId="0" fontId="6" fillId="0" borderId="11" xfId="0" applyFont="1" applyBorder="1" applyAlignment="1">
      <alignment horizontal="left" wrapText="1"/>
    </xf>
    <xf numFmtId="0" fontId="2" fillId="0" borderId="38" xfId="0" applyFont="1" applyBorder="1"/>
    <xf numFmtId="44" fontId="0" fillId="0" borderId="39" xfId="1" applyFont="1" applyBorder="1"/>
    <xf numFmtId="0" fontId="6" fillId="0" borderId="15" xfId="0" applyFont="1" applyBorder="1"/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horizontal="left"/>
    </xf>
    <xf numFmtId="0" fontId="6" fillId="0" borderId="14" xfId="0" applyFont="1" applyBorder="1" applyAlignment="1">
      <alignment wrapText="1"/>
    </xf>
    <xf numFmtId="44" fontId="4" fillId="0" borderId="14" xfId="1" applyFont="1" applyBorder="1"/>
    <xf numFmtId="0" fontId="6" fillId="5" borderId="22" xfId="0" applyFont="1" applyFill="1" applyBorder="1"/>
    <xf numFmtId="44" fontId="6" fillId="5" borderId="28" xfId="1" applyFont="1" applyFill="1" applyBorder="1"/>
    <xf numFmtId="10" fontId="8" fillId="3" borderId="23" xfId="2" applyNumberFormat="1" applyFont="1" applyFill="1" applyBorder="1"/>
    <xf numFmtId="10" fontId="0" fillId="0" borderId="8" xfId="2" applyNumberFormat="1" applyFont="1" applyBorder="1"/>
    <xf numFmtId="4" fontId="0" fillId="0" borderId="0" xfId="0" applyNumberFormat="1"/>
    <xf numFmtId="44" fontId="12" fillId="0" borderId="11" xfId="1" applyFont="1" applyBorder="1"/>
    <xf numFmtId="44" fontId="14" fillId="0" borderId="11" xfId="1" applyFont="1" applyBorder="1"/>
    <xf numFmtId="0" fontId="13" fillId="0" borderId="0" xfId="0" applyFont="1"/>
    <xf numFmtId="165" fontId="13" fillId="0" borderId="0" xfId="0" applyNumberFormat="1" applyFont="1"/>
    <xf numFmtId="43" fontId="13" fillId="0" borderId="0" xfId="3" applyFont="1"/>
    <xf numFmtId="17" fontId="13" fillId="8" borderId="11" xfId="0" applyNumberFormat="1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3" fillId="0" borderId="11" xfId="0" applyFont="1" applyBorder="1"/>
    <xf numFmtId="43" fontId="12" fillId="0" borderId="11" xfId="3" applyFont="1" applyBorder="1" applyAlignment="1">
      <alignment horizontal="center"/>
    </xf>
    <xf numFmtId="43" fontId="13" fillId="0" borderId="11" xfId="3" applyFont="1" applyBorder="1" applyAlignment="1">
      <alignment horizontal="center"/>
    </xf>
    <xf numFmtId="43" fontId="12" fillId="0" borderId="36" xfId="3" applyFont="1" applyBorder="1" applyAlignment="1">
      <alignment horizontal="center"/>
    </xf>
    <xf numFmtId="43" fontId="13" fillId="0" borderId="11" xfId="3" applyFont="1" applyBorder="1"/>
    <xf numFmtId="43" fontId="12" fillId="0" borderId="11" xfId="3" applyFont="1" applyBorder="1"/>
    <xf numFmtId="165" fontId="13" fillId="0" borderId="11" xfId="0" applyNumberFormat="1" applyFont="1" applyBorder="1"/>
    <xf numFmtId="43" fontId="12" fillId="0" borderId="0" xfId="3" applyFont="1"/>
    <xf numFmtId="43" fontId="12" fillId="0" borderId="0" xfId="3" applyFont="1" applyAlignment="1">
      <alignment horizontal="center"/>
    </xf>
    <xf numFmtId="10" fontId="13" fillId="0" borderId="11" xfId="7" applyNumberFormat="1" applyFont="1" applyBorder="1"/>
    <xf numFmtId="0" fontId="13" fillId="0" borderId="11" xfId="0" applyFont="1" applyBorder="1" applyAlignment="1">
      <alignment wrapText="1"/>
    </xf>
    <xf numFmtId="43" fontId="13" fillId="0" borderId="11" xfId="3" applyFont="1" applyFill="1" applyBorder="1"/>
    <xf numFmtId="8" fontId="12" fillId="0" borderId="11" xfId="3" applyNumberFormat="1" applyFont="1" applyFill="1" applyBorder="1"/>
    <xf numFmtId="44" fontId="12" fillId="0" borderId="14" xfId="1" applyFont="1" applyBorder="1"/>
    <xf numFmtId="17" fontId="13" fillId="8" borderId="11" xfId="0" applyNumberFormat="1" applyFont="1" applyFill="1" applyBorder="1" applyAlignment="1">
      <alignment horizontal="center" vertical="center"/>
    </xf>
    <xf numFmtId="17" fontId="13" fillId="8" borderId="13" xfId="0" applyNumberFormat="1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8" fontId="12" fillId="0" borderId="11" xfId="3" applyNumberFormat="1" applyFont="1" applyBorder="1"/>
    <xf numFmtId="0" fontId="9" fillId="12" borderId="0" xfId="4" applyFill="1" applyAlignment="1">
      <alignment vertical="center" wrapText="1"/>
    </xf>
    <xf numFmtId="0" fontId="20" fillId="12" borderId="0" xfId="0" applyFont="1" applyFill="1" applyAlignment="1">
      <alignment vertical="center" wrapText="1"/>
    </xf>
    <xf numFmtId="14" fontId="20" fillId="12" borderId="0" xfId="0" applyNumberFormat="1" applyFont="1" applyFill="1" applyAlignment="1">
      <alignment horizontal="center" vertical="center" wrapText="1"/>
    </xf>
    <xf numFmtId="8" fontId="20" fillId="12" borderId="0" xfId="0" applyNumberFormat="1" applyFont="1" applyFill="1" applyAlignment="1">
      <alignment horizontal="right" vertical="center" wrapText="1"/>
    </xf>
    <xf numFmtId="0" fontId="9" fillId="2" borderId="0" xfId="4" applyFill="1" applyAlignment="1">
      <alignment vertical="center" wrapText="1"/>
    </xf>
    <xf numFmtId="0" fontId="20" fillId="2" borderId="0" xfId="0" applyFont="1" applyFill="1" applyAlignment="1">
      <alignment vertical="center" wrapText="1"/>
    </xf>
    <xf numFmtId="14" fontId="20" fillId="2" borderId="0" xfId="0" applyNumberFormat="1" applyFont="1" applyFill="1" applyAlignment="1">
      <alignment horizontal="center" vertical="center" wrapText="1"/>
    </xf>
    <xf numFmtId="8" fontId="20" fillId="2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21" fillId="11" borderId="0" xfId="0" applyFont="1" applyFill="1" applyAlignment="1">
      <alignment horizontal="center" vertical="center" wrapText="1"/>
    </xf>
    <xf numFmtId="0" fontId="14" fillId="0" borderId="0" xfId="0" applyFont="1"/>
    <xf numFmtId="0" fontId="16" fillId="4" borderId="21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indent="2"/>
    </xf>
    <xf numFmtId="44" fontId="14" fillId="0" borderId="0" xfId="1" applyFont="1"/>
    <xf numFmtId="44" fontId="16" fillId="0" borderId="11" xfId="1" applyFont="1" applyBorder="1"/>
    <xf numFmtId="10" fontId="14" fillId="0" borderId="11" xfId="2" applyNumberFormat="1" applyFont="1" applyBorder="1"/>
    <xf numFmtId="0" fontId="12" fillId="0" borderId="11" xfId="0" applyFont="1" applyBorder="1" applyAlignment="1">
      <alignment wrapText="1"/>
    </xf>
    <xf numFmtId="44" fontId="14" fillId="0" borderId="0" xfId="1" applyFont="1" applyBorder="1"/>
    <xf numFmtId="0" fontId="16" fillId="0" borderId="11" xfId="0" applyFont="1" applyBorder="1"/>
    <xf numFmtId="0" fontId="14" fillId="0" borderId="11" xfId="0" applyFont="1" applyBorder="1" applyAlignment="1">
      <alignment horizontal="left" indent="2"/>
    </xf>
    <xf numFmtId="0" fontId="16" fillId="4" borderId="14" xfId="0" applyFont="1" applyFill="1" applyBorder="1" applyAlignment="1">
      <alignment horizontal="center" vertical="center"/>
    </xf>
    <xf numFmtId="0" fontId="16" fillId="0" borderId="0" xfId="0" applyFont="1"/>
    <xf numFmtId="44" fontId="16" fillId="0" borderId="0" xfId="1" applyFont="1" applyBorder="1"/>
    <xf numFmtId="10" fontId="16" fillId="0" borderId="4" xfId="2" applyNumberFormat="1" applyFont="1" applyBorder="1"/>
    <xf numFmtId="0" fontId="16" fillId="0" borderId="0" xfId="0" applyFont="1" applyAlignment="1">
      <alignment wrapText="1"/>
    </xf>
    <xf numFmtId="43" fontId="23" fillId="13" borderId="11" xfId="3" applyFont="1" applyFill="1" applyBorder="1" applyAlignment="1">
      <alignment horizontal="right" vertical="center" wrapText="1" readingOrder="1"/>
    </xf>
    <xf numFmtId="43" fontId="24" fillId="13" borderId="11" xfId="0" applyNumberFormat="1" applyFont="1" applyFill="1" applyBorder="1" applyAlignment="1">
      <alignment horizontal="right" vertical="center" wrapText="1" readingOrder="1"/>
    </xf>
    <xf numFmtId="43" fontId="14" fillId="0" borderId="11" xfId="3" applyFont="1" applyBorder="1" applyAlignment="1" applyProtection="1">
      <alignment vertical="center" wrapText="1"/>
      <protection locked="0"/>
    </xf>
    <xf numFmtId="43" fontId="23" fillId="13" borderId="11" xfId="0" applyNumberFormat="1" applyFont="1" applyFill="1" applyBorder="1" applyAlignment="1">
      <alignment horizontal="right" vertical="center" wrapText="1" readingOrder="1"/>
    </xf>
    <xf numFmtId="44" fontId="16" fillId="0" borderId="11" xfId="1" applyFont="1" applyBorder="1" applyAlignment="1">
      <alignment vertical="center" wrapText="1"/>
    </xf>
    <xf numFmtId="43" fontId="14" fillId="0" borderId="11" xfId="0" applyNumberFormat="1" applyFont="1" applyBorder="1"/>
    <xf numFmtId="44" fontId="16" fillId="0" borderId="14" xfId="1" applyFont="1" applyBorder="1"/>
    <xf numFmtId="43" fontId="14" fillId="0" borderId="11" xfId="1" applyNumberFormat="1" applyFont="1" applyBorder="1"/>
    <xf numFmtId="43" fontId="0" fillId="0" borderId="11" xfId="3" applyFont="1" applyBorder="1"/>
    <xf numFmtId="10" fontId="16" fillId="0" borderId="11" xfId="2" applyNumberFormat="1" applyFont="1" applyBorder="1"/>
    <xf numFmtId="10" fontId="16" fillId="0" borderId="0" xfId="2" applyNumberFormat="1" applyFont="1" applyBorder="1"/>
    <xf numFmtId="44" fontId="13" fillId="0" borderId="11" xfId="1" applyFont="1" applyBorder="1"/>
    <xf numFmtId="0" fontId="16" fillId="0" borderId="11" xfId="0" applyFont="1" applyBorder="1" applyAlignment="1">
      <alignment wrapText="1"/>
    </xf>
    <xf numFmtId="0" fontId="14" fillId="0" borderId="0" xfId="0" applyFont="1" applyAlignment="1">
      <alignment horizontal="left" indent="2"/>
    </xf>
    <xf numFmtId="4" fontId="24" fillId="13" borderId="11" xfId="0" applyNumberFormat="1" applyFont="1" applyFill="1" applyBorder="1" applyAlignment="1">
      <alignment horizontal="right" vertical="center" wrapText="1" readingOrder="1"/>
    </xf>
    <xf numFmtId="0" fontId="14" fillId="0" borderId="11" xfId="0" applyFont="1" applyBorder="1"/>
    <xf numFmtId="0" fontId="14" fillId="0" borderId="11" xfId="0" applyFont="1" applyBorder="1" applyAlignment="1">
      <alignment wrapText="1"/>
    </xf>
    <xf numFmtId="4" fontId="14" fillId="0" borderId="11" xfId="1" applyNumberFormat="1" applyFont="1" applyBorder="1"/>
    <xf numFmtId="4" fontId="16" fillId="0" borderId="11" xfId="1" applyNumberFormat="1" applyFont="1" applyBorder="1"/>
    <xf numFmtId="4" fontId="14" fillId="0" borderId="11" xfId="0" applyNumberFormat="1" applyFont="1" applyBorder="1"/>
    <xf numFmtId="4" fontId="14" fillId="0" borderId="0" xfId="0" applyNumberFormat="1" applyFont="1"/>
    <xf numFmtId="43" fontId="25" fillId="13" borderId="11" xfId="0" applyNumberFormat="1" applyFont="1" applyFill="1" applyBorder="1" applyAlignment="1">
      <alignment horizontal="right" vertical="center" wrapText="1" readingOrder="1"/>
    </xf>
    <xf numFmtId="4" fontId="25" fillId="13" borderId="11" xfId="0" applyNumberFormat="1" applyFont="1" applyFill="1" applyBorder="1" applyAlignment="1">
      <alignment horizontal="right" vertical="center" wrapText="1" readingOrder="1"/>
    </xf>
    <xf numFmtId="4" fontId="16" fillId="0" borderId="11" xfId="1" applyNumberFormat="1" applyFont="1" applyFill="1" applyBorder="1"/>
    <xf numFmtId="4" fontId="14" fillId="0" borderId="11" xfId="1" applyNumberFormat="1" applyFont="1" applyFill="1" applyBorder="1"/>
    <xf numFmtId="4" fontId="25" fillId="13" borderId="0" xfId="0" applyNumberFormat="1" applyFont="1" applyFill="1" applyAlignment="1">
      <alignment horizontal="right" vertical="center" wrapText="1" readingOrder="1"/>
    </xf>
    <xf numFmtId="4" fontId="16" fillId="0" borderId="0" xfId="1" applyNumberFormat="1" applyFont="1" applyFill="1" applyBorder="1"/>
    <xf numFmtId="43" fontId="12" fillId="0" borderId="0" xfId="3" applyFont="1" applyBorder="1" applyAlignment="1">
      <alignment horizontal="center"/>
    </xf>
    <xf numFmtId="10" fontId="13" fillId="0" borderId="0" xfId="7" applyNumberFormat="1" applyFont="1" applyBorder="1"/>
    <xf numFmtId="0" fontId="12" fillId="10" borderId="11" xfId="0" applyFont="1" applyFill="1" applyBorder="1" applyAlignment="1">
      <alignment horizontal="center"/>
    </xf>
    <xf numFmtId="0" fontId="28" fillId="10" borderId="11" xfId="0" applyFont="1" applyFill="1" applyBorder="1"/>
    <xf numFmtId="4" fontId="15" fillId="0" borderId="0" xfId="0" applyNumberFormat="1" applyFont="1"/>
    <xf numFmtId="0" fontId="29" fillId="0" borderId="0" xfId="0" applyFont="1"/>
    <xf numFmtId="4" fontId="29" fillId="0" borderId="11" xfId="0" applyNumberFormat="1" applyFont="1" applyBorder="1"/>
    <xf numFmtId="44" fontId="29" fillId="0" borderId="0" xfId="0" applyNumberFormat="1" applyFont="1"/>
    <xf numFmtId="4" fontId="29" fillId="0" borderId="0" xfId="0" applyNumberFormat="1" applyFont="1"/>
    <xf numFmtId="44" fontId="29" fillId="0" borderId="0" xfId="1" applyFont="1"/>
    <xf numFmtId="0" fontId="29" fillId="0" borderId="11" xfId="0" applyFont="1" applyBorder="1"/>
    <xf numFmtId="0" fontId="29" fillId="14" borderId="11" xfId="0" applyFont="1" applyFill="1" applyBorder="1"/>
    <xf numFmtId="0" fontId="12" fillId="0" borderId="0" xfId="0" applyFont="1" applyAlignment="1">
      <alignment horizontal="center"/>
    </xf>
    <xf numFmtId="0" fontId="16" fillId="15" borderId="11" xfId="0" applyFont="1" applyFill="1" applyBorder="1"/>
    <xf numFmtId="164" fontId="16" fillId="15" borderId="11" xfId="0" applyNumberFormat="1" applyFont="1" applyFill="1" applyBorder="1"/>
    <xf numFmtId="0" fontId="29" fillId="0" borderId="11" xfId="0" applyFont="1" applyBorder="1" applyAlignment="1">
      <alignment horizontal="left" vertical="top"/>
    </xf>
    <xf numFmtId="0" fontId="29" fillId="0" borderId="11" xfId="0" applyFont="1" applyBorder="1" applyAlignment="1">
      <alignment horizontal="left" vertical="top" wrapText="1"/>
    </xf>
    <xf numFmtId="43" fontId="12" fillId="0" borderId="11" xfId="3" applyFont="1" applyFill="1" applyBorder="1"/>
    <xf numFmtId="0" fontId="12" fillId="0" borderId="11" xfId="0" applyFont="1" applyBorder="1"/>
    <xf numFmtId="0" fontId="5" fillId="0" borderId="0" xfId="0" applyFont="1"/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11" xfId="0" applyFont="1" applyBorder="1" applyAlignment="1">
      <alignment horizontal="center"/>
    </xf>
    <xf numFmtId="43" fontId="5" fillId="0" borderId="0" xfId="0" applyNumberFormat="1" applyFont="1"/>
    <xf numFmtId="43" fontId="5" fillId="0" borderId="0" xfId="3" applyFont="1"/>
    <xf numFmtId="4" fontId="5" fillId="0" borderId="0" xfId="0" applyNumberFormat="1" applyFont="1"/>
    <xf numFmtId="8" fontId="13" fillId="0" borderId="0" xfId="3" applyNumberFormat="1" applyFont="1"/>
    <xf numFmtId="0" fontId="32" fillId="0" borderId="0" xfId="0" applyFont="1"/>
    <xf numFmtId="43" fontId="13" fillId="0" borderId="0" xfId="3" applyFont="1" applyAlignment="1">
      <alignment horizontal="center"/>
    </xf>
    <xf numFmtId="43" fontId="33" fillId="0" borderId="0" xfId="3" applyFont="1" applyAlignment="1">
      <alignment horizontal="center"/>
    </xf>
    <xf numFmtId="43" fontId="34" fillId="0" borderId="0" xfId="3" applyFont="1" applyAlignment="1">
      <alignment horizontal="center"/>
    </xf>
    <xf numFmtId="44" fontId="13" fillId="0" borderId="11" xfId="1" applyFont="1" applyBorder="1" applyAlignment="1">
      <alignment horizontal="center"/>
    </xf>
    <xf numFmtId="0" fontId="12" fillId="0" borderId="14" xfId="0" applyFont="1" applyBorder="1"/>
    <xf numFmtId="10" fontId="13" fillId="0" borderId="0" xfId="7" applyNumberFormat="1" applyFont="1"/>
    <xf numFmtId="44" fontId="12" fillId="0" borderId="0" xfId="1" applyFont="1" applyAlignment="1">
      <alignment horizontal="left"/>
    </xf>
    <xf numFmtId="44" fontId="12" fillId="0" borderId="0" xfId="1" applyFont="1"/>
    <xf numFmtId="44" fontId="12" fillId="0" borderId="0" xfId="0" applyNumberFormat="1" applyFont="1"/>
    <xf numFmtId="0" fontId="30" fillId="0" borderId="0" xfId="0" applyFont="1"/>
    <xf numFmtId="0" fontId="26" fillId="0" borderId="0" xfId="0" applyFont="1"/>
    <xf numFmtId="44" fontId="26" fillId="0" borderId="0" xfId="0" applyNumberFormat="1" applyFont="1"/>
    <xf numFmtId="44" fontId="35" fillId="0" borderId="0" xfId="1" applyFont="1"/>
    <xf numFmtId="43" fontId="13" fillId="0" borderId="0" xfId="3" applyFont="1" applyBorder="1" applyAlignment="1">
      <alignment horizontal="center"/>
    </xf>
    <xf numFmtId="0" fontId="7" fillId="0" borderId="0" xfId="0" applyFont="1"/>
    <xf numFmtId="165" fontId="12" fillId="0" borderId="11" xfId="0" applyNumberFormat="1" applyFont="1" applyBorder="1"/>
    <xf numFmtId="0" fontId="5" fillId="0" borderId="0" xfId="0" applyFont="1" applyAlignment="1">
      <alignment horizontal="center"/>
    </xf>
    <xf numFmtId="10" fontId="12" fillId="0" borderId="0" xfId="2" applyNumberFormat="1" applyFont="1"/>
    <xf numFmtId="10" fontId="10" fillId="15" borderId="11" xfId="0" applyNumberFormat="1" applyFont="1" applyFill="1" applyBorder="1"/>
    <xf numFmtId="10" fontId="12" fillId="0" borderId="11" xfId="2" applyNumberFormat="1" applyFont="1" applyBorder="1" applyAlignment="1">
      <alignment horizontal="center"/>
    </xf>
    <xf numFmtId="10" fontId="12" fillId="0" borderId="0" xfId="3" applyNumberFormat="1" applyFont="1"/>
    <xf numFmtId="4" fontId="12" fillId="0" borderId="0" xfId="0" applyNumberFormat="1" applyFont="1"/>
    <xf numFmtId="10" fontId="5" fillId="0" borderId="0" xfId="0" applyNumberFormat="1" applyFont="1"/>
    <xf numFmtId="0" fontId="14" fillId="0" borderId="0" xfId="0" applyFont="1" applyAlignment="1">
      <alignment horizontal="center"/>
    </xf>
    <xf numFmtId="0" fontId="5" fillId="0" borderId="0" xfId="0" applyFont="1" applyAlignment="1">
      <alignment vertical="justify" wrapText="1"/>
    </xf>
    <xf numFmtId="43" fontId="29" fillId="0" borderId="0" xfId="3" applyFont="1"/>
    <xf numFmtId="43" fontId="29" fillId="0" borderId="0" xfId="0" applyNumberFormat="1" applyFont="1"/>
    <xf numFmtId="44" fontId="29" fillId="0" borderId="11" xfId="0" applyNumberFormat="1" applyFont="1" applyBorder="1"/>
    <xf numFmtId="0" fontId="28" fillId="0" borderId="11" xfId="0" applyFont="1" applyBorder="1" applyAlignment="1">
      <alignment wrapText="1"/>
    </xf>
    <xf numFmtId="0" fontId="29" fillId="0" borderId="11" xfId="0" applyFont="1" applyBorder="1" applyAlignment="1">
      <alignment wrapText="1"/>
    </xf>
    <xf numFmtId="43" fontId="38" fillId="13" borderId="11" xfId="3" applyFont="1" applyFill="1" applyBorder="1" applyAlignment="1">
      <alignment horizontal="right" vertical="center" wrapText="1" readingOrder="1"/>
    </xf>
    <xf numFmtId="43" fontId="29" fillId="0" borderId="11" xfId="3" applyFont="1" applyBorder="1"/>
    <xf numFmtId="43" fontId="28" fillId="0" borderId="11" xfId="3" applyFont="1" applyBorder="1"/>
    <xf numFmtId="0" fontId="28" fillId="0" borderId="0" xfId="0" applyFont="1"/>
    <xf numFmtId="43" fontId="28" fillId="0" borderId="0" xfId="0" applyNumberFormat="1" applyFont="1"/>
    <xf numFmtId="10" fontId="29" fillId="0" borderId="0" xfId="2" applyNumberFormat="1" applyFont="1"/>
    <xf numFmtId="0" fontId="16" fillId="16" borderId="11" xfId="0" applyFont="1" applyFill="1" applyBorder="1" applyAlignment="1">
      <alignment horizontal="center" wrapText="1"/>
    </xf>
    <xf numFmtId="43" fontId="25" fillId="13" borderId="11" xfId="3" applyFont="1" applyFill="1" applyBorder="1" applyAlignment="1">
      <alignment horizontal="right" vertical="center" wrapText="1" readingOrder="1"/>
    </xf>
    <xf numFmtId="2" fontId="24" fillId="13" borderId="11" xfId="3" applyNumberFormat="1" applyFont="1" applyFill="1" applyBorder="1" applyAlignment="1">
      <alignment horizontal="right" vertical="center" wrapText="1" readingOrder="1"/>
    </xf>
    <xf numFmtId="43" fontId="25" fillId="13" borderId="0" xfId="3" applyFont="1" applyFill="1" applyBorder="1" applyAlignment="1">
      <alignment horizontal="right" vertical="center" wrapText="1" readingOrder="1"/>
    </xf>
    <xf numFmtId="43" fontId="16" fillId="16" borderId="11" xfId="0" applyNumberFormat="1" applyFont="1" applyFill="1" applyBorder="1" applyAlignment="1">
      <alignment horizontal="center" wrapText="1"/>
    </xf>
    <xf numFmtId="10" fontId="14" fillId="0" borderId="0" xfId="2" applyNumberFormat="1" applyFont="1" applyBorder="1"/>
    <xf numFmtId="2" fontId="24" fillId="13" borderId="11" xfId="0" applyNumberFormat="1" applyFont="1" applyFill="1" applyBorder="1" applyAlignment="1">
      <alignment horizontal="right" vertical="center" wrapText="1" readingOrder="1"/>
    </xf>
    <xf numFmtId="2" fontId="25" fillId="13" borderId="11" xfId="3" applyNumberFormat="1" applyFont="1" applyFill="1" applyBorder="1" applyAlignment="1">
      <alignment horizontal="right" vertical="center" wrapText="1" readingOrder="1"/>
    </xf>
    <xf numFmtId="0" fontId="16" fillId="16" borderId="11" xfId="0" applyFont="1" applyFill="1" applyBorder="1" applyAlignment="1">
      <alignment wrapText="1"/>
    </xf>
    <xf numFmtId="0" fontId="39" fillId="16" borderId="29" xfId="0" applyFont="1" applyFill="1" applyBorder="1" applyAlignment="1">
      <alignment horizontal="center" vertical="center" wrapText="1"/>
    </xf>
    <xf numFmtId="0" fontId="39" fillId="16" borderId="41" xfId="0" applyFont="1" applyFill="1" applyBorder="1" applyAlignment="1">
      <alignment horizontal="center" vertical="center" wrapText="1"/>
    </xf>
    <xf numFmtId="0" fontId="22" fillId="0" borderId="11" xfId="0" applyFont="1" applyBorder="1"/>
    <xf numFmtId="44" fontId="22" fillId="0" borderId="11" xfId="1" applyFont="1" applyBorder="1"/>
    <xf numFmtId="44" fontId="14" fillId="0" borderId="11" xfId="0" applyNumberFormat="1" applyFont="1" applyBorder="1"/>
    <xf numFmtId="44" fontId="39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/>
    <xf numFmtId="0" fontId="39" fillId="16" borderId="11" xfId="0" applyFont="1" applyFill="1" applyBorder="1" applyAlignment="1">
      <alignment horizontal="center" vertical="center"/>
    </xf>
    <xf numFmtId="44" fontId="22" fillId="0" borderId="11" xfId="1" applyFont="1" applyFill="1" applyBorder="1"/>
    <xf numFmtId="44" fontId="14" fillId="0" borderId="11" xfId="1" applyFont="1" applyFill="1" applyBorder="1"/>
    <xf numFmtId="44" fontId="14" fillId="0" borderId="0" xfId="0" applyNumberFormat="1" applyFont="1"/>
    <xf numFmtId="44" fontId="14" fillId="16" borderId="11" xfId="0" applyNumberFormat="1" applyFont="1" applyFill="1" applyBorder="1"/>
    <xf numFmtId="0" fontId="16" fillId="18" borderId="11" xfId="0" applyFont="1" applyFill="1" applyBorder="1"/>
    <xf numFmtId="10" fontId="16" fillId="18" borderId="11" xfId="2" applyNumberFormat="1" applyFont="1" applyFill="1" applyBorder="1"/>
    <xf numFmtId="44" fontId="0" fillId="19" borderId="25" xfId="1" applyFont="1" applyFill="1" applyBorder="1"/>
    <xf numFmtId="44" fontId="0" fillId="19" borderId="27" xfId="1" applyFont="1" applyFill="1" applyBorder="1"/>
    <xf numFmtId="44" fontId="0" fillId="19" borderId="39" xfId="1" applyFont="1" applyFill="1" applyBorder="1"/>
    <xf numFmtId="44" fontId="0" fillId="19" borderId="10" xfId="1" applyFont="1" applyFill="1" applyBorder="1"/>
    <xf numFmtId="44" fontId="4" fillId="19" borderId="15" xfId="1" applyFont="1" applyFill="1" applyBorder="1"/>
    <xf numFmtId="44" fontId="4" fillId="19" borderId="11" xfId="1" applyFont="1" applyFill="1" applyBorder="1"/>
    <xf numFmtId="44" fontId="4" fillId="19" borderId="14" xfId="1" applyFont="1" applyFill="1" applyBorder="1"/>
    <xf numFmtId="44" fontId="6" fillId="19" borderId="28" xfId="1" applyFont="1" applyFill="1" applyBorder="1"/>
    <xf numFmtId="44" fontId="2" fillId="0" borderId="23" xfId="2" applyNumberFormat="1" applyFont="1" applyFill="1" applyBorder="1"/>
    <xf numFmtId="44" fontId="0" fillId="0" borderId="11" xfId="1" applyFont="1" applyFill="1" applyBorder="1"/>
    <xf numFmtId="44" fontId="2" fillId="0" borderId="11" xfId="1" applyFont="1" applyFill="1" applyBorder="1"/>
    <xf numFmtId="0" fontId="2" fillId="0" borderId="11" xfId="0" applyFont="1" applyBorder="1" applyAlignment="1">
      <alignment horizontal="left" indent="1"/>
    </xf>
    <xf numFmtId="10" fontId="2" fillId="0" borderId="11" xfId="2" applyNumberFormat="1" applyFont="1" applyFill="1" applyBorder="1"/>
    <xf numFmtId="0" fontId="2" fillId="5" borderId="29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8" fillId="5" borderId="20" xfId="0" applyFont="1" applyFill="1" applyBorder="1" applyAlignment="1">
      <alignment horizontal="center" vertical="center"/>
    </xf>
    <xf numFmtId="0" fontId="28" fillId="5" borderId="21" xfId="0" applyFont="1" applyFill="1" applyBorder="1" applyAlignment="1">
      <alignment horizontal="center" vertical="center"/>
    </xf>
    <xf numFmtId="0" fontId="29" fillId="0" borderId="8" xfId="0" applyFont="1" applyBorder="1"/>
    <xf numFmtId="44" fontId="28" fillId="0" borderId="3" xfId="1" applyFont="1" applyFill="1" applyBorder="1"/>
    <xf numFmtId="44" fontId="28" fillId="0" borderId="3" xfId="1" applyFont="1" applyBorder="1"/>
    <xf numFmtId="10" fontId="28" fillId="0" borderId="3" xfId="2" applyNumberFormat="1" applyFont="1" applyBorder="1"/>
    <xf numFmtId="0" fontId="29" fillId="0" borderId="3" xfId="0" applyFont="1" applyBorder="1" applyAlignment="1">
      <alignment horizontal="left" indent="2"/>
    </xf>
    <xf numFmtId="44" fontId="29" fillId="0" borderId="3" xfId="1" applyFont="1" applyFill="1" applyBorder="1"/>
    <xf numFmtId="44" fontId="29" fillId="0" borderId="3" xfId="1" applyFont="1" applyBorder="1"/>
    <xf numFmtId="0" fontId="28" fillId="0" borderId="3" xfId="0" applyFont="1" applyBorder="1"/>
    <xf numFmtId="44" fontId="28" fillId="0" borderId="20" xfId="1" applyFont="1" applyFill="1" applyBorder="1"/>
    <xf numFmtId="44" fontId="28" fillId="0" borderId="20" xfId="1" applyFont="1" applyBorder="1"/>
    <xf numFmtId="10" fontId="28" fillId="0" borderId="20" xfId="2" applyNumberFormat="1" applyFont="1" applyBorder="1"/>
    <xf numFmtId="0" fontId="43" fillId="0" borderId="20" xfId="0" applyFont="1" applyBorder="1"/>
    <xf numFmtId="10" fontId="42" fillId="5" borderId="23" xfId="2" applyNumberFormat="1" applyFont="1" applyFill="1" applyBorder="1"/>
    <xf numFmtId="0" fontId="6" fillId="7" borderId="22" xfId="0" applyFont="1" applyFill="1" applyBorder="1"/>
    <xf numFmtId="44" fontId="2" fillId="7" borderId="28" xfId="0" applyNumberFormat="1" applyFont="1" applyFill="1" applyBorder="1"/>
    <xf numFmtId="10" fontId="2" fillId="7" borderId="23" xfId="2" applyNumberFormat="1" applyFont="1" applyFill="1" applyBorder="1"/>
    <xf numFmtId="4" fontId="11" fillId="7" borderId="24" xfId="3" applyNumberFormat="1" applyFont="1" applyFill="1" applyBorder="1" applyAlignment="1" applyProtection="1">
      <alignment vertical="center" wrapText="1"/>
      <protection locked="0"/>
    </xf>
    <xf numFmtId="4" fontId="11" fillId="7" borderId="40" xfId="3" applyNumberFormat="1" applyFont="1" applyFill="1" applyBorder="1" applyAlignment="1" applyProtection="1">
      <alignment vertical="center" wrapText="1"/>
      <protection locked="0"/>
    </xf>
    <xf numFmtId="4" fontId="29" fillId="0" borderId="11" xfId="3" applyNumberFormat="1" applyFont="1" applyBorder="1" applyProtection="1">
      <protection locked="0"/>
    </xf>
    <xf numFmtId="44" fontId="29" fillId="0" borderId="11" xfId="1" applyFont="1" applyBorder="1" applyProtection="1">
      <protection locked="0"/>
    </xf>
    <xf numFmtId="0" fontId="28" fillId="0" borderId="11" xfId="0" applyFont="1" applyBorder="1"/>
    <xf numFmtId="0" fontId="29" fillId="0" borderId="11" xfId="0" applyFont="1" applyBorder="1" applyAlignment="1">
      <alignment horizontal="left" indent="1"/>
    </xf>
    <xf numFmtId="10" fontId="29" fillId="0" borderId="11" xfId="2" applyNumberFormat="1" applyFont="1" applyBorder="1"/>
    <xf numFmtId="0" fontId="28" fillId="4" borderId="11" xfId="0" applyFont="1" applyFill="1" applyBorder="1"/>
    <xf numFmtId="43" fontId="29" fillId="0" borderId="11" xfId="0" applyNumberFormat="1" applyFont="1" applyBorder="1" applyAlignment="1">
      <alignment horizontal="left" indent="1"/>
    </xf>
    <xf numFmtId="43" fontId="29" fillId="0" borderId="11" xfId="0" applyNumberFormat="1" applyFont="1" applyBorder="1"/>
    <xf numFmtId="10" fontId="16" fillId="0" borderId="11" xfId="2" applyNumberFormat="1" applyFont="1" applyBorder="1" applyAlignment="1">
      <alignment horizontal="center"/>
    </xf>
    <xf numFmtId="4" fontId="11" fillId="0" borderId="0" xfId="3" applyNumberFormat="1" applyFont="1" applyBorder="1" applyAlignment="1" applyProtection="1">
      <alignment horizontal="center"/>
      <protection locked="0"/>
    </xf>
    <xf numFmtId="4" fontId="41" fillId="0" borderId="0" xfId="3" applyNumberFormat="1" applyFont="1" applyBorder="1" applyProtection="1">
      <protection locked="0"/>
    </xf>
    <xf numFmtId="4" fontId="11" fillId="0" borderId="0" xfId="3" applyNumberFormat="1" applyFont="1" applyFill="1" applyBorder="1" applyAlignment="1" applyProtection="1">
      <alignment horizontal="center"/>
      <protection locked="0"/>
    </xf>
    <xf numFmtId="44" fontId="29" fillId="0" borderId="0" xfId="1" applyFont="1" applyFill="1" applyBorder="1" applyProtection="1">
      <protection locked="0"/>
    </xf>
    <xf numFmtId="4" fontId="11" fillId="0" borderId="0" xfId="3" applyNumberFormat="1" applyFont="1" applyFill="1" applyBorder="1" applyProtection="1">
      <protection locked="0"/>
    </xf>
    <xf numFmtId="44" fontId="11" fillId="0" borderId="0" xfId="1" applyFont="1" applyFill="1" applyBorder="1" applyProtection="1">
      <protection locked="0"/>
    </xf>
    <xf numFmtId="10" fontId="11" fillId="0" borderId="0" xfId="2" applyNumberFormat="1" applyFont="1" applyFill="1" applyBorder="1" applyProtection="1">
      <protection locked="0"/>
    </xf>
    <xf numFmtId="4" fontId="41" fillId="0" borderId="0" xfId="3" applyNumberFormat="1" applyFont="1" applyFill="1" applyBorder="1" applyProtection="1">
      <protection locked="0"/>
    </xf>
    <xf numFmtId="43" fontId="14" fillId="0" borderId="0" xfId="3" applyFont="1"/>
    <xf numFmtId="44" fontId="16" fillId="0" borderId="11" xfId="2" applyNumberFormat="1" applyFont="1" applyBorder="1"/>
    <xf numFmtId="4" fontId="17" fillId="0" borderId="11" xfId="3" applyNumberFormat="1" applyFont="1" applyBorder="1" applyProtection="1">
      <protection locked="0"/>
    </xf>
    <xf numFmtId="44" fontId="17" fillId="0" borderId="11" xfId="1" applyFont="1" applyBorder="1" applyProtection="1">
      <protection locked="0"/>
    </xf>
    <xf numFmtId="43" fontId="28" fillId="10" borderId="11" xfId="3" applyFont="1" applyFill="1" applyBorder="1"/>
    <xf numFmtId="43" fontId="29" fillId="0" borderId="11" xfId="3" applyFont="1" applyFill="1" applyBorder="1"/>
    <xf numFmtId="43" fontId="29" fillId="14" borderId="11" xfId="3" applyFont="1" applyFill="1" applyBorder="1"/>
    <xf numFmtId="43" fontId="3" fillId="10" borderId="11" xfId="3" applyFont="1" applyFill="1" applyBorder="1"/>
    <xf numFmtId="43" fontId="15" fillId="0" borderId="0" xfId="3" applyFont="1"/>
    <xf numFmtId="43" fontId="24" fillId="13" borderId="11" xfId="3" applyFont="1" applyFill="1" applyBorder="1" applyAlignment="1">
      <alignment horizontal="right" vertical="center" wrapText="1" readingOrder="1"/>
    </xf>
    <xf numFmtId="0" fontId="16" fillId="16" borderId="13" xfId="0" applyFont="1" applyFill="1" applyBorder="1" applyAlignment="1">
      <alignment horizontal="center" wrapText="1"/>
    </xf>
    <xf numFmtId="0" fontId="16" fillId="16" borderId="12" xfId="0" applyFont="1" applyFill="1" applyBorder="1" applyAlignment="1">
      <alignment horizontal="center" wrapText="1"/>
    </xf>
    <xf numFmtId="0" fontId="16" fillId="16" borderId="16" xfId="0" applyFont="1" applyFill="1" applyBorder="1" applyAlignment="1">
      <alignment horizontal="center" wrapText="1"/>
    </xf>
    <xf numFmtId="0" fontId="16" fillId="16" borderId="14" xfId="0" applyFont="1" applyFill="1" applyBorder="1" applyAlignment="1">
      <alignment horizontal="center" vertical="center"/>
    </xf>
    <xf numFmtId="43" fontId="46" fillId="0" borderId="0" xfId="3" applyFont="1"/>
    <xf numFmtId="17" fontId="14" fillId="0" borderId="0" xfId="0" applyNumberFormat="1" applyFont="1"/>
    <xf numFmtId="43" fontId="14" fillId="0" borderId="0" xfId="0" applyNumberFormat="1" applyFont="1"/>
    <xf numFmtId="0" fontId="14" fillId="5" borderId="11" xfId="0" applyFont="1" applyFill="1" applyBorder="1"/>
    <xf numFmtId="43" fontId="14" fillId="5" borderId="11" xfId="3" applyFont="1" applyFill="1" applyBorder="1"/>
    <xf numFmtId="43" fontId="14" fillId="5" borderId="11" xfId="0" applyNumberFormat="1" applyFont="1" applyFill="1" applyBorder="1"/>
    <xf numFmtId="43" fontId="46" fillId="0" borderId="11" xfId="3" applyFont="1" applyBorder="1"/>
    <xf numFmtId="0" fontId="14" fillId="0" borderId="0" xfId="0" applyFont="1" applyAlignment="1">
      <alignment horizontal="center" vertical="center"/>
    </xf>
    <xf numFmtId="17" fontId="14" fillId="0" borderId="11" xfId="0" applyNumberFormat="1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43" fontId="14" fillId="0" borderId="11" xfId="3" applyFont="1" applyBorder="1"/>
    <xf numFmtId="43" fontId="16" fillId="0" borderId="11" xfId="0" applyNumberFormat="1" applyFont="1" applyBorder="1"/>
    <xf numFmtId="43" fontId="14" fillId="0" borderId="15" xfId="3" applyFont="1" applyBorder="1"/>
    <xf numFmtId="0" fontId="16" fillId="5" borderId="11" xfId="0" applyFont="1" applyFill="1" applyBorder="1"/>
    <xf numFmtId="43" fontId="47" fillId="5" borderId="11" xfId="3" applyFont="1" applyFill="1" applyBorder="1"/>
    <xf numFmtId="43" fontId="16" fillId="5" borderId="11" xfId="0" applyNumberFormat="1" applyFont="1" applyFill="1" applyBorder="1"/>
    <xf numFmtId="17" fontId="14" fillId="0" borderId="14" xfId="0" applyNumberFormat="1" applyFont="1" applyBorder="1" applyAlignment="1">
      <alignment horizontal="center" vertical="center"/>
    </xf>
    <xf numFmtId="43" fontId="16" fillId="0" borderId="0" xfId="3" applyFont="1" applyBorder="1"/>
    <xf numFmtId="17" fontId="14" fillId="0" borderId="16" xfId="0" applyNumberFormat="1" applyFont="1" applyBorder="1" applyAlignment="1">
      <alignment horizontal="center" vertical="center"/>
    </xf>
    <xf numFmtId="43" fontId="48" fillId="0" borderId="0" xfId="3" applyFont="1"/>
    <xf numFmtId="164" fontId="29" fillId="0" borderId="0" xfId="0" applyNumberFormat="1" applyFont="1"/>
    <xf numFmtId="10" fontId="29" fillId="0" borderId="0" xfId="0" applyNumberFormat="1" applyFont="1"/>
    <xf numFmtId="43" fontId="29" fillId="0" borderId="0" xfId="3" applyFont="1" applyBorder="1"/>
    <xf numFmtId="43" fontId="38" fillId="13" borderId="0" xfId="3" applyFont="1" applyFill="1" applyBorder="1" applyAlignment="1">
      <alignment horizontal="right" vertical="center" wrapText="1" readingOrder="1"/>
    </xf>
    <xf numFmtId="43" fontId="29" fillId="0" borderId="0" xfId="3" applyFont="1" applyFill="1" applyBorder="1"/>
    <xf numFmtId="0" fontId="29" fillId="15" borderId="11" xfId="0" applyFont="1" applyFill="1" applyBorder="1" applyAlignment="1">
      <alignment wrapText="1"/>
    </xf>
    <xf numFmtId="0" fontId="28" fillId="15" borderId="11" xfId="0" applyFont="1" applyFill="1" applyBorder="1" applyAlignment="1">
      <alignment horizontal="center" vertical="center" wrapText="1"/>
    </xf>
    <xf numFmtId="0" fontId="29" fillId="20" borderId="11" xfId="0" applyFont="1" applyFill="1" applyBorder="1"/>
    <xf numFmtId="9" fontId="29" fillId="20" borderId="11" xfId="0" applyNumberFormat="1" applyFont="1" applyFill="1" applyBorder="1" applyAlignment="1">
      <alignment horizontal="center" vertical="center"/>
    </xf>
    <xf numFmtId="44" fontId="29" fillId="20" borderId="11" xfId="1" applyFont="1" applyFill="1" applyBorder="1" applyAlignment="1">
      <alignment vertical="center"/>
    </xf>
    <xf numFmtId="44" fontId="28" fillId="20" borderId="11" xfId="1" applyFont="1" applyFill="1" applyBorder="1" applyAlignment="1">
      <alignment horizontal="center" vertical="center"/>
    </xf>
    <xf numFmtId="10" fontId="28" fillId="20" borderId="11" xfId="2" applyNumberFormat="1" applyFont="1" applyFill="1" applyBorder="1" applyAlignment="1">
      <alignment horizontal="center" vertical="center"/>
    </xf>
    <xf numFmtId="44" fontId="29" fillId="20" borderId="11" xfId="1" applyFont="1" applyFill="1" applyBorder="1" applyAlignment="1"/>
    <xf numFmtId="0" fontId="28" fillId="0" borderId="0" xfId="0" applyFont="1" applyAlignment="1">
      <alignment horizontal="center"/>
    </xf>
    <xf numFmtId="43" fontId="48" fillId="0" borderId="0" xfId="3" applyFont="1" applyFill="1"/>
    <xf numFmtId="0" fontId="29" fillId="4" borderId="11" xfId="0" applyFont="1" applyFill="1" applyBorder="1"/>
    <xf numFmtId="9" fontId="29" fillId="4" borderId="11" xfId="0" applyNumberFormat="1" applyFont="1" applyFill="1" applyBorder="1" applyAlignment="1">
      <alignment horizontal="center" vertical="center"/>
    </xf>
    <xf numFmtId="44" fontId="29" fillId="4" borderId="11" xfId="1" applyFont="1" applyFill="1" applyBorder="1" applyAlignment="1"/>
    <xf numFmtId="44" fontId="28" fillId="4" borderId="11" xfId="1" applyFont="1" applyFill="1" applyBorder="1" applyAlignment="1">
      <alignment vertical="center"/>
    </xf>
    <xf numFmtId="43" fontId="28" fillId="0" borderId="0" xfId="3" applyFont="1"/>
    <xf numFmtId="4" fontId="24" fillId="0" borderId="11" xfId="0" applyNumberFormat="1" applyFont="1" applyBorder="1" applyAlignment="1">
      <alignment horizontal="right" vertical="center" wrapText="1" readingOrder="1"/>
    </xf>
    <xf numFmtId="10" fontId="14" fillId="0" borderId="0" xfId="0" applyNumberFormat="1" applyFont="1"/>
    <xf numFmtId="0" fontId="16" fillId="16" borderId="11" xfId="0" applyFont="1" applyFill="1" applyBorder="1" applyAlignment="1">
      <alignment horizontal="center"/>
    </xf>
    <xf numFmtId="43" fontId="12" fillId="0" borderId="0" xfId="3" applyFont="1" applyFill="1" applyBorder="1"/>
    <xf numFmtId="17" fontId="12" fillId="0" borderId="0" xfId="3" applyNumberFormat="1" applyFont="1" applyFill="1" applyBorder="1"/>
    <xf numFmtId="43" fontId="13" fillId="0" borderId="0" xfId="3" applyFont="1" applyFill="1" applyBorder="1"/>
    <xf numFmtId="43" fontId="16" fillId="0" borderId="0" xfId="0" applyNumberFormat="1" applyFont="1"/>
    <xf numFmtId="8" fontId="13" fillId="0" borderId="0" xfId="3" applyNumberFormat="1" applyFont="1" applyFill="1" applyBorder="1"/>
    <xf numFmtId="43" fontId="14" fillId="0" borderId="0" xfId="3" applyFont="1" applyFill="1" applyBorder="1"/>
    <xf numFmtId="43" fontId="13" fillId="0" borderId="0" xfId="3" applyFont="1" applyFill="1" applyBorder="1" applyAlignment="1"/>
    <xf numFmtId="0" fontId="29" fillId="20" borderId="11" xfId="0" applyFont="1" applyFill="1" applyBorder="1" applyAlignment="1">
      <alignment horizontal="center"/>
    </xf>
    <xf numFmtId="0" fontId="29" fillId="15" borderId="11" xfId="0" applyFont="1" applyFill="1" applyBorder="1" applyAlignment="1">
      <alignment horizontal="left" wrapText="1"/>
    </xf>
    <xf numFmtId="0" fontId="29" fillId="0" borderId="24" xfId="0" applyFont="1" applyBorder="1"/>
    <xf numFmtId="0" fontId="29" fillId="0" borderId="40" xfId="0" applyFont="1" applyBorder="1"/>
    <xf numFmtId="0" fontId="29" fillId="0" borderId="46" xfId="0" applyFont="1" applyBorder="1"/>
    <xf numFmtId="0" fontId="28" fillId="0" borderId="36" xfId="0" applyFont="1" applyBorder="1" applyAlignment="1">
      <alignment horizontal="center"/>
    </xf>
    <xf numFmtId="10" fontId="28" fillId="0" borderId="35" xfId="2" applyNumberFormat="1" applyFont="1" applyFill="1" applyBorder="1" applyAlignment="1">
      <alignment horizontal="center" vertical="center"/>
    </xf>
    <xf numFmtId="0" fontId="29" fillId="0" borderId="36" xfId="0" applyFont="1" applyBorder="1"/>
    <xf numFmtId="0" fontId="29" fillId="0" borderId="35" xfId="0" applyFont="1" applyBorder="1"/>
    <xf numFmtId="43" fontId="0" fillId="0" borderId="0" xfId="3" applyFont="1"/>
    <xf numFmtId="4" fontId="16" fillId="16" borderId="11" xfId="0" applyNumberFormat="1" applyFont="1" applyFill="1" applyBorder="1" applyAlignment="1">
      <alignment horizontal="center"/>
    </xf>
    <xf numFmtId="0" fontId="49" fillId="0" borderId="11" xfId="11" applyFont="1" applyBorder="1">
      <alignment horizontal="left" vertical="top" wrapText="1"/>
    </xf>
    <xf numFmtId="0" fontId="49" fillId="0" borderId="11" xfId="11" applyFont="1" applyBorder="1" applyAlignment="1">
      <alignment horizontal="center" vertical="top" wrapText="1"/>
    </xf>
    <xf numFmtId="0" fontId="22" fillId="0" borderId="0" xfId="11">
      <alignment horizontal="left" vertical="top" wrapText="1"/>
    </xf>
    <xf numFmtId="49" fontId="50" fillId="13" borderId="11" xfId="11" applyNumberFormat="1" applyFont="1" applyFill="1" applyBorder="1" applyAlignment="1">
      <alignment vertical="center" wrapText="1" readingOrder="1"/>
    </xf>
    <xf numFmtId="43" fontId="49" fillId="0" borderId="0" xfId="12" applyFont="1" applyAlignment="1">
      <alignment horizontal="left" vertical="top" wrapText="1"/>
    </xf>
    <xf numFmtId="43" fontId="51" fillId="0" borderId="11" xfId="12" applyFont="1" applyFill="1" applyBorder="1" applyAlignment="1" applyProtection="1">
      <alignment vertical="center" wrapText="1" readingOrder="1"/>
    </xf>
    <xf numFmtId="43" fontId="22" fillId="0" borderId="0" xfId="11" applyNumberFormat="1">
      <alignment horizontal="left" vertical="top" wrapText="1"/>
    </xf>
    <xf numFmtId="43" fontId="51" fillId="13" borderId="11" xfId="12" applyFont="1" applyFill="1" applyBorder="1" applyAlignment="1" applyProtection="1">
      <alignment vertical="center" wrapText="1" readingOrder="1"/>
    </xf>
    <xf numFmtId="43" fontId="49" fillId="0" borderId="11" xfId="12" applyFont="1" applyBorder="1" applyAlignment="1">
      <alignment horizontal="left" vertical="top" wrapText="1"/>
    </xf>
    <xf numFmtId="0" fontId="49" fillId="0" borderId="0" xfId="11" applyFont="1">
      <alignment horizontal="left" vertical="top" wrapText="1"/>
    </xf>
    <xf numFmtId="9" fontId="49" fillId="0" borderId="0" xfId="11" applyNumberFormat="1" applyFont="1" applyAlignment="1">
      <alignment horizontal="right" vertical="top" wrapText="1"/>
    </xf>
    <xf numFmtId="43" fontId="52" fillId="0" borderId="0" xfId="11" applyNumberFormat="1" applyFont="1">
      <alignment horizontal="left" vertical="top" wrapText="1"/>
    </xf>
    <xf numFmtId="43" fontId="0" fillId="0" borderId="0" xfId="12" applyFont="1" applyAlignment="1">
      <alignment horizontal="left" vertical="top" wrapText="1"/>
    </xf>
    <xf numFmtId="4" fontId="22" fillId="0" borderId="0" xfId="11" applyNumberFormat="1">
      <alignment horizontal="left" vertical="top" wrapText="1"/>
    </xf>
    <xf numFmtId="43" fontId="52" fillId="0" borderId="0" xfId="12" applyFont="1" applyAlignment="1">
      <alignment horizontal="left" vertical="top" wrapText="1"/>
    </xf>
    <xf numFmtId="9" fontId="49" fillId="0" borderId="0" xfId="12" applyNumberFormat="1" applyFont="1" applyAlignment="1">
      <alignment horizontal="left" vertical="top" wrapText="1"/>
    </xf>
    <xf numFmtId="43" fontId="49" fillId="0" borderId="0" xfId="11" applyNumberFormat="1" applyFont="1">
      <alignment horizontal="left" vertical="top" wrapText="1"/>
    </xf>
    <xf numFmtId="9" fontId="22" fillId="0" borderId="0" xfId="11" applyNumberFormat="1">
      <alignment horizontal="left" vertical="top" wrapText="1"/>
    </xf>
    <xf numFmtId="10" fontId="14" fillId="0" borderId="0" xfId="2" applyNumberFormat="1" applyFont="1"/>
    <xf numFmtId="44" fontId="0" fillId="0" borderId="0" xfId="0" applyNumberFormat="1"/>
    <xf numFmtId="43" fontId="16" fillId="0" borderId="0" xfId="3" applyFont="1"/>
    <xf numFmtId="43" fontId="12" fillId="16" borderId="11" xfId="3" applyFont="1" applyFill="1" applyBorder="1"/>
    <xf numFmtId="8" fontId="12" fillId="16" borderId="11" xfId="3" applyNumberFormat="1" applyFont="1" applyFill="1" applyBorder="1"/>
    <xf numFmtId="17" fontId="13" fillId="21" borderId="11" xfId="0" applyNumberFormat="1" applyFont="1" applyFill="1" applyBorder="1" applyAlignment="1">
      <alignment horizontal="center"/>
    </xf>
    <xf numFmtId="43" fontId="16" fillId="15" borderId="11" xfId="3" applyFont="1" applyFill="1" applyBorder="1"/>
    <xf numFmtId="0" fontId="16" fillId="22" borderId="11" xfId="0" applyFont="1" applyFill="1" applyBorder="1"/>
    <xf numFmtId="164" fontId="16" fillId="22" borderId="11" xfId="0" applyNumberFormat="1" applyFont="1" applyFill="1" applyBorder="1"/>
    <xf numFmtId="43" fontId="16" fillId="22" borderId="11" xfId="3" applyFont="1" applyFill="1" applyBorder="1"/>
    <xf numFmtId="43" fontId="16" fillId="0" borderId="11" xfId="3" applyFont="1" applyBorder="1"/>
    <xf numFmtId="43" fontId="24" fillId="13" borderId="11" xfId="3" applyFont="1" applyFill="1" applyBorder="1" applyAlignment="1">
      <alignment horizontal="right" vertical="top" wrapText="1" readingOrder="1"/>
    </xf>
    <xf numFmtId="43" fontId="16" fillId="0" borderId="11" xfId="3" applyFont="1" applyBorder="1" applyAlignment="1">
      <alignment vertical="center" wrapText="1"/>
    </xf>
    <xf numFmtId="43" fontId="14" fillId="0" borderId="14" xfId="3" applyFont="1" applyBorder="1" applyAlignment="1" applyProtection="1">
      <alignment vertical="center" wrapText="1"/>
      <protection locked="0"/>
    </xf>
    <xf numFmtId="43" fontId="14" fillId="0" borderId="11" xfId="3" applyFont="1" applyBorder="1" applyAlignment="1">
      <alignment vertical="center" wrapText="1"/>
    </xf>
    <xf numFmtId="4" fontId="16" fillId="0" borderId="15" xfId="1" applyNumberFormat="1" applyFont="1" applyFill="1" applyBorder="1"/>
    <xf numFmtId="0" fontId="16" fillId="0" borderId="11" xfId="0" applyFont="1" applyBorder="1" applyAlignment="1">
      <alignment horizontal="center" wrapText="1"/>
    </xf>
    <xf numFmtId="0" fontId="16" fillId="23" borderId="11" xfId="0" applyFont="1" applyFill="1" applyBorder="1" applyAlignment="1">
      <alignment horizontal="center" wrapText="1"/>
    </xf>
    <xf numFmtId="2" fontId="25" fillId="23" borderId="11" xfId="3" applyNumberFormat="1" applyFont="1" applyFill="1" applyBorder="1" applyAlignment="1">
      <alignment horizontal="right" vertical="center" wrapText="1" readingOrder="1"/>
    </xf>
    <xf numFmtId="2" fontId="25" fillId="23" borderId="11" xfId="0" applyNumberFormat="1" applyFont="1" applyFill="1" applyBorder="1" applyAlignment="1">
      <alignment horizontal="right" vertical="center" wrapText="1" readingOrder="1"/>
    </xf>
    <xf numFmtId="0" fontId="16" fillId="23" borderId="11" xfId="0" applyFont="1" applyFill="1" applyBorder="1"/>
    <xf numFmtId="43" fontId="25" fillId="23" borderId="11" xfId="3" applyFont="1" applyFill="1" applyBorder="1" applyAlignment="1">
      <alignment horizontal="right" vertical="center" wrapText="1" readingOrder="1"/>
    </xf>
    <xf numFmtId="4" fontId="25" fillId="23" borderId="11" xfId="0" applyNumberFormat="1" applyFont="1" applyFill="1" applyBorder="1" applyAlignment="1">
      <alignment horizontal="right" vertical="center" wrapText="1" readingOrder="1"/>
    </xf>
    <xf numFmtId="4" fontId="16" fillId="23" borderId="11" xfId="1" applyNumberFormat="1" applyFont="1" applyFill="1" applyBorder="1"/>
    <xf numFmtId="10" fontId="14" fillId="23" borderId="11" xfId="2" applyNumberFormat="1" applyFont="1" applyFill="1" applyBorder="1"/>
    <xf numFmtId="0" fontId="16" fillId="23" borderId="11" xfId="0" applyFont="1" applyFill="1" applyBorder="1" applyAlignment="1">
      <alignment wrapText="1"/>
    </xf>
    <xf numFmtId="10" fontId="16" fillId="23" borderId="11" xfId="2" applyNumberFormat="1" applyFont="1" applyFill="1" applyBorder="1"/>
    <xf numFmtId="44" fontId="16" fillId="0" borderId="11" xfId="0" applyNumberFormat="1" applyFont="1" applyBorder="1"/>
    <xf numFmtId="164" fontId="16" fillId="0" borderId="11" xfId="0" applyNumberFormat="1" applyFont="1" applyBorder="1"/>
    <xf numFmtId="4" fontId="16" fillId="0" borderId="11" xfId="0" applyNumberFormat="1" applyFont="1" applyBorder="1"/>
    <xf numFmtId="43" fontId="13" fillId="24" borderId="11" xfId="3" applyFont="1" applyFill="1" applyBorder="1"/>
    <xf numFmtId="8" fontId="13" fillId="24" borderId="11" xfId="3" applyNumberFormat="1" applyFont="1" applyFill="1" applyBorder="1"/>
    <xf numFmtId="43" fontId="13" fillId="24" borderId="11" xfId="3" applyFont="1" applyFill="1" applyBorder="1" applyAlignment="1">
      <alignment horizontal="center"/>
    </xf>
    <xf numFmtId="0" fontId="28" fillId="5" borderId="11" xfId="0" applyFont="1" applyFill="1" applyBorder="1" applyAlignment="1">
      <alignment horizontal="center"/>
    </xf>
    <xf numFmtId="10" fontId="28" fillId="5" borderId="11" xfId="2" applyNumberFormat="1" applyFont="1" applyFill="1" applyBorder="1" applyAlignment="1">
      <alignment horizontal="center"/>
    </xf>
    <xf numFmtId="0" fontId="28" fillId="5" borderId="11" xfId="0" applyFont="1" applyFill="1" applyBorder="1"/>
    <xf numFmtId="10" fontId="16" fillId="5" borderId="11" xfId="0" applyNumberFormat="1" applyFont="1" applyFill="1" applyBorder="1" applyAlignment="1">
      <alignment horizontal="center"/>
    </xf>
    <xf numFmtId="10" fontId="16" fillId="5" borderId="11" xfId="2" applyNumberFormat="1" applyFont="1" applyFill="1" applyBorder="1" applyAlignment="1">
      <alignment horizontal="center"/>
    </xf>
    <xf numFmtId="4" fontId="10" fillId="5" borderId="5" xfId="3" applyNumberFormat="1" applyFont="1" applyFill="1" applyBorder="1" applyAlignment="1" applyProtection="1">
      <alignment horizontal="center" vertical="center" wrapText="1"/>
      <protection locked="0"/>
    </xf>
    <xf numFmtId="4" fontId="10" fillId="5" borderId="6" xfId="3" applyNumberFormat="1" applyFont="1" applyFill="1" applyBorder="1" applyAlignment="1" applyProtection="1">
      <alignment vertical="center" wrapText="1"/>
      <protection locked="0"/>
    </xf>
    <xf numFmtId="166" fontId="13" fillId="5" borderId="14" xfId="0" applyNumberFormat="1" applyFont="1" applyFill="1" applyBorder="1" applyAlignment="1" applyProtection="1">
      <alignment horizontal="center" vertical="center"/>
      <protection locked="0"/>
    </xf>
    <xf numFmtId="0" fontId="13" fillId="5" borderId="15" xfId="0" applyFont="1" applyFill="1" applyBorder="1" applyAlignment="1" applyProtection="1">
      <alignment horizontal="center" vertical="center"/>
      <protection locked="0"/>
    </xf>
    <xf numFmtId="43" fontId="15" fillId="0" borderId="11" xfId="3" applyFont="1" applyFill="1" applyBorder="1"/>
    <xf numFmtId="0" fontId="16" fillId="25" borderId="11" xfId="0" applyFont="1" applyFill="1" applyBorder="1" applyAlignment="1">
      <alignment horizontal="center"/>
    </xf>
    <xf numFmtId="43" fontId="29" fillId="26" borderId="11" xfId="3" applyFont="1" applyFill="1" applyBorder="1"/>
    <xf numFmtId="43" fontId="29" fillId="0" borderId="11" xfId="3" applyFont="1" applyFill="1" applyBorder="1" applyAlignment="1">
      <alignment wrapText="1"/>
    </xf>
    <xf numFmtId="0" fontId="14" fillId="0" borderId="11" xfId="0" applyFont="1" applyBorder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4" fontId="0" fillId="0" borderId="11" xfId="0" applyNumberFormat="1" applyBorder="1"/>
    <xf numFmtId="10" fontId="29" fillId="0" borderId="11" xfId="0" applyNumberFormat="1" applyFont="1" applyBorder="1"/>
    <xf numFmtId="164" fontId="14" fillId="0" borderId="0" xfId="0" applyNumberFormat="1" applyFont="1"/>
    <xf numFmtId="164" fontId="16" fillId="0" borderId="0" xfId="0" applyNumberFormat="1" applyFont="1"/>
    <xf numFmtId="44" fontId="16" fillId="0" borderId="0" xfId="0" applyNumberFormat="1" applyFont="1"/>
    <xf numFmtId="4" fontId="53" fillId="0" borderId="0" xfId="0" applyNumberFormat="1" applyFont="1"/>
    <xf numFmtId="43" fontId="24" fillId="0" borderId="11" xfId="3" applyFont="1" applyFill="1" applyBorder="1" applyAlignment="1">
      <alignment horizontal="right" vertical="center" wrapText="1" readingOrder="1"/>
    </xf>
    <xf numFmtId="0" fontId="16" fillId="0" borderId="11" xfId="0" applyFont="1" applyBorder="1" applyAlignment="1">
      <alignment horizontal="center"/>
    </xf>
    <xf numFmtId="4" fontId="24" fillId="19" borderId="11" xfId="0" applyNumberFormat="1" applyFont="1" applyFill="1" applyBorder="1" applyAlignment="1">
      <alignment horizontal="right" vertical="center" wrapText="1" readingOrder="1"/>
    </xf>
    <xf numFmtId="0" fontId="16" fillId="0" borderId="12" xfId="0" applyFont="1" applyBorder="1" applyAlignment="1">
      <alignment horizontal="center"/>
    </xf>
    <xf numFmtId="0" fontId="16" fillId="27" borderId="11" xfId="0" applyFont="1" applyFill="1" applyBorder="1" applyAlignment="1">
      <alignment horizontal="right"/>
    </xf>
    <xf numFmtId="43" fontId="16" fillId="27" borderId="11" xfId="0" applyNumberFormat="1" applyFont="1" applyFill="1" applyBorder="1"/>
    <xf numFmtId="43" fontId="14" fillId="3" borderId="0" xfId="0" applyNumberFormat="1" applyFont="1" applyFill="1"/>
    <xf numFmtId="43" fontId="14" fillId="3" borderId="11" xfId="3" applyFont="1" applyFill="1" applyBorder="1"/>
    <xf numFmtId="43" fontId="54" fillId="0" borderId="0" xfId="3" applyFont="1" applyAlignment="1">
      <alignment horizontal="left" vertical="top"/>
    </xf>
    <xf numFmtId="4" fontId="54" fillId="0" borderId="0" xfId="0" applyNumberFormat="1" applyFont="1"/>
    <xf numFmtId="4" fontId="55" fillId="0" borderId="0" xfId="0" applyNumberFormat="1" applyFont="1"/>
    <xf numFmtId="43" fontId="14" fillId="21" borderId="11" xfId="3" applyFont="1" applyFill="1" applyBorder="1"/>
    <xf numFmtId="43" fontId="17" fillId="0" borderId="11" xfId="3" applyFont="1" applyFill="1" applyBorder="1"/>
    <xf numFmtId="4" fontId="24" fillId="26" borderId="11" xfId="0" applyNumberFormat="1" applyFont="1" applyFill="1" applyBorder="1" applyAlignment="1">
      <alignment horizontal="right" vertical="center" wrapText="1" readingOrder="1"/>
    </xf>
    <xf numFmtId="10" fontId="14" fillId="0" borderId="11" xfId="2" applyNumberFormat="1" applyFont="1" applyFill="1" applyBorder="1"/>
    <xf numFmtId="10" fontId="0" fillId="0" borderId="0" xfId="2" applyNumberFormat="1" applyFont="1"/>
    <xf numFmtId="10" fontId="16" fillId="0" borderId="0" xfId="2" applyNumberFormat="1" applyFont="1"/>
    <xf numFmtId="0" fontId="16" fillId="16" borderId="12" xfId="0" applyFont="1" applyFill="1" applyBorder="1" applyAlignment="1">
      <alignment horizontal="center" wrapText="1"/>
    </xf>
    <xf numFmtId="0" fontId="16" fillId="16" borderId="16" xfId="0" applyFont="1" applyFill="1" applyBorder="1" applyAlignment="1">
      <alignment horizontal="center" wrapText="1"/>
    </xf>
    <xf numFmtId="0" fontId="16" fillId="16" borderId="13" xfId="0" applyFont="1" applyFill="1" applyBorder="1" applyAlignment="1">
      <alignment horizontal="center" wrapText="1"/>
    </xf>
    <xf numFmtId="0" fontId="28" fillId="5" borderId="20" xfId="0" applyFont="1" applyFill="1" applyBorder="1" applyAlignment="1">
      <alignment horizontal="center" vertical="center"/>
    </xf>
    <xf numFmtId="0" fontId="27" fillId="9" borderId="11" xfId="0" applyFont="1" applyFill="1" applyBorder="1" applyAlignment="1">
      <alignment horizontal="center"/>
    </xf>
    <xf numFmtId="0" fontId="40" fillId="17" borderId="37" xfId="0" applyFont="1" applyFill="1" applyBorder="1" applyAlignment="1">
      <alignment horizontal="center" vertical="center"/>
    </xf>
    <xf numFmtId="0" fontId="40" fillId="17" borderId="3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4" fillId="0" borderId="11" xfId="0" applyFont="1" applyBorder="1" applyAlignment="1">
      <alignment horizontal="center"/>
    </xf>
    <xf numFmtId="0" fontId="16" fillId="16" borderId="12" xfId="0" applyFont="1" applyFill="1" applyBorder="1" applyAlignment="1">
      <alignment horizontal="center"/>
    </xf>
    <xf numFmtId="0" fontId="16" fillId="16" borderId="13" xfId="0" applyFont="1" applyFill="1" applyBorder="1" applyAlignment="1">
      <alignment horizontal="center"/>
    </xf>
    <xf numFmtId="0" fontId="16" fillId="16" borderId="12" xfId="0" applyFont="1" applyFill="1" applyBorder="1" applyAlignment="1">
      <alignment horizontal="center" wrapText="1"/>
    </xf>
    <xf numFmtId="0" fontId="16" fillId="16" borderId="16" xfId="0" applyFont="1" applyFill="1" applyBorder="1" applyAlignment="1">
      <alignment horizontal="center" wrapText="1"/>
    </xf>
    <xf numFmtId="0" fontId="16" fillId="16" borderId="13" xfId="0" applyFont="1" applyFill="1" applyBorder="1" applyAlignment="1">
      <alignment horizontal="center" wrapText="1"/>
    </xf>
    <xf numFmtId="0" fontId="16" fillId="6" borderId="5" xfId="0" applyFont="1" applyFill="1" applyBorder="1" applyAlignment="1">
      <alignment horizontal="center" vertical="center"/>
    </xf>
    <xf numFmtId="0" fontId="16" fillId="6" borderId="9" xfId="0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/>
    </xf>
    <xf numFmtId="43" fontId="14" fillId="0" borderId="11" xfId="3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6" fillId="4" borderId="17" xfId="0" applyFont="1" applyFill="1" applyBorder="1" applyAlignment="1">
      <alignment horizontal="center" vertical="center"/>
    </xf>
    <xf numFmtId="0" fontId="16" fillId="4" borderId="42" xfId="0" applyFont="1" applyFill="1" applyBorder="1" applyAlignment="1">
      <alignment horizontal="center" vertical="center"/>
    </xf>
    <xf numFmtId="0" fontId="16" fillId="4" borderId="43" xfId="0" applyFont="1" applyFill="1" applyBorder="1" applyAlignment="1">
      <alignment horizontal="center" vertical="center"/>
    </xf>
    <xf numFmtId="0" fontId="16" fillId="4" borderId="44" xfId="0" applyFont="1" applyFill="1" applyBorder="1" applyAlignment="1">
      <alignment horizontal="center" vertical="center"/>
    </xf>
    <xf numFmtId="0" fontId="16" fillId="4" borderId="4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 wrapText="1"/>
    </xf>
    <xf numFmtId="4" fontId="14" fillId="0" borderId="14" xfId="0" applyNumberFormat="1" applyFont="1" applyBorder="1" applyAlignment="1">
      <alignment horizontal="center" vertical="center"/>
    </xf>
    <xf numFmtId="4" fontId="14" fillId="0" borderId="47" xfId="0" applyNumberFormat="1" applyFont="1" applyBorder="1" applyAlignment="1">
      <alignment horizontal="center" vertical="center"/>
    </xf>
    <xf numFmtId="4" fontId="14" fillId="0" borderId="15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44" fillId="5" borderId="22" xfId="0" applyFont="1" applyFill="1" applyBorder="1" applyAlignment="1">
      <alignment horizontal="center"/>
    </xf>
    <xf numFmtId="0" fontId="44" fillId="5" borderId="28" xfId="0" applyFont="1" applyFill="1" applyBorder="1" applyAlignment="1">
      <alignment horizontal="center"/>
    </xf>
    <xf numFmtId="0" fontId="2" fillId="0" borderId="22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2" fillId="5" borderId="30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31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39" fillId="18" borderId="5" xfId="0" applyFont="1" applyFill="1" applyBorder="1" applyAlignment="1">
      <alignment horizontal="center" vertical="center"/>
    </xf>
    <xf numFmtId="0" fontId="39" fillId="18" borderId="9" xfId="0" applyFont="1" applyFill="1" applyBorder="1" applyAlignment="1">
      <alignment horizontal="center" vertical="center"/>
    </xf>
    <xf numFmtId="0" fontId="39" fillId="18" borderId="6" xfId="0" applyFont="1" applyFill="1" applyBorder="1" applyAlignment="1">
      <alignment horizontal="center" vertical="center"/>
    </xf>
    <xf numFmtId="0" fontId="37" fillId="5" borderId="17" xfId="0" applyFont="1" applyFill="1" applyBorder="1" applyAlignment="1">
      <alignment horizontal="center" vertical="center"/>
    </xf>
    <xf numFmtId="0" fontId="37" fillId="5" borderId="19" xfId="0" applyFont="1" applyFill="1" applyBorder="1" applyAlignment="1">
      <alignment horizontal="center" vertical="center"/>
    </xf>
    <xf numFmtId="0" fontId="28" fillId="5" borderId="15" xfId="0" applyFont="1" applyFill="1" applyBorder="1" applyAlignment="1">
      <alignment horizontal="center" vertical="center"/>
    </xf>
    <xf numFmtId="0" fontId="28" fillId="5" borderId="20" xfId="0" applyFont="1" applyFill="1" applyBorder="1" applyAlignment="1">
      <alignment horizontal="center" vertical="center"/>
    </xf>
    <xf numFmtId="0" fontId="28" fillId="5" borderId="15" xfId="0" applyFont="1" applyFill="1" applyBorder="1" applyAlignment="1">
      <alignment horizontal="center" vertical="center" wrapText="1"/>
    </xf>
    <xf numFmtId="0" fontId="28" fillId="5" borderId="20" xfId="0" applyFont="1" applyFill="1" applyBorder="1" applyAlignment="1">
      <alignment horizontal="center" vertical="center" wrapText="1"/>
    </xf>
    <xf numFmtId="0" fontId="28" fillId="5" borderId="18" xfId="0" applyFont="1" applyFill="1" applyBorder="1" applyAlignment="1">
      <alignment horizontal="center" vertical="center"/>
    </xf>
    <xf numFmtId="0" fontId="6" fillId="4" borderId="37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horizontal="center" vertical="center"/>
    </xf>
    <xf numFmtId="0" fontId="6" fillId="19" borderId="2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2" fontId="2" fillId="19" borderId="8" xfId="0" applyNumberFormat="1" applyFont="1" applyFill="1" applyBorder="1" applyAlignment="1">
      <alignment horizontal="center" vertical="center"/>
    </xf>
    <xf numFmtId="2" fontId="2" fillId="19" borderId="1" xfId="0" applyNumberFormat="1" applyFont="1" applyFill="1" applyBorder="1" applyAlignment="1">
      <alignment horizontal="center" vertical="center"/>
    </xf>
    <xf numFmtId="2" fontId="2" fillId="4" borderId="22" xfId="0" applyNumberFormat="1" applyFont="1" applyFill="1" applyBorder="1" applyAlignment="1">
      <alignment horizontal="center"/>
    </xf>
    <xf numFmtId="2" fontId="2" fillId="4" borderId="23" xfId="0" applyNumberFormat="1" applyFont="1" applyFill="1" applyBorder="1" applyAlignment="1">
      <alignment horizontal="center"/>
    </xf>
    <xf numFmtId="43" fontId="31" fillId="0" borderId="40" xfId="3" applyFont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3" fillId="8" borderId="16" xfId="0" applyFont="1" applyFill="1" applyBorder="1" applyAlignment="1">
      <alignment horizontal="center"/>
    </xf>
    <xf numFmtId="0" fontId="13" fillId="8" borderId="13" xfId="0" applyFont="1" applyFill="1" applyBorder="1" applyAlignment="1">
      <alignment horizontal="center"/>
    </xf>
    <xf numFmtId="0" fontId="45" fillId="15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4" fontId="13" fillId="5" borderId="14" xfId="3" applyNumberFormat="1" applyFont="1" applyFill="1" applyBorder="1" applyAlignment="1" applyProtection="1">
      <alignment horizontal="center" vertical="center"/>
      <protection locked="0"/>
    </xf>
    <xf numFmtId="4" fontId="13" fillId="5" borderId="15" xfId="3" applyNumberFormat="1" applyFont="1" applyFill="1" applyBorder="1" applyAlignment="1" applyProtection="1">
      <alignment horizontal="center" vertical="center"/>
      <protection locked="0"/>
    </xf>
    <xf numFmtId="0" fontId="28" fillId="5" borderId="11" xfId="0" applyFont="1" applyFill="1" applyBorder="1" applyAlignment="1">
      <alignment horizontal="center"/>
    </xf>
    <xf numFmtId="0" fontId="28" fillId="5" borderId="12" xfId="0" applyFont="1" applyFill="1" applyBorder="1" applyAlignment="1">
      <alignment horizontal="center"/>
    </xf>
    <xf numFmtId="0" fontId="28" fillId="5" borderId="1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46" xfId="0" applyFont="1" applyBorder="1" applyAlignment="1">
      <alignment horizontal="center"/>
    </xf>
    <xf numFmtId="0" fontId="5" fillId="0" borderId="0" xfId="0" applyFont="1" applyAlignment="1">
      <alignment horizontal="left" vertical="justify" wrapText="1"/>
    </xf>
    <xf numFmtId="0" fontId="28" fillId="20" borderId="12" xfId="0" applyFont="1" applyFill="1" applyBorder="1" applyAlignment="1">
      <alignment horizontal="center"/>
    </xf>
    <xf numFmtId="0" fontId="28" fillId="20" borderId="13" xfId="0" applyFont="1" applyFill="1" applyBorder="1" applyAlignment="1">
      <alignment horizontal="center"/>
    </xf>
    <xf numFmtId="0" fontId="28" fillId="15" borderId="12" xfId="0" applyFont="1" applyFill="1" applyBorder="1" applyAlignment="1">
      <alignment horizontal="center"/>
    </xf>
    <xf numFmtId="0" fontId="28" fillId="15" borderId="16" xfId="0" applyFont="1" applyFill="1" applyBorder="1" applyAlignment="1">
      <alignment horizontal="center"/>
    </xf>
    <xf numFmtId="0" fontId="28" fillId="15" borderId="12" xfId="0" applyFont="1" applyFill="1" applyBorder="1" applyAlignment="1">
      <alignment horizontal="center" wrapText="1"/>
    </xf>
    <xf numFmtId="0" fontId="28" fillId="15" borderId="16" xfId="0" applyFont="1" applyFill="1" applyBorder="1" applyAlignment="1">
      <alignment horizontal="center" wrapText="1"/>
    </xf>
    <xf numFmtId="0" fontId="28" fillId="15" borderId="13" xfId="0" applyFont="1" applyFill="1" applyBorder="1" applyAlignment="1">
      <alignment horizontal="center" wrapText="1"/>
    </xf>
    <xf numFmtId="44" fontId="29" fillId="15" borderId="11" xfId="1" applyFont="1" applyFill="1" applyBorder="1" applyAlignment="1">
      <alignment horizontal="left" wrapText="1"/>
    </xf>
    <xf numFmtId="44" fontId="29" fillId="15" borderId="11" xfId="1" applyFont="1" applyFill="1" applyBorder="1" applyAlignment="1">
      <alignment horizontal="left"/>
    </xf>
    <xf numFmtId="44" fontId="28" fillId="15" borderId="11" xfId="1" applyFont="1" applyFill="1" applyBorder="1" applyAlignment="1">
      <alignment horizontal="left"/>
    </xf>
    <xf numFmtId="0" fontId="28" fillId="20" borderId="11" xfId="0" applyFont="1" applyFill="1" applyBorder="1" applyAlignment="1">
      <alignment horizontal="center"/>
    </xf>
    <xf numFmtId="0" fontId="29" fillId="0" borderId="11" xfId="0" applyFont="1" applyBorder="1" applyAlignment="1">
      <alignment horizontal="left" vertical="top" wrapText="1"/>
    </xf>
    <xf numFmtId="0" fontId="28" fillId="4" borderId="11" xfId="0" applyFont="1" applyFill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3">
    <cellStyle name="Hiperlink" xfId="4" builtinId="8"/>
    <cellStyle name="Moeda" xfId="1" builtinId="4"/>
    <cellStyle name="Normal" xfId="0" builtinId="0"/>
    <cellStyle name="Normal 2" xfId="5" xr:uid="{00000000-0005-0000-0000-000003000000}"/>
    <cellStyle name="Normal 3" xfId="11" xr:uid="{FEA4D435-4B88-49A6-AB8E-401CFE0EF770}"/>
    <cellStyle name="Porcentagem" xfId="2" builtinId="5"/>
    <cellStyle name="Porcentagem 2" xfId="7" xr:uid="{00000000-0005-0000-0000-000005000000}"/>
    <cellStyle name="Porcentagem 3" xfId="6" xr:uid="{00000000-0005-0000-0000-000006000000}"/>
    <cellStyle name="Vírgula" xfId="3" builtinId="3"/>
    <cellStyle name="Vírgula 2" xfId="9" xr:uid="{00000000-0005-0000-0000-000008000000}"/>
    <cellStyle name="Vírgula 3" xfId="8" xr:uid="{00000000-0005-0000-0000-000009000000}"/>
    <cellStyle name="Vírgula 4" xfId="10" xr:uid="{00000000-0005-0000-0000-00000A000000}"/>
    <cellStyle name="Vírgula 5" xfId="12" xr:uid="{7AA433E1-C8EE-409C-81EF-75D2B217C053}"/>
  </cellStyles>
  <dxfs count="2"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006600"/>
      <color rgb="FFCCFF33"/>
      <color rgb="FF00CC99"/>
      <color rgb="FFEF01EF"/>
      <color rgb="FFEA1C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3228975</xdr:colOff>
      <xdr:row>36</xdr:row>
      <xdr:rowOff>112211</xdr:rowOff>
    </xdr:from>
    <xdr:to>
      <xdr:col>0</xdr:col>
      <xdr:colOff>4722067</xdr:colOff>
      <xdr:row>48</xdr:row>
      <xdr:rowOff>114300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4D7EB400-9F63-4CA2-866B-221741A57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7389311"/>
          <a:ext cx="1493092" cy="1992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6010275</xdr:colOff>
      <xdr:row>0</xdr:row>
      <xdr:rowOff>28575</xdr:rowOff>
    </xdr:from>
    <xdr:to>
      <xdr:col>1</xdr:col>
      <xdr:colOff>1209676</xdr:colOff>
      <xdr:row>0</xdr:row>
      <xdr:rowOff>660308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2149C9B-69F0-4047-8F33-33F25BCF3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0275" y="28575"/>
          <a:ext cx="1552576" cy="6317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1137309</xdr:colOff>
      <xdr:row>0</xdr:row>
      <xdr:rowOff>184816</xdr:rowOff>
    </xdr:from>
    <xdr:to>
      <xdr:col>13</xdr:col>
      <xdr:colOff>641205</xdr:colOff>
      <xdr:row>0</xdr:row>
      <xdr:rowOff>1475372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746CD5-EEA0-4DD8-9A36-6E2447429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8540" y="184816"/>
          <a:ext cx="3171731" cy="1290556"/>
        </a:xfrm>
        <a:prstGeom prst="rect">
          <a:avLst/>
        </a:prstGeom>
      </xdr:spPr>
    </xdr:pic>
    <xdr:clientData/>
  </xdr:twoCellAnchor>
  <xdr:twoCellAnchor editAs="oneCell">
    <xdr:from>
      <xdr:col>0</xdr:col>
      <xdr:colOff>85296</xdr:colOff>
      <xdr:row>0</xdr:row>
      <xdr:rowOff>99515</xdr:rowOff>
    </xdr:from>
    <xdr:to>
      <xdr:col>1</xdr:col>
      <xdr:colOff>966713</xdr:colOff>
      <xdr:row>0</xdr:row>
      <xdr:rowOff>1450075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2BCD8D7-6113-4C02-AD47-91D6B67BDE36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1" t="36043" r="17637" b="37398"/>
        <a:stretch/>
      </xdr:blipFill>
      <xdr:spPr bwMode="auto">
        <a:xfrm>
          <a:off x="85296" y="99515"/>
          <a:ext cx="4620335" cy="135056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201083</xdr:colOff>
      <xdr:row>0</xdr:row>
      <xdr:rowOff>42334</xdr:rowOff>
    </xdr:from>
    <xdr:to>
      <xdr:col>0</xdr:col>
      <xdr:colOff>857250</xdr:colOff>
      <xdr:row>3</xdr:row>
      <xdr:rowOff>96523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5A9BD76-8830-462D-ADE8-D2C2630D6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83" y="42334"/>
          <a:ext cx="656167" cy="657439"/>
        </a:xfrm>
        <a:prstGeom prst="rect">
          <a:avLst/>
        </a:prstGeom>
      </xdr:spPr>
    </xdr:pic>
    <xdr:clientData/>
  </xdr:twoCellAnchor>
  <xdr:oneCellAnchor>
    <xdr:from>
      <xdr:col>0</xdr:col>
      <xdr:colOff>201083</xdr:colOff>
      <xdr:row>90</xdr:row>
      <xdr:rowOff>42334</xdr:rowOff>
    </xdr:from>
    <xdr:ext cx="656167" cy="657439"/>
    <xdr:pic>
      <xdr:nvPicPr>
        <xdr:cNvPr id="4" name="Imagem 3">
          <a:extLst>
            <a:ext uri="{FF2B5EF4-FFF2-40B4-BE49-F238E27FC236}">
              <a16:creationId xmlns:a16="http://schemas.microsoft.com/office/drawing/2014/main" id="{7270B224-6DCD-4FF4-BFC2-DA8648CA9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83" y="42334"/>
          <a:ext cx="656167" cy="657439"/>
        </a:xfrm>
        <a:prstGeom prst="rect">
          <a:avLst/>
        </a:prstGeom>
      </xdr:spPr>
    </xdr:pic>
    <xdr:clientData/>
  </xdr:oneCellAnchor>
  <xdr:oneCellAnchor>
    <xdr:from>
      <xdr:col>0</xdr:col>
      <xdr:colOff>201083</xdr:colOff>
      <xdr:row>43</xdr:row>
      <xdr:rowOff>42334</xdr:rowOff>
    </xdr:from>
    <xdr:ext cx="656167" cy="657439"/>
    <xdr:pic>
      <xdr:nvPicPr>
        <xdr:cNvPr id="5" name="Imagem 4">
          <a:extLst>
            <a:ext uri="{FF2B5EF4-FFF2-40B4-BE49-F238E27FC236}">
              <a16:creationId xmlns:a16="http://schemas.microsoft.com/office/drawing/2014/main" id="{B294FED6-1BAA-4F9E-9AA0-60D34A5FE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83" y="9122834"/>
          <a:ext cx="656167" cy="657439"/>
        </a:xfrm>
        <a:prstGeom prst="rect">
          <a:avLst/>
        </a:prstGeom>
      </xdr:spPr>
    </xdr:pic>
    <xdr:clientData/>
  </xdr:oneCellAnchor>
  <xdr:twoCellAnchor>
    <xdr:from>
      <xdr:col>0</xdr:col>
      <xdr:colOff>1185333</xdr:colOff>
      <xdr:row>63</xdr:row>
      <xdr:rowOff>95251</xdr:rowOff>
    </xdr:from>
    <xdr:to>
      <xdr:col>0</xdr:col>
      <xdr:colOff>3139666</xdr:colOff>
      <xdr:row>78</xdr:row>
      <xdr:rowOff>95250</xdr:rowOff>
    </xdr:to>
    <xdr:pic>
      <xdr:nvPicPr>
        <xdr:cNvPr id="6" name="Imagem 2">
          <a:extLst>
            <a:ext uri="{FF2B5EF4-FFF2-40B4-BE49-F238E27FC236}">
              <a16:creationId xmlns:a16="http://schemas.microsoft.com/office/drawing/2014/main" id="{EA0FFAD5-F58C-47BD-8DF2-3C336D009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333" y="13197418"/>
          <a:ext cx="1954333" cy="3037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1428750</xdr:colOff>
      <xdr:row>21</xdr:row>
      <xdr:rowOff>105834</xdr:rowOff>
    </xdr:from>
    <xdr:to>
      <xdr:col>0</xdr:col>
      <xdr:colOff>3438525</xdr:colOff>
      <xdr:row>34</xdr:row>
      <xdr:rowOff>43393</xdr:rowOff>
    </xdr:to>
    <xdr:pic>
      <xdr:nvPicPr>
        <xdr:cNvPr id="7" name="Imagem 2">
          <a:extLst>
            <a:ext uri="{FF2B5EF4-FFF2-40B4-BE49-F238E27FC236}">
              <a16:creationId xmlns:a16="http://schemas.microsoft.com/office/drawing/2014/main" id="{B42AEFC6-02C4-4A8F-80AB-44CFCC214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635501"/>
          <a:ext cx="2009775" cy="2678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WebForm_DoPostBackWithOptions(new%20WebForm_PostBackOptions(%22ctl00$ContentPlaceHolder1$gdvLicitacao$ctl04$lbkProcessoLicitatorio%22,%20%22%22,%20true,%20%22%22,%20%22%22,%20false,%20true))" TargetMode="External"/><Relationship Id="rId2" Type="http://schemas.openxmlformats.org/officeDocument/2006/relationships/hyperlink" Target="javascript:WebForm_DoPostBackWithOptions(new%20WebForm_PostBackOptions(%22ctl00$ContentPlaceHolder1$gdvLicitacao$ctl03$lbkProcessoLicitatorio%22,%20%22%22,%20true,%20%22%22,%20%22%22,%20false,%20true))" TargetMode="External"/><Relationship Id="rId1" Type="http://schemas.openxmlformats.org/officeDocument/2006/relationships/hyperlink" Target="javascript:WebForm_DoPostBackWithOptions(new%20WebForm_PostBackOptions(%22ctl00$ContentPlaceHolder1$gdvLicitacao$ctl02$lbkProcessoLicitatorio%22,%20%22%22,%20true,%20%22%22,%20%22%22,%20false,%20true))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javascript:WebForm_DoPostBackWithOptions(new%20WebForm_PostBackOptions(%22ctl00$ContentPlaceHolder1$gdvLicitacao$ctl06$lbkProcessoLicitatorio%22,%20%22%22,%20true,%20%22%22,%20%22%22,%20false,%20true))" TargetMode="External"/><Relationship Id="rId4" Type="http://schemas.openxmlformats.org/officeDocument/2006/relationships/hyperlink" Target="javascript:WebForm_DoPostBackWithOptions(new%20WebForm_PostBackOptions(%22ctl00$ContentPlaceHolder1$gdvLicitacao$ctl05$lbkProcessoLicitatorio%22,%20%22%22,%20true,%20%22%22,%20%22%22,%20false,%20true)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45"/>
  <sheetViews>
    <sheetView topLeftCell="E122" zoomScale="85" zoomScaleNormal="85" workbookViewId="0">
      <selection activeCell="N137" sqref="N137"/>
    </sheetView>
  </sheetViews>
  <sheetFormatPr defaultColWidth="13.42578125" defaultRowHeight="12.75" x14ac:dyDescent="0.2"/>
  <cols>
    <col min="1" max="1" width="71" style="119" customWidth="1"/>
    <col min="2" max="5" width="18.85546875" style="119" customWidth="1"/>
    <col min="6" max="15" width="15.5703125" style="119" customWidth="1"/>
    <col min="16" max="16" width="15.5703125" style="167" customWidth="1"/>
    <col min="17" max="17" width="10.85546875" style="119" bestFit="1" customWidth="1"/>
    <col min="18" max="18" width="81" style="119" customWidth="1"/>
    <col min="19" max="19" width="21.5703125" style="119" customWidth="1"/>
    <col min="20" max="16384" width="13.42578125" style="119"/>
  </cols>
  <sheetData>
    <row r="1" spans="1:17" s="72" customFormat="1" ht="15.75" x14ac:dyDescent="0.25">
      <c r="A1" s="422" t="s">
        <v>321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P1" s="254"/>
    </row>
    <row r="2" spans="1:17" s="126" customFormat="1" ht="15" x14ac:dyDescent="0.2">
      <c r="A2" s="116" t="s">
        <v>79</v>
      </c>
      <c r="B2" s="116" t="s">
        <v>67</v>
      </c>
      <c r="C2" s="116" t="s">
        <v>68</v>
      </c>
      <c r="D2" s="116" t="s">
        <v>69</v>
      </c>
      <c r="E2" s="116" t="s">
        <v>70</v>
      </c>
      <c r="F2" s="116" t="s">
        <v>71</v>
      </c>
      <c r="G2" s="116" t="s">
        <v>72</v>
      </c>
      <c r="H2" s="116" t="s">
        <v>73</v>
      </c>
      <c r="I2" s="116" t="s">
        <v>74</v>
      </c>
      <c r="J2" s="116" t="s">
        <v>75</v>
      </c>
      <c r="K2" s="116" t="s">
        <v>76</v>
      </c>
      <c r="L2" s="116" t="s">
        <v>77</v>
      </c>
      <c r="M2" s="116" t="s">
        <v>78</v>
      </c>
      <c r="N2" s="116" t="s">
        <v>88</v>
      </c>
      <c r="P2" s="52"/>
    </row>
    <row r="3" spans="1:17" x14ac:dyDescent="0.2">
      <c r="A3" s="117" t="s">
        <v>287</v>
      </c>
      <c r="B3" s="258">
        <f>SUM(B4:B11)</f>
        <v>0</v>
      </c>
      <c r="C3" s="258">
        <f t="shared" ref="C3:H3" si="0">SUM(C4:C11)</f>
        <v>0</v>
      </c>
      <c r="D3" s="258">
        <f t="shared" si="0"/>
        <v>0</v>
      </c>
      <c r="E3" s="258">
        <f t="shared" si="0"/>
        <v>0</v>
      </c>
      <c r="F3" s="258">
        <f t="shared" si="0"/>
        <v>0</v>
      </c>
      <c r="G3" s="258">
        <f t="shared" si="0"/>
        <v>0</v>
      </c>
      <c r="H3" s="258">
        <f t="shared" si="0"/>
        <v>0</v>
      </c>
      <c r="I3" s="258">
        <f>SUM(I4:I11)</f>
        <v>2746533.1399999997</v>
      </c>
      <c r="J3" s="258">
        <f t="shared" ref="J3:M3" si="1">SUM(J4:J11)</f>
        <v>291574.74</v>
      </c>
      <c r="K3" s="258">
        <f t="shared" si="1"/>
        <v>265985.27</v>
      </c>
      <c r="L3" s="258">
        <f t="shared" si="1"/>
        <v>322420.08</v>
      </c>
      <c r="M3" s="258">
        <f t="shared" si="1"/>
        <v>852782.7</v>
      </c>
      <c r="N3" s="258">
        <f>SUM(N4:N11)</f>
        <v>4479295.93</v>
      </c>
    </row>
    <row r="4" spans="1:17" x14ac:dyDescent="0.2">
      <c r="A4" s="129" t="s">
        <v>80</v>
      </c>
      <c r="B4" s="173"/>
      <c r="C4" s="173"/>
      <c r="D4" s="173"/>
      <c r="E4" s="173"/>
      <c r="F4" s="173"/>
      <c r="G4" s="173"/>
      <c r="H4" s="173"/>
      <c r="I4" s="259">
        <v>149632.01</v>
      </c>
      <c r="J4" s="173">
        <v>13400.33</v>
      </c>
      <c r="K4" s="173">
        <v>12326.22</v>
      </c>
      <c r="L4" s="259">
        <v>18988.72</v>
      </c>
      <c r="M4" s="259">
        <v>52981.66</v>
      </c>
      <c r="N4" s="259">
        <f t="shared" ref="N4:N11" si="2">SUM(B4:M4)</f>
        <v>247328.94</v>
      </c>
    </row>
    <row r="5" spans="1:17" x14ac:dyDescent="0.2">
      <c r="A5" s="129" t="s">
        <v>81</v>
      </c>
      <c r="B5" s="173"/>
      <c r="C5" s="173"/>
      <c r="D5" s="173"/>
      <c r="E5" s="173"/>
      <c r="F5" s="173"/>
      <c r="G5" s="173"/>
      <c r="H5" s="173"/>
      <c r="I5" s="259">
        <v>174935.91</v>
      </c>
      <c r="J5" s="173">
        <v>17596.72</v>
      </c>
      <c r="K5" s="173">
        <v>19212.400000000001</v>
      </c>
      <c r="L5" s="259">
        <f>33095.31+212.58</f>
        <v>33307.89</v>
      </c>
      <c r="M5" s="259">
        <v>101244.1</v>
      </c>
      <c r="N5" s="259">
        <f t="shared" si="2"/>
        <v>346297.02</v>
      </c>
    </row>
    <row r="6" spans="1:17" x14ac:dyDescent="0.2">
      <c r="A6" s="129" t="s">
        <v>82</v>
      </c>
      <c r="B6" s="173"/>
      <c r="C6" s="173"/>
      <c r="D6" s="173"/>
      <c r="E6" s="173"/>
      <c r="F6" s="173"/>
      <c r="G6" s="173"/>
      <c r="H6" s="173"/>
      <c r="I6" s="259">
        <v>185172.47</v>
      </c>
      <c r="J6" s="173">
        <v>15744.38</v>
      </c>
      <c r="K6" s="173">
        <v>5121.8599999999997</v>
      </c>
      <c r="L6" s="259">
        <v>113872.5</v>
      </c>
      <c r="M6" s="259">
        <v>17765.62</v>
      </c>
      <c r="N6" s="259">
        <f t="shared" si="2"/>
        <v>337676.82999999996</v>
      </c>
      <c r="O6" s="168"/>
    </row>
    <row r="7" spans="1:17" x14ac:dyDescent="0.2">
      <c r="A7" s="129" t="s">
        <v>83</v>
      </c>
      <c r="B7" s="173"/>
      <c r="C7" s="173"/>
      <c r="D7" s="173"/>
      <c r="E7" s="173"/>
      <c r="F7" s="173"/>
      <c r="G7" s="173"/>
      <c r="H7" s="173"/>
      <c r="I7" s="259">
        <v>483358.5</v>
      </c>
      <c r="J7" s="173">
        <v>9594.3700000000008</v>
      </c>
      <c r="K7" s="173">
        <v>9594.3700000000008</v>
      </c>
      <c r="L7" s="259">
        <v>9594.3700000000008</v>
      </c>
      <c r="M7" s="259">
        <v>326999.78000000003</v>
      </c>
      <c r="N7" s="259">
        <f t="shared" si="2"/>
        <v>839141.39</v>
      </c>
      <c r="O7" s="168"/>
      <c r="Q7" s="121"/>
    </row>
    <row r="8" spans="1:17" x14ac:dyDescent="0.2">
      <c r="A8" s="130" t="s">
        <v>169</v>
      </c>
      <c r="B8" s="173"/>
      <c r="C8" s="173"/>
      <c r="D8" s="173"/>
      <c r="E8" s="173"/>
      <c r="F8" s="173"/>
      <c r="G8" s="173"/>
      <c r="H8" s="173"/>
      <c r="I8" s="259">
        <f>223705.57+484.54</f>
        <v>224190.11000000002</v>
      </c>
      <c r="J8" s="173">
        <v>22290.400000000001</v>
      </c>
      <c r="K8" s="173">
        <v>33345.620000000003</v>
      </c>
      <c r="L8" s="259">
        <v>18026.7</v>
      </c>
      <c r="M8" s="259">
        <f>703.09</f>
        <v>703.09</v>
      </c>
      <c r="N8" s="259">
        <f t="shared" si="2"/>
        <v>298555.92000000004</v>
      </c>
      <c r="P8" s="119"/>
    </row>
    <row r="9" spans="1:17" ht="12.75" customHeight="1" x14ac:dyDescent="0.2">
      <c r="A9" s="119" t="s">
        <v>84</v>
      </c>
      <c r="B9" s="173"/>
      <c r="C9" s="173"/>
      <c r="D9" s="173"/>
      <c r="E9" s="173"/>
      <c r="F9" s="173"/>
      <c r="G9" s="173"/>
      <c r="H9" s="173"/>
      <c r="I9" s="259">
        <v>413502.88</v>
      </c>
      <c r="J9" s="173">
        <v>77408.14</v>
      </c>
      <c r="K9" s="173">
        <v>59544.82</v>
      </c>
      <c r="L9" s="259">
        <v>68590.69</v>
      </c>
      <c r="M9" s="259">
        <v>51621.67</v>
      </c>
      <c r="N9" s="259">
        <f t="shared" si="2"/>
        <v>670668.20000000007</v>
      </c>
      <c r="O9" s="123"/>
      <c r="P9" s="119"/>
    </row>
    <row r="10" spans="1:17" x14ac:dyDescent="0.2">
      <c r="A10" s="129" t="s">
        <v>63</v>
      </c>
      <c r="B10" s="259"/>
      <c r="C10" s="259"/>
      <c r="D10" s="259"/>
      <c r="E10" s="259"/>
      <c r="F10" s="173"/>
      <c r="G10" s="173"/>
      <c r="H10" s="173"/>
      <c r="I10" s="259">
        <v>430300.06</v>
      </c>
      <c r="J10" s="173">
        <v>47107.53</v>
      </c>
      <c r="K10" s="173">
        <v>37318.21</v>
      </c>
      <c r="L10" s="259">
        <v>29385.89</v>
      </c>
      <c r="M10" s="259">
        <v>33588.480000000003</v>
      </c>
      <c r="N10" s="259">
        <f t="shared" si="2"/>
        <v>577700.16999999993</v>
      </c>
      <c r="O10" s="123"/>
      <c r="P10" s="119"/>
    </row>
    <row r="11" spans="1:17" x14ac:dyDescent="0.2">
      <c r="A11" s="129" t="s">
        <v>288</v>
      </c>
      <c r="B11" s="259"/>
      <c r="C11" s="259"/>
      <c r="D11" s="259"/>
      <c r="E11" s="259"/>
      <c r="F11" s="173"/>
      <c r="G11" s="173"/>
      <c r="H11" s="173"/>
      <c r="I11" s="259">
        <v>685441.2</v>
      </c>
      <c r="J11" s="173">
        <v>88432.87</v>
      </c>
      <c r="K11" s="173">
        <v>89521.77</v>
      </c>
      <c r="L11" s="259">
        <v>30653.32</v>
      </c>
      <c r="M11" s="259">
        <v>267878.3</v>
      </c>
      <c r="N11" s="259">
        <f t="shared" si="2"/>
        <v>1161927.46</v>
      </c>
      <c r="O11" s="123"/>
      <c r="P11" s="119"/>
    </row>
    <row r="12" spans="1:17" ht="6.75" customHeight="1" x14ac:dyDescent="0.2"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23"/>
      <c r="P12" s="119"/>
    </row>
    <row r="13" spans="1:17" x14ac:dyDescent="0.2">
      <c r="A13" s="117" t="s">
        <v>0</v>
      </c>
      <c r="B13" s="258">
        <f>SUM(B14:B34)</f>
        <v>0</v>
      </c>
      <c r="C13" s="258">
        <f t="shared" ref="C13:M13" si="3">SUM(C14:C34)</f>
        <v>0</v>
      </c>
      <c r="D13" s="258">
        <f t="shared" si="3"/>
        <v>0</v>
      </c>
      <c r="E13" s="258">
        <f t="shared" si="3"/>
        <v>0</v>
      </c>
      <c r="F13" s="258">
        <f t="shared" si="3"/>
        <v>0</v>
      </c>
      <c r="G13" s="258">
        <f t="shared" si="3"/>
        <v>0</v>
      </c>
      <c r="H13" s="258">
        <f t="shared" si="3"/>
        <v>0</v>
      </c>
      <c r="I13" s="258">
        <f t="shared" si="3"/>
        <v>48632311.610000007</v>
      </c>
      <c r="J13" s="258">
        <f t="shared" si="3"/>
        <v>4771368.2900000019</v>
      </c>
      <c r="K13" s="258">
        <f t="shared" si="3"/>
        <v>5007627.8600000003</v>
      </c>
      <c r="L13" s="258">
        <f t="shared" si="3"/>
        <v>5652337.120000002</v>
      </c>
      <c r="M13" s="258">
        <f t="shared" si="3"/>
        <v>7510554.3799999999</v>
      </c>
      <c r="N13" s="258">
        <f>SUM(N14:N34)</f>
        <v>71574199.25999999</v>
      </c>
      <c r="O13" s="123"/>
      <c r="P13" s="119"/>
    </row>
    <row r="14" spans="1:17" x14ac:dyDescent="0.2">
      <c r="A14" s="124" t="s">
        <v>170</v>
      </c>
      <c r="B14" s="173"/>
      <c r="C14" s="173"/>
      <c r="D14" s="173"/>
      <c r="E14" s="173"/>
      <c r="F14" s="173"/>
      <c r="G14" s="173"/>
      <c r="H14" s="173"/>
      <c r="I14" s="122">
        <v>19447630.859999999</v>
      </c>
      <c r="J14" s="259">
        <v>2232460.33</v>
      </c>
      <c r="K14" s="173">
        <v>2124110.5</v>
      </c>
      <c r="L14" s="259">
        <v>2669620.2400000002</v>
      </c>
      <c r="M14" s="259">
        <v>2857124.61</v>
      </c>
      <c r="N14" s="259">
        <f t="shared" ref="N14:N35" si="4">SUM(B14:M14)</f>
        <v>29330946.539999999</v>
      </c>
      <c r="O14" s="123"/>
      <c r="P14" s="119"/>
    </row>
    <row r="15" spans="1:17" x14ac:dyDescent="0.2">
      <c r="A15" s="124" t="s">
        <v>256</v>
      </c>
      <c r="B15" s="173"/>
      <c r="C15" s="173"/>
      <c r="D15" s="173"/>
      <c r="E15" s="173"/>
      <c r="F15" s="173"/>
      <c r="G15" s="173"/>
      <c r="H15" s="173"/>
      <c r="I15" s="259">
        <v>1519175.45</v>
      </c>
      <c r="J15" s="259"/>
      <c r="K15" s="173"/>
      <c r="L15" s="259"/>
      <c r="M15" s="259">
        <v>1290929.8999999999</v>
      </c>
      <c r="N15" s="259">
        <f t="shared" si="4"/>
        <v>2810105.3499999996</v>
      </c>
      <c r="O15" s="123"/>
      <c r="P15" s="119"/>
    </row>
    <row r="16" spans="1:17" x14ac:dyDescent="0.2">
      <c r="A16" s="124" t="s">
        <v>173</v>
      </c>
      <c r="B16" s="173"/>
      <c r="C16" s="173"/>
      <c r="D16" s="173"/>
      <c r="E16" s="173"/>
      <c r="F16" s="173"/>
      <c r="G16" s="173"/>
      <c r="H16" s="173"/>
      <c r="I16" s="259">
        <v>10528.82</v>
      </c>
      <c r="J16" s="259">
        <v>6391</v>
      </c>
      <c r="K16" s="173">
        <v>39738.65</v>
      </c>
      <c r="L16" s="259">
        <v>3094.29</v>
      </c>
      <c r="M16" s="259">
        <v>6486.12</v>
      </c>
      <c r="N16" s="259">
        <f t="shared" si="4"/>
        <v>66238.880000000005</v>
      </c>
      <c r="P16" s="119"/>
    </row>
    <row r="17" spans="1:16" x14ac:dyDescent="0.2">
      <c r="A17" s="124" t="s">
        <v>171</v>
      </c>
      <c r="B17" s="173"/>
      <c r="C17" s="173"/>
      <c r="D17" s="173"/>
      <c r="E17" s="173"/>
      <c r="F17" s="173"/>
      <c r="G17" s="173"/>
      <c r="H17" s="173"/>
      <c r="I17" s="259">
        <v>6244655.6900000004</v>
      </c>
      <c r="J17" s="259">
        <v>692756.1</v>
      </c>
      <c r="K17" s="173">
        <v>775308.85</v>
      </c>
      <c r="L17" s="259">
        <v>811197.55</v>
      </c>
      <c r="M17" s="259">
        <v>901093.94</v>
      </c>
      <c r="N17" s="259">
        <f t="shared" si="4"/>
        <v>9425012.129999999</v>
      </c>
      <c r="P17" s="119"/>
    </row>
    <row r="18" spans="1:16" x14ac:dyDescent="0.2">
      <c r="A18" s="124" t="s">
        <v>172</v>
      </c>
      <c r="B18" s="173"/>
      <c r="C18" s="173"/>
      <c r="D18" s="173"/>
      <c r="E18" s="173"/>
      <c r="F18" s="173"/>
      <c r="G18" s="173"/>
      <c r="H18" s="173"/>
      <c r="I18" s="259">
        <v>401455.58</v>
      </c>
      <c r="J18" s="259">
        <v>46087.74</v>
      </c>
      <c r="K18" s="173">
        <v>56127.06</v>
      </c>
      <c r="L18" s="259">
        <v>52366.19</v>
      </c>
      <c r="M18" s="259">
        <v>51806.13</v>
      </c>
      <c r="N18" s="259">
        <f t="shared" si="4"/>
        <v>607842.70000000007</v>
      </c>
      <c r="P18" s="119"/>
    </row>
    <row r="19" spans="1:16" x14ac:dyDescent="0.2">
      <c r="A19" s="124" t="s">
        <v>189</v>
      </c>
      <c r="B19" s="259"/>
      <c r="C19" s="173"/>
      <c r="D19" s="173"/>
      <c r="E19" s="173"/>
      <c r="F19" s="173"/>
      <c r="G19" s="173"/>
      <c r="H19" s="173"/>
      <c r="I19" s="259">
        <v>0</v>
      </c>
      <c r="J19" s="259"/>
      <c r="K19" s="173"/>
      <c r="L19" s="259"/>
      <c r="M19" s="259"/>
      <c r="N19" s="259">
        <f t="shared" si="4"/>
        <v>0</v>
      </c>
      <c r="P19" s="119"/>
    </row>
    <row r="20" spans="1:16" x14ac:dyDescent="0.2">
      <c r="A20" s="124" t="s">
        <v>188</v>
      </c>
      <c r="B20" s="173"/>
      <c r="C20" s="173"/>
      <c r="D20" s="173"/>
      <c r="E20" s="173"/>
      <c r="F20" s="173"/>
      <c r="G20" s="173"/>
      <c r="H20" s="173"/>
      <c r="I20" s="259">
        <v>33603.75</v>
      </c>
      <c r="J20" s="259">
        <v>4204.93</v>
      </c>
      <c r="K20" s="173">
        <v>4291.4799999999996</v>
      </c>
      <c r="L20" s="259">
        <v>3120.55</v>
      </c>
      <c r="M20" s="259">
        <v>4433.67</v>
      </c>
      <c r="N20" s="259">
        <f t="shared" si="4"/>
        <v>49654.380000000005</v>
      </c>
      <c r="P20" s="119"/>
    </row>
    <row r="21" spans="1:16" x14ac:dyDescent="0.2">
      <c r="A21" s="124" t="s">
        <v>282</v>
      </c>
      <c r="B21" s="173"/>
      <c r="C21" s="173"/>
      <c r="D21" s="173"/>
      <c r="E21" s="173"/>
      <c r="F21" s="173"/>
      <c r="G21" s="173"/>
      <c r="H21" s="173"/>
      <c r="I21" s="259">
        <v>16992.16</v>
      </c>
      <c r="J21" s="259"/>
      <c r="K21" s="173">
        <v>1125.4100000000001</v>
      </c>
      <c r="L21" s="259"/>
      <c r="M21" s="259"/>
      <c r="N21" s="259">
        <f t="shared" si="4"/>
        <v>18117.57</v>
      </c>
      <c r="P21" s="119"/>
    </row>
    <row r="22" spans="1:16" x14ac:dyDescent="0.2">
      <c r="A22" s="124" t="s">
        <v>283</v>
      </c>
      <c r="B22" s="173"/>
      <c r="C22" s="173"/>
      <c r="D22" s="173"/>
      <c r="E22" s="173"/>
      <c r="F22" s="173"/>
      <c r="G22" s="173"/>
      <c r="H22" s="173"/>
      <c r="I22" s="259">
        <v>136002</v>
      </c>
      <c r="J22" s="259"/>
      <c r="K22" s="173"/>
      <c r="L22" s="259">
        <v>19206</v>
      </c>
      <c r="M22" s="259"/>
      <c r="N22" s="259">
        <f t="shared" si="4"/>
        <v>155208</v>
      </c>
      <c r="P22" s="119"/>
    </row>
    <row r="23" spans="1:16" x14ac:dyDescent="0.2">
      <c r="A23" s="124" t="s">
        <v>5</v>
      </c>
      <c r="B23" s="173"/>
      <c r="C23" s="173"/>
      <c r="D23" s="173"/>
      <c r="E23" s="173"/>
      <c r="F23" s="173"/>
      <c r="G23" s="173"/>
      <c r="H23" s="173"/>
      <c r="I23" s="259"/>
      <c r="J23" s="259"/>
      <c r="K23" s="173"/>
      <c r="L23" s="259"/>
      <c r="M23" s="259"/>
      <c r="N23" s="173">
        <f t="shared" si="4"/>
        <v>0</v>
      </c>
      <c r="P23" s="119"/>
    </row>
    <row r="24" spans="1:16" x14ac:dyDescent="0.2">
      <c r="A24" s="124" t="s">
        <v>284</v>
      </c>
      <c r="B24" s="173"/>
      <c r="C24" s="173"/>
      <c r="D24" s="173"/>
      <c r="E24" s="173"/>
      <c r="F24" s="173"/>
      <c r="G24" s="173"/>
      <c r="H24" s="173"/>
      <c r="I24" s="259">
        <v>8272759.1900000004</v>
      </c>
      <c r="J24" s="259">
        <v>881103.06</v>
      </c>
      <c r="K24" s="173">
        <v>970407.49</v>
      </c>
      <c r="L24" s="259">
        <v>1081838.26</v>
      </c>
      <c r="M24" s="413">
        <v>1181883.1000000001</v>
      </c>
      <c r="N24" s="259">
        <f t="shared" si="4"/>
        <v>12387991.1</v>
      </c>
      <c r="P24" s="119"/>
    </row>
    <row r="25" spans="1:16" x14ac:dyDescent="0.2">
      <c r="A25" s="124" t="s">
        <v>285</v>
      </c>
      <c r="B25" s="173"/>
      <c r="C25" s="173"/>
      <c r="D25" s="173"/>
      <c r="E25" s="173"/>
      <c r="F25" s="173"/>
      <c r="G25" s="173"/>
      <c r="H25" s="173"/>
      <c r="I25" s="259">
        <v>1321650.7</v>
      </c>
      <c r="J25" s="392">
        <v>189122.2</v>
      </c>
      <c r="K25" s="173">
        <v>189122.2</v>
      </c>
      <c r="L25" s="259">
        <v>189122.2</v>
      </c>
      <c r="M25" s="259">
        <v>189122.2</v>
      </c>
      <c r="N25" s="259">
        <f t="shared" si="4"/>
        <v>2078139.4999999998</v>
      </c>
      <c r="P25" s="119"/>
    </row>
    <row r="26" spans="1:16" x14ac:dyDescent="0.2">
      <c r="A26" s="124" t="s">
        <v>286</v>
      </c>
      <c r="B26" s="173"/>
      <c r="C26" s="173"/>
      <c r="D26" s="173"/>
      <c r="E26" s="173"/>
      <c r="F26" s="173"/>
      <c r="G26" s="173"/>
      <c r="H26" s="173"/>
      <c r="I26" s="259">
        <v>3101905.25</v>
      </c>
      <c r="J26" s="259">
        <v>383455.21</v>
      </c>
      <c r="K26" s="173">
        <v>382256.79</v>
      </c>
      <c r="L26" s="259">
        <v>382256.79</v>
      </c>
      <c r="M26" s="259">
        <v>382256.79</v>
      </c>
      <c r="N26" s="259">
        <f t="shared" si="4"/>
        <v>4632130.83</v>
      </c>
      <c r="P26" s="119"/>
    </row>
    <row r="27" spans="1:16" x14ac:dyDescent="0.2">
      <c r="A27" s="124" t="s">
        <v>174</v>
      </c>
      <c r="B27" s="173"/>
      <c r="C27" s="173"/>
      <c r="D27" s="173"/>
      <c r="E27" s="173"/>
      <c r="F27" s="173"/>
      <c r="G27" s="173"/>
      <c r="H27" s="173"/>
      <c r="I27" s="259">
        <v>30763.84</v>
      </c>
      <c r="J27" s="259">
        <v>8725.91</v>
      </c>
      <c r="K27" s="173">
        <v>13606.34</v>
      </c>
      <c r="L27" s="259">
        <f>3845.48</f>
        <v>3845.48</v>
      </c>
      <c r="M27" s="259">
        <v>13606.34</v>
      </c>
      <c r="N27" s="259">
        <f t="shared" si="4"/>
        <v>70547.91</v>
      </c>
      <c r="P27" s="119"/>
    </row>
    <row r="28" spans="1:16" x14ac:dyDescent="0.2">
      <c r="A28" s="124" t="s">
        <v>277</v>
      </c>
      <c r="B28" s="173"/>
      <c r="C28" s="173"/>
      <c r="D28" s="173"/>
      <c r="E28" s="173"/>
      <c r="F28" s="173"/>
      <c r="G28" s="173"/>
      <c r="H28" s="173"/>
      <c r="I28" s="259">
        <v>1173679.99</v>
      </c>
      <c r="J28" s="259">
        <v>74740.98</v>
      </c>
      <c r="K28" s="173">
        <v>109580.41</v>
      </c>
      <c r="L28" s="259">
        <v>77353.649999999994</v>
      </c>
      <c r="M28" s="259">
        <v>82823.72</v>
      </c>
      <c r="N28" s="259">
        <f t="shared" si="4"/>
        <v>1518178.7499999998</v>
      </c>
      <c r="P28" s="119"/>
    </row>
    <row r="29" spans="1:16" x14ac:dyDescent="0.2">
      <c r="A29" s="124" t="s">
        <v>278</v>
      </c>
      <c r="B29" s="173"/>
      <c r="C29" s="173"/>
      <c r="D29" s="173"/>
      <c r="E29" s="173"/>
      <c r="F29" s="173"/>
      <c r="G29" s="173"/>
      <c r="H29" s="173"/>
      <c r="I29" s="259">
        <f>4562002.99+1700000</f>
        <v>6262002.9900000002</v>
      </c>
      <c r="J29" s="259">
        <v>189111.7</v>
      </c>
      <c r="K29" s="173">
        <v>270063.84000000003</v>
      </c>
      <c r="L29" s="259">
        <v>285343.40000000002</v>
      </c>
      <c r="M29" s="259">
        <v>482172.06</v>
      </c>
      <c r="N29" s="259">
        <f t="shared" si="4"/>
        <v>7488693.9900000002</v>
      </c>
      <c r="P29" s="119"/>
    </row>
    <row r="30" spans="1:16" x14ac:dyDescent="0.2">
      <c r="A30" s="124" t="s">
        <v>279</v>
      </c>
      <c r="B30" s="173"/>
      <c r="C30" s="173"/>
      <c r="D30" s="173"/>
      <c r="E30" s="173"/>
      <c r="F30" s="173"/>
      <c r="G30" s="173"/>
      <c r="H30" s="173"/>
      <c r="I30" s="259">
        <v>478269.31</v>
      </c>
      <c r="J30" s="259">
        <v>60623.57</v>
      </c>
      <c r="K30" s="173">
        <v>62681.04</v>
      </c>
      <c r="L30" s="259">
        <v>63770.239999999998</v>
      </c>
      <c r="M30" s="259">
        <v>55835.5</v>
      </c>
      <c r="N30" s="259">
        <f t="shared" si="4"/>
        <v>721179.66</v>
      </c>
      <c r="P30" s="119"/>
    </row>
    <row r="31" spans="1:16" x14ac:dyDescent="0.2">
      <c r="A31" s="124" t="s">
        <v>280</v>
      </c>
      <c r="B31" s="173"/>
      <c r="C31" s="173"/>
      <c r="D31" s="173"/>
      <c r="E31" s="173"/>
      <c r="F31" s="173"/>
      <c r="G31" s="173"/>
      <c r="H31" s="173"/>
      <c r="I31" s="259">
        <v>144963.23000000001</v>
      </c>
      <c r="J31" s="259">
        <v>2585.56</v>
      </c>
      <c r="K31" s="173">
        <v>9207.7999999999993</v>
      </c>
      <c r="L31" s="259">
        <v>10202.280000000001</v>
      </c>
      <c r="M31" s="259">
        <v>1912.1</v>
      </c>
      <c r="N31" s="259">
        <f t="shared" si="4"/>
        <v>168870.97</v>
      </c>
      <c r="P31" s="119"/>
    </row>
    <row r="32" spans="1:16" x14ac:dyDescent="0.2">
      <c r="A32" s="124" t="s">
        <v>371</v>
      </c>
      <c r="B32" s="173"/>
      <c r="C32" s="173"/>
      <c r="D32" s="173"/>
      <c r="E32" s="173"/>
      <c r="F32" s="173"/>
      <c r="G32" s="173"/>
      <c r="H32" s="173"/>
      <c r="I32" s="259"/>
      <c r="J32" s="259"/>
      <c r="K32" s="173"/>
      <c r="L32" s="259"/>
      <c r="M32" s="259"/>
      <c r="N32" s="259"/>
      <c r="P32" s="119"/>
    </row>
    <row r="33" spans="1:16" x14ac:dyDescent="0.2">
      <c r="A33" s="124" t="s">
        <v>281</v>
      </c>
      <c r="B33" s="173"/>
      <c r="C33" s="173"/>
      <c r="D33" s="173"/>
      <c r="E33" s="173"/>
      <c r="F33" s="173"/>
      <c r="G33" s="173"/>
      <c r="H33" s="173"/>
      <c r="I33" s="259">
        <v>0</v>
      </c>
      <c r="J33" s="259">
        <v>0</v>
      </c>
      <c r="K33" s="173"/>
      <c r="L33" s="259"/>
      <c r="M33" s="259"/>
      <c r="N33" s="173">
        <f t="shared" si="4"/>
        <v>0</v>
      </c>
      <c r="P33" s="119"/>
    </row>
    <row r="34" spans="1:16" x14ac:dyDescent="0.2">
      <c r="A34" s="124" t="s">
        <v>64</v>
      </c>
      <c r="B34" s="173"/>
      <c r="C34" s="173"/>
      <c r="D34" s="173"/>
      <c r="E34" s="173"/>
      <c r="F34" s="173"/>
      <c r="G34" s="173"/>
      <c r="H34" s="173"/>
      <c r="I34" s="259">
        <v>36272.800000000003</v>
      </c>
      <c r="J34" s="173">
        <v>0</v>
      </c>
      <c r="K34" s="173">
        <v>0</v>
      </c>
      <c r="L34" s="173"/>
      <c r="M34" s="259">
        <v>9068.2000000000007</v>
      </c>
      <c r="N34" s="259">
        <f t="shared" si="4"/>
        <v>45341</v>
      </c>
      <c r="P34" s="119"/>
    </row>
    <row r="35" spans="1:16" x14ac:dyDescent="0.2">
      <c r="A35" s="125" t="s">
        <v>175</v>
      </c>
      <c r="B35" s="260"/>
      <c r="C35" s="260"/>
      <c r="D35" s="260"/>
      <c r="E35" s="260"/>
      <c r="F35" s="260"/>
      <c r="G35" s="260"/>
      <c r="H35" s="260"/>
      <c r="I35" s="260">
        <v>5282606.2300000004</v>
      </c>
      <c r="J35" s="260">
        <v>551798.6</v>
      </c>
      <c r="K35" s="260">
        <v>599056.9</v>
      </c>
      <c r="L35" s="260">
        <v>707255.54</v>
      </c>
      <c r="M35" s="260">
        <v>763302.06</v>
      </c>
      <c r="N35" s="260">
        <f t="shared" si="4"/>
        <v>7904019.3300000001</v>
      </c>
      <c r="P35" s="119"/>
    </row>
    <row r="36" spans="1:16" x14ac:dyDescent="0.2">
      <c r="P36" s="119"/>
    </row>
    <row r="37" spans="1:16" s="262" customFormat="1" ht="15" x14ac:dyDescent="0.25">
      <c r="A37" s="261" t="s">
        <v>176</v>
      </c>
      <c r="B37" s="261">
        <f>B3+B13-B35</f>
        <v>0</v>
      </c>
      <c r="C37" s="261">
        <f t="shared" ref="C37:H37" si="5">C3+C10+C13-C35</f>
        <v>0</v>
      </c>
      <c r="D37" s="261">
        <f t="shared" si="5"/>
        <v>0</v>
      </c>
      <c r="E37" s="261">
        <f t="shared" si="5"/>
        <v>0</v>
      </c>
      <c r="F37" s="261">
        <f t="shared" si="5"/>
        <v>0</v>
      </c>
      <c r="G37" s="261">
        <f t="shared" si="5"/>
        <v>0</v>
      </c>
      <c r="H37" s="261">
        <f t="shared" si="5"/>
        <v>0</v>
      </c>
      <c r="I37" s="261">
        <f>I3+I13-I35</f>
        <v>46096238.520000011</v>
      </c>
      <c r="J37" s="261">
        <f>J3+J13-J35</f>
        <v>4511144.4300000025</v>
      </c>
      <c r="K37" s="261">
        <f t="shared" ref="K37:L37" si="6">K3+K13-K35</f>
        <v>4674556.2300000004</v>
      </c>
      <c r="L37" s="261">
        <f t="shared" si="6"/>
        <v>5267501.660000002</v>
      </c>
      <c r="M37" s="261">
        <f>M3+M13-M35</f>
        <v>7600035.0199999996</v>
      </c>
      <c r="N37" s="261">
        <f>SUM(B37:M37)</f>
        <v>68149475.860000014</v>
      </c>
    </row>
    <row r="38" spans="1:16" s="262" customFormat="1" ht="14.25" x14ac:dyDescent="0.2">
      <c r="A38" s="389" t="s">
        <v>315</v>
      </c>
      <c r="B38" s="389"/>
      <c r="C38" s="389"/>
      <c r="D38" s="389"/>
      <c r="E38" s="389"/>
      <c r="F38" s="389"/>
      <c r="G38" s="389"/>
      <c r="H38" s="389"/>
      <c r="I38" s="389">
        <v>500000</v>
      </c>
      <c r="J38" s="389"/>
      <c r="K38" s="389"/>
      <c r="L38" s="389"/>
      <c r="M38" s="389"/>
      <c r="N38" s="389">
        <f>SUM(B38:M38)</f>
        <v>500000</v>
      </c>
    </row>
    <row r="39" spans="1:16" s="262" customFormat="1" ht="15" x14ac:dyDescent="0.25">
      <c r="A39" s="261" t="s">
        <v>316</v>
      </c>
      <c r="B39" s="261"/>
      <c r="C39" s="261"/>
      <c r="D39" s="261"/>
      <c r="E39" s="261"/>
      <c r="F39" s="261"/>
      <c r="G39" s="261"/>
      <c r="H39" s="261"/>
      <c r="I39" s="261">
        <f>I37-I38</f>
        <v>45596238.520000011</v>
      </c>
      <c r="J39" s="261">
        <f>J37-J38</f>
        <v>4511144.4300000025</v>
      </c>
      <c r="K39" s="261">
        <f t="shared" ref="K39:L39" si="7">K37-K38</f>
        <v>4674556.2300000004</v>
      </c>
      <c r="L39" s="261">
        <f t="shared" si="7"/>
        <v>5267501.660000002</v>
      </c>
      <c r="M39" s="261">
        <f>M37-M38</f>
        <v>7600035.0199999996</v>
      </c>
      <c r="N39" s="261">
        <f>SUM(B39:M39)</f>
        <v>67649475.860000014</v>
      </c>
    </row>
    <row r="40" spans="1:16" x14ac:dyDescent="0.2">
      <c r="K40" s="168"/>
      <c r="L40" s="167"/>
      <c r="P40" s="119"/>
    </row>
    <row r="41" spans="1:16" ht="15.75" x14ac:dyDescent="0.25">
      <c r="A41" s="127" t="s">
        <v>177</v>
      </c>
      <c r="B41" s="127"/>
      <c r="C41" s="128"/>
      <c r="D41" s="127"/>
      <c r="E41" s="127"/>
      <c r="F41" s="127"/>
      <c r="G41" s="127"/>
      <c r="H41" s="127"/>
      <c r="I41" s="353">
        <v>1330905.23</v>
      </c>
      <c r="J41" s="127"/>
      <c r="K41" s="127"/>
      <c r="L41" s="353">
        <v>300000</v>
      </c>
      <c r="M41" s="127"/>
      <c r="N41" s="356">
        <f>SUM(B41:M41)</f>
        <v>1630905.23</v>
      </c>
      <c r="P41" s="119"/>
    </row>
    <row r="42" spans="1:16" ht="15.75" x14ac:dyDescent="0.25">
      <c r="A42" s="354" t="s">
        <v>289</v>
      </c>
      <c r="B42" s="354"/>
      <c r="C42" s="355"/>
      <c r="D42" s="354"/>
      <c r="E42" s="354"/>
      <c r="F42" s="354"/>
      <c r="G42" s="354"/>
      <c r="H42" s="354"/>
      <c r="I42" s="356">
        <f>I37+I41</f>
        <v>47427143.750000007</v>
      </c>
      <c r="J42" s="356">
        <f t="shared" ref="J42:L42" si="8">J37+J41</f>
        <v>4511144.4300000025</v>
      </c>
      <c r="K42" s="356">
        <f t="shared" si="8"/>
        <v>4674556.2300000004</v>
      </c>
      <c r="L42" s="356">
        <f t="shared" si="8"/>
        <v>5567501.660000002</v>
      </c>
      <c r="M42" s="356">
        <f>M37+M41</f>
        <v>7600035.0199999996</v>
      </c>
      <c r="N42" s="356">
        <f>SUM(B42:M42)</f>
        <v>69780381.090000018</v>
      </c>
      <c r="P42" s="119"/>
    </row>
    <row r="43" spans="1:16" x14ac:dyDescent="0.2">
      <c r="P43" s="119"/>
    </row>
    <row r="44" spans="1:16" s="175" customFormat="1" x14ac:dyDescent="0.2">
      <c r="A44" s="170" t="s">
        <v>6</v>
      </c>
      <c r="B44" s="172">
        <f t="shared" ref="B44:I44" si="9">B45+B48+B51</f>
        <v>0</v>
      </c>
      <c r="C44" s="172">
        <f t="shared" si="9"/>
        <v>0</v>
      </c>
      <c r="D44" s="172">
        <f t="shared" si="9"/>
        <v>0</v>
      </c>
      <c r="E44" s="172">
        <f t="shared" si="9"/>
        <v>0</v>
      </c>
      <c r="F44" s="172">
        <f t="shared" si="9"/>
        <v>0</v>
      </c>
      <c r="G44" s="172">
        <f t="shared" si="9"/>
        <v>0</v>
      </c>
      <c r="H44" s="172">
        <f t="shared" si="9"/>
        <v>0</v>
      </c>
      <c r="I44" s="172">
        <f t="shared" si="9"/>
        <v>12734893.719999999</v>
      </c>
      <c r="J44" s="172">
        <f>J45+J48+J51</f>
        <v>1457159.22</v>
      </c>
      <c r="K44" s="172">
        <f>K45+K48+K51</f>
        <v>1544552.53</v>
      </c>
      <c r="L44" s="172">
        <f>L45+L48+L51</f>
        <v>1654679.35</v>
      </c>
      <c r="M44" s="172">
        <f>M45+M48+M51</f>
        <v>1757264.25</v>
      </c>
      <c r="N44" s="174">
        <f>SUM(B44:M44)</f>
        <v>19148549.07</v>
      </c>
    </row>
    <row r="45" spans="1:16" s="175" customFormat="1" x14ac:dyDescent="0.2">
      <c r="A45" s="170" t="s">
        <v>194</v>
      </c>
      <c r="B45" s="172">
        <f t="shared" ref="B45:D45" si="10">B46+B47</f>
        <v>0</v>
      </c>
      <c r="C45" s="172">
        <f t="shared" si="10"/>
        <v>0</v>
      </c>
      <c r="D45" s="172">
        <f t="shared" si="10"/>
        <v>0</v>
      </c>
      <c r="E45" s="172">
        <f t="shared" ref="E45:M45" si="11">E46+E47</f>
        <v>0</v>
      </c>
      <c r="F45" s="172">
        <f t="shared" si="11"/>
        <v>0</v>
      </c>
      <c r="G45" s="172">
        <f t="shared" si="11"/>
        <v>0</v>
      </c>
      <c r="H45" s="172">
        <f t="shared" si="11"/>
        <v>0</v>
      </c>
      <c r="I45" s="172">
        <f t="shared" si="11"/>
        <v>8311337.7700000005</v>
      </c>
      <c r="J45" s="172">
        <f t="shared" si="11"/>
        <v>884581.81</v>
      </c>
      <c r="K45" s="172">
        <f t="shared" si="11"/>
        <v>973173.54</v>
      </c>
      <c r="L45" s="172">
        <f t="shared" si="11"/>
        <v>1083300.3600000001</v>
      </c>
      <c r="M45" s="172">
        <f t="shared" si="11"/>
        <v>1185885.26</v>
      </c>
      <c r="N45" s="174">
        <f t="shared" ref="N45:N49" si="12">SUM(B45:M45)</f>
        <v>12438278.74</v>
      </c>
    </row>
    <row r="46" spans="1:16" x14ac:dyDescent="0.2">
      <c r="A46" s="171" t="s">
        <v>190</v>
      </c>
      <c r="B46" s="173"/>
      <c r="C46" s="173"/>
      <c r="D46" s="173"/>
      <c r="E46" s="173"/>
      <c r="F46" s="173"/>
      <c r="G46" s="173"/>
      <c r="H46" s="173"/>
      <c r="I46" s="173">
        <f>I24</f>
        <v>8272759.1900000004</v>
      </c>
      <c r="J46" s="173">
        <v>881103.06</v>
      </c>
      <c r="K46" s="173">
        <v>970407.49</v>
      </c>
      <c r="L46" s="173">
        <f>L24</f>
        <v>1081838.26</v>
      </c>
      <c r="M46" s="173">
        <f>M24</f>
        <v>1181883.1000000001</v>
      </c>
      <c r="N46" s="391">
        <f t="shared" si="12"/>
        <v>12387991.1</v>
      </c>
      <c r="P46" s="119"/>
    </row>
    <row r="47" spans="1:16" x14ac:dyDescent="0.2">
      <c r="A47" s="171" t="s">
        <v>191</v>
      </c>
      <c r="B47" s="173"/>
      <c r="C47" s="173"/>
      <c r="D47" s="173"/>
      <c r="E47" s="173"/>
      <c r="F47" s="173"/>
      <c r="G47" s="173"/>
      <c r="H47" s="173"/>
      <c r="I47" s="173">
        <f>38554.74+23.84</f>
        <v>38578.579999999994</v>
      </c>
      <c r="J47" s="173">
        <f>3474.67+4.08</f>
        <v>3478.75</v>
      </c>
      <c r="K47" s="173">
        <f>2762.14+3.91</f>
        <v>2766.0499999999997</v>
      </c>
      <c r="L47" s="173">
        <f>1426.31+35.79</f>
        <v>1462.1</v>
      </c>
      <c r="M47" s="259">
        <v>4002.16</v>
      </c>
      <c r="N47" s="391">
        <f t="shared" si="12"/>
        <v>50287.64</v>
      </c>
      <c r="P47" s="119"/>
    </row>
    <row r="48" spans="1:16" s="175" customFormat="1" ht="15.75" customHeight="1" x14ac:dyDescent="0.2">
      <c r="A48" s="170" t="s">
        <v>192</v>
      </c>
      <c r="B48" s="172">
        <f>B49+B50</f>
        <v>0</v>
      </c>
      <c r="C48" s="172">
        <f t="shared" ref="C48:D48" si="13">C49+C50</f>
        <v>0</v>
      </c>
      <c r="D48" s="172">
        <f t="shared" si="13"/>
        <v>0</v>
      </c>
      <c r="E48" s="172">
        <f t="shared" ref="E48:M48" si="14">E49+E50</f>
        <v>0</v>
      </c>
      <c r="F48" s="172">
        <f t="shared" si="14"/>
        <v>0</v>
      </c>
      <c r="G48" s="172">
        <f t="shared" si="14"/>
        <v>0</v>
      </c>
      <c r="H48" s="172">
        <f t="shared" si="14"/>
        <v>0</v>
      </c>
      <c r="I48" s="172">
        <f t="shared" si="14"/>
        <v>3101905.25</v>
      </c>
      <c r="J48" s="172">
        <f t="shared" si="14"/>
        <v>383455.21</v>
      </c>
      <c r="K48" s="172">
        <f t="shared" si="14"/>
        <v>382256.79</v>
      </c>
      <c r="L48" s="172">
        <f t="shared" si="14"/>
        <v>382256.79</v>
      </c>
      <c r="M48" s="172">
        <f t="shared" si="14"/>
        <v>382256.79</v>
      </c>
      <c r="N48" s="174">
        <f t="shared" si="12"/>
        <v>4632130.83</v>
      </c>
    </row>
    <row r="49" spans="1:19" x14ac:dyDescent="0.2">
      <c r="A49" s="171" t="s">
        <v>190</v>
      </c>
      <c r="B49" s="173"/>
      <c r="C49" s="173"/>
      <c r="D49" s="173"/>
      <c r="E49" s="173"/>
      <c r="F49" s="173"/>
      <c r="G49" s="173"/>
      <c r="H49" s="173"/>
      <c r="I49" s="173">
        <f>I26</f>
        <v>3101905.25</v>
      </c>
      <c r="J49" s="173">
        <v>383455.21</v>
      </c>
      <c r="K49" s="173">
        <v>382256.79</v>
      </c>
      <c r="L49" s="173">
        <f>L26</f>
        <v>382256.79</v>
      </c>
      <c r="M49" s="173">
        <f>M26</f>
        <v>382256.79</v>
      </c>
      <c r="N49" s="391">
        <f t="shared" si="12"/>
        <v>4632130.83</v>
      </c>
      <c r="P49" s="119"/>
    </row>
    <row r="50" spans="1:19" x14ac:dyDescent="0.2">
      <c r="A50" s="171" t="s">
        <v>191</v>
      </c>
      <c r="B50" s="173">
        <v>0</v>
      </c>
      <c r="C50" s="173">
        <v>0</v>
      </c>
      <c r="D50" s="173">
        <v>0</v>
      </c>
      <c r="E50" s="173">
        <v>0</v>
      </c>
      <c r="F50" s="173"/>
      <c r="G50" s="173"/>
      <c r="H50" s="173"/>
      <c r="I50" s="173"/>
      <c r="J50" s="173"/>
      <c r="K50" s="173"/>
      <c r="L50" s="173"/>
      <c r="M50" s="173"/>
      <c r="N50" s="173">
        <f t="shared" ref="N50:N53" si="15">SUM(B50:M50)</f>
        <v>0</v>
      </c>
      <c r="P50" s="119"/>
    </row>
    <row r="51" spans="1:19" s="175" customFormat="1" ht="16.5" customHeight="1" x14ac:dyDescent="0.2">
      <c r="A51" s="170" t="s">
        <v>193</v>
      </c>
      <c r="B51" s="172">
        <f>B52+B53</f>
        <v>0</v>
      </c>
      <c r="C51" s="172">
        <f t="shared" ref="C51:D51" si="16">C52+C53</f>
        <v>0</v>
      </c>
      <c r="D51" s="172">
        <f t="shared" si="16"/>
        <v>0</v>
      </c>
      <c r="E51" s="172">
        <f t="shared" ref="E51:M51" si="17">E52+E53</f>
        <v>0</v>
      </c>
      <c r="F51" s="172">
        <f t="shared" si="17"/>
        <v>0</v>
      </c>
      <c r="G51" s="172">
        <f t="shared" si="17"/>
        <v>0</v>
      </c>
      <c r="H51" s="172">
        <f t="shared" si="17"/>
        <v>0</v>
      </c>
      <c r="I51" s="172">
        <f t="shared" si="17"/>
        <v>1321650.7</v>
      </c>
      <c r="J51" s="172">
        <f t="shared" si="17"/>
        <v>189122.2</v>
      </c>
      <c r="K51" s="172">
        <f t="shared" si="17"/>
        <v>189122.2</v>
      </c>
      <c r="L51" s="172">
        <f t="shared" si="17"/>
        <v>189122.2</v>
      </c>
      <c r="M51" s="172">
        <f t="shared" si="17"/>
        <v>189122.2</v>
      </c>
      <c r="N51" s="174">
        <f>SUM(B51:M51)</f>
        <v>2078139.4999999998</v>
      </c>
    </row>
    <row r="52" spans="1:19" x14ac:dyDescent="0.2">
      <c r="A52" s="171" t="s">
        <v>190</v>
      </c>
      <c r="B52" s="173">
        <v>0</v>
      </c>
      <c r="C52" s="173">
        <v>0</v>
      </c>
      <c r="D52" s="173">
        <v>0</v>
      </c>
      <c r="E52" s="173">
        <v>0</v>
      </c>
      <c r="F52" s="173">
        <v>0</v>
      </c>
      <c r="G52" s="173">
        <v>0</v>
      </c>
      <c r="H52" s="173">
        <v>0</v>
      </c>
      <c r="I52" s="173">
        <f>I25</f>
        <v>1321650.7</v>
      </c>
      <c r="J52" s="173">
        <v>189122.2</v>
      </c>
      <c r="K52" s="173">
        <v>189122.2</v>
      </c>
      <c r="L52" s="173">
        <f>L25</f>
        <v>189122.2</v>
      </c>
      <c r="M52" s="173">
        <f>M25</f>
        <v>189122.2</v>
      </c>
      <c r="N52" s="391">
        <f>SUM(B52:M52)</f>
        <v>2078139.4999999998</v>
      </c>
      <c r="P52" s="119"/>
    </row>
    <row r="53" spans="1:19" x14ac:dyDescent="0.2">
      <c r="A53" s="171" t="s">
        <v>191</v>
      </c>
      <c r="B53" s="173">
        <v>0</v>
      </c>
      <c r="C53" s="173">
        <v>0</v>
      </c>
      <c r="D53" s="173">
        <v>0</v>
      </c>
      <c r="E53" s="173">
        <v>0</v>
      </c>
      <c r="F53" s="173"/>
      <c r="G53" s="173"/>
      <c r="H53" s="173"/>
      <c r="I53" s="173"/>
      <c r="J53" s="173"/>
      <c r="K53" s="173"/>
      <c r="L53" s="173"/>
      <c r="M53" s="173"/>
      <c r="N53" s="173">
        <f t="shared" si="15"/>
        <v>0</v>
      </c>
      <c r="P53" s="119"/>
    </row>
    <row r="54" spans="1:19" ht="15.75" thickBot="1" x14ac:dyDescent="0.3">
      <c r="B54" s="36"/>
      <c r="P54" s="119"/>
    </row>
    <row r="55" spans="1:19" ht="18.75" thickBot="1" x14ac:dyDescent="0.25">
      <c r="A55" s="433" t="s">
        <v>13</v>
      </c>
      <c r="B55" s="434"/>
      <c r="C55" s="434"/>
      <c r="D55" s="434"/>
      <c r="E55" s="434"/>
      <c r="F55" s="434"/>
      <c r="G55" s="434"/>
      <c r="H55" s="434"/>
      <c r="I55" s="434"/>
      <c r="J55" s="434"/>
      <c r="K55" s="434"/>
      <c r="L55" s="434"/>
      <c r="M55" s="434"/>
      <c r="N55" s="434"/>
      <c r="O55" s="434"/>
      <c r="P55" s="435"/>
      <c r="R55" s="423" t="s">
        <v>65</v>
      </c>
      <c r="S55" s="424"/>
    </row>
    <row r="56" spans="1:19" ht="16.5" thickBot="1" x14ac:dyDescent="0.3">
      <c r="A56" s="439" t="s">
        <v>131</v>
      </c>
      <c r="B56" s="444" t="s">
        <v>8</v>
      </c>
      <c r="C56" s="441" t="s">
        <v>9</v>
      </c>
      <c r="D56" s="442"/>
      <c r="E56" s="442"/>
      <c r="F56" s="442"/>
      <c r="G56" s="442"/>
      <c r="H56" s="442"/>
      <c r="I56" s="442"/>
      <c r="J56" s="442"/>
      <c r="K56" s="442"/>
      <c r="L56" s="442"/>
      <c r="M56" s="442"/>
      <c r="N56" s="442"/>
      <c r="O56" s="442"/>
      <c r="P56" s="443"/>
      <c r="R56" s="425"/>
      <c r="S56" s="426"/>
    </row>
    <row r="57" spans="1:19" ht="54.75" thickBot="1" x14ac:dyDescent="0.25">
      <c r="A57" s="440"/>
      <c r="B57" s="445"/>
      <c r="C57" s="82" t="s">
        <v>67</v>
      </c>
      <c r="D57" s="82" t="s">
        <v>68</v>
      </c>
      <c r="E57" s="82" t="s">
        <v>69</v>
      </c>
      <c r="F57" s="82" t="s">
        <v>70</v>
      </c>
      <c r="G57" s="82" t="s">
        <v>71</v>
      </c>
      <c r="H57" s="82" t="s">
        <v>72</v>
      </c>
      <c r="I57" s="82" t="s">
        <v>73</v>
      </c>
      <c r="J57" s="82" t="s">
        <v>74</v>
      </c>
      <c r="K57" s="82" t="s">
        <v>75</v>
      </c>
      <c r="L57" s="82" t="s">
        <v>76</v>
      </c>
      <c r="M57" s="82" t="s">
        <v>77</v>
      </c>
      <c r="N57" s="82" t="s">
        <v>78</v>
      </c>
      <c r="O57" s="82" t="s">
        <v>147</v>
      </c>
      <c r="P57" s="73" t="s">
        <v>10</v>
      </c>
      <c r="R57" s="187" t="s">
        <v>199</v>
      </c>
      <c r="S57" s="188" t="s">
        <v>201</v>
      </c>
    </row>
    <row r="58" spans="1:19" ht="15.75" x14ac:dyDescent="0.25">
      <c r="A58" s="80" t="s">
        <v>15</v>
      </c>
      <c r="B58" s="91">
        <f t="shared" ref="B58:H58" si="18">SUM(B59:B62)</f>
        <v>3386000</v>
      </c>
      <c r="C58" s="91">
        <f t="shared" si="18"/>
        <v>0</v>
      </c>
      <c r="D58" s="91">
        <f t="shared" si="18"/>
        <v>0</v>
      </c>
      <c r="E58" s="91">
        <f t="shared" si="18"/>
        <v>0</v>
      </c>
      <c r="F58" s="91">
        <f t="shared" si="18"/>
        <v>0</v>
      </c>
      <c r="G58" s="91">
        <f t="shared" si="18"/>
        <v>0</v>
      </c>
      <c r="H58" s="91">
        <f t="shared" si="18"/>
        <v>0</v>
      </c>
      <c r="I58" s="91">
        <f>SUM(I59:I62)</f>
        <v>0</v>
      </c>
      <c r="J58" s="91">
        <f>SUM(J59:J62)</f>
        <v>993098.89</v>
      </c>
      <c r="K58" s="91">
        <f t="shared" ref="K58:N58" si="19">SUM(K59:K62)</f>
        <v>56335.8</v>
      </c>
      <c r="L58" s="91">
        <f t="shared" si="19"/>
        <v>46254.85</v>
      </c>
      <c r="M58" s="91">
        <f t="shared" si="19"/>
        <v>175763.47999999998</v>
      </c>
      <c r="N58" s="91">
        <f t="shared" si="19"/>
        <v>498991.16000000003</v>
      </c>
      <c r="O58" s="91">
        <f>SUM(C58:N58)</f>
        <v>1770444.1800000002</v>
      </c>
      <c r="P58" s="85"/>
      <c r="R58" s="102" t="str">
        <f>A58</f>
        <v>1. RECEITA DE IMPOSTOS</v>
      </c>
      <c r="S58" s="38">
        <f>O58</f>
        <v>1770444.1800000002</v>
      </c>
    </row>
    <row r="59" spans="1:19" ht="15.75" x14ac:dyDescent="0.25">
      <c r="A59" s="81" t="s">
        <v>132</v>
      </c>
      <c r="B59" s="87">
        <v>690000</v>
      </c>
      <c r="C59" s="87"/>
      <c r="D59" s="87"/>
      <c r="E59" s="87"/>
      <c r="F59" s="89">
        <f>E4</f>
        <v>0</v>
      </c>
      <c r="G59" s="89">
        <f>F4</f>
        <v>0</v>
      </c>
      <c r="H59" s="89">
        <f>G4</f>
        <v>0</v>
      </c>
      <c r="I59" s="89">
        <f>H4</f>
        <v>0</v>
      </c>
      <c r="J59" s="89">
        <f>I4</f>
        <v>149632.01</v>
      </c>
      <c r="K59" s="89">
        <f>J4</f>
        <v>13400.33</v>
      </c>
      <c r="L59" s="89">
        <f>K4</f>
        <v>12326.22</v>
      </c>
      <c r="M59" s="89">
        <f>L4</f>
        <v>18988.72</v>
      </c>
      <c r="N59" s="89">
        <f>M4</f>
        <v>52981.66</v>
      </c>
      <c r="O59" s="359">
        <f>SUM(C59:N59)</f>
        <v>247328.94</v>
      </c>
      <c r="P59" s="85"/>
      <c r="R59" s="102" t="str">
        <f>A64</f>
        <v>2- RECEITA DE TRANSFERÊNCIAS CONSTITUCIONAIS E LEGAIS</v>
      </c>
      <c r="S59" s="195">
        <f>O64</f>
        <v>42289799.979999997</v>
      </c>
    </row>
    <row r="60" spans="1:19" ht="15.75" x14ac:dyDescent="0.25">
      <c r="A60" s="81" t="s">
        <v>133</v>
      </c>
      <c r="B60" s="90">
        <v>1004000</v>
      </c>
      <c r="C60" s="87"/>
      <c r="D60" s="87"/>
      <c r="E60" s="87"/>
      <c r="F60" s="360">
        <f>E6</f>
        <v>0</v>
      </c>
      <c r="G60" s="89">
        <f>F6</f>
        <v>0</v>
      </c>
      <c r="H60" s="89">
        <f>G6</f>
        <v>0</v>
      </c>
      <c r="I60" s="89">
        <f>H6</f>
        <v>0</v>
      </c>
      <c r="J60" s="89">
        <f>I6</f>
        <v>185172.47</v>
      </c>
      <c r="K60" s="89">
        <f>J6</f>
        <v>15744.38</v>
      </c>
      <c r="L60" s="89">
        <f>K6</f>
        <v>5121.8599999999997</v>
      </c>
      <c r="M60" s="89">
        <f>L6</f>
        <v>113872.5</v>
      </c>
      <c r="N60" s="89">
        <f>M6</f>
        <v>17765.62</v>
      </c>
      <c r="O60" s="359">
        <f>SUM(C60:N60)</f>
        <v>337676.82999999996</v>
      </c>
      <c r="P60" s="85"/>
      <c r="R60" s="102" t="str">
        <f>A74</f>
        <v>3- TOTAL DA RECEITA DE IMPOSTOS (1 + 2)</v>
      </c>
      <c r="S60" s="195">
        <f>O74</f>
        <v>44060244.159999996</v>
      </c>
    </row>
    <row r="61" spans="1:19" ht="15.75" x14ac:dyDescent="0.25">
      <c r="A61" s="81" t="s">
        <v>134</v>
      </c>
      <c r="B61" s="90">
        <v>672000</v>
      </c>
      <c r="C61" s="87"/>
      <c r="D61" s="87"/>
      <c r="E61" s="87"/>
      <c r="F61" s="361">
        <f>E5</f>
        <v>0</v>
      </c>
      <c r="G61" s="89">
        <f>F6</f>
        <v>0</v>
      </c>
      <c r="H61" s="89">
        <f>G6</f>
        <v>0</v>
      </c>
      <c r="I61" s="89">
        <f>H6</f>
        <v>0</v>
      </c>
      <c r="J61" s="89">
        <f>I5</f>
        <v>174935.91</v>
      </c>
      <c r="K61" s="89">
        <f>J5</f>
        <v>17596.72</v>
      </c>
      <c r="L61" s="89">
        <f>K5</f>
        <v>19212.400000000001</v>
      </c>
      <c r="M61" s="89">
        <f>L5</f>
        <v>33307.89</v>
      </c>
      <c r="N61" s="89">
        <f>M5</f>
        <v>101244.1</v>
      </c>
      <c r="O61" s="359">
        <f>SUM(C61:N61)</f>
        <v>346297.02</v>
      </c>
      <c r="P61" s="96"/>
      <c r="R61" s="193" t="s">
        <v>202</v>
      </c>
      <c r="S61" s="198">
        <f>S60/4</f>
        <v>11015061.039999999</v>
      </c>
    </row>
    <row r="62" spans="1:19" ht="15.75" x14ac:dyDescent="0.25">
      <c r="A62" s="81" t="s">
        <v>135</v>
      </c>
      <c r="B62" s="90">
        <v>1020000</v>
      </c>
      <c r="C62" s="87"/>
      <c r="D62" s="87"/>
      <c r="E62" s="87"/>
      <c r="F62" s="361">
        <f>Receitas!E7</f>
        <v>0</v>
      </c>
      <c r="G62" s="89">
        <f>F7</f>
        <v>0</v>
      </c>
      <c r="H62" s="89">
        <f>G7</f>
        <v>0</v>
      </c>
      <c r="I62" s="89">
        <f>H7</f>
        <v>0</v>
      </c>
      <c r="J62" s="89">
        <f>I7</f>
        <v>483358.5</v>
      </c>
      <c r="K62" s="89">
        <f>J7</f>
        <v>9594.3700000000008</v>
      </c>
      <c r="L62" s="89">
        <f>K7</f>
        <v>9594.3700000000008</v>
      </c>
      <c r="M62" s="89">
        <f>L7</f>
        <v>9594.3700000000008</v>
      </c>
      <c r="N62" s="89">
        <f>M7</f>
        <v>326999.78000000003</v>
      </c>
      <c r="O62" s="359">
        <f>SUM(C62:N62)</f>
        <v>839141.39</v>
      </c>
      <c r="P62" s="96"/>
      <c r="R62" s="102" t="str">
        <f>A76</f>
        <v>4- TOTAL DESTINADO AO FUNDEB - 20% DE ((2.1) + (2.2) + (2.3) + (2.4) + (2.5))</v>
      </c>
      <c r="S62" s="195">
        <f>O76</f>
        <v>7904019.3300000001</v>
      </c>
    </row>
    <row r="63" spans="1:19" ht="15.75" x14ac:dyDescent="0.25">
      <c r="A63" s="100"/>
      <c r="B63" s="79"/>
      <c r="C63" s="75"/>
      <c r="D63" s="75"/>
      <c r="E63" s="75"/>
      <c r="F63" s="75"/>
      <c r="G63" s="79"/>
      <c r="H63" s="79"/>
      <c r="I63" s="79"/>
      <c r="J63" s="79"/>
      <c r="K63" s="79"/>
      <c r="L63" s="79"/>
      <c r="M63" s="79"/>
      <c r="N63" s="79"/>
      <c r="O63" s="84"/>
      <c r="P63" s="97"/>
      <c r="R63" s="189" t="str">
        <f>A78</f>
        <v>5- VALOR MÍNIMO A SER APLICADO ALÉM DO VALOR DESTINADO AO FUNDEB - 5% DE ((2.2) + (2.3) + (2.4) + (2.5)) + 25% DE ((1.1) + (1.2) + (1.3) + (1.4) + (2.1.1) + (2.6)+ (2.7))</v>
      </c>
      <c r="S63" s="190">
        <f>S61-S62</f>
        <v>3111041.709999999</v>
      </c>
    </row>
    <row r="64" spans="1:19" ht="15.75" x14ac:dyDescent="0.25">
      <c r="A64" s="80" t="s">
        <v>136</v>
      </c>
      <c r="B64" s="76">
        <f t="shared" ref="B64:N64" si="20">SUM(B65:B72)</f>
        <v>35117500</v>
      </c>
      <c r="C64" s="93">
        <f t="shared" si="20"/>
        <v>0</v>
      </c>
      <c r="D64" s="76">
        <f t="shared" si="20"/>
        <v>0</v>
      </c>
      <c r="E64" s="76">
        <f t="shared" si="20"/>
        <v>0</v>
      </c>
      <c r="F64" s="76">
        <f t="shared" si="20"/>
        <v>0</v>
      </c>
      <c r="G64" s="76">
        <f t="shared" si="20"/>
        <v>0</v>
      </c>
      <c r="H64" s="76">
        <f t="shared" si="20"/>
        <v>0</v>
      </c>
      <c r="I64" s="76">
        <f t="shared" si="20"/>
        <v>0</v>
      </c>
      <c r="J64" s="76">
        <f t="shared" si="20"/>
        <v>27657050.149999999</v>
      </c>
      <c r="K64" s="76">
        <f t="shared" si="20"/>
        <v>2981900.1000000006</v>
      </c>
      <c r="L64" s="76">
        <f t="shared" si="20"/>
        <v>2999576.54</v>
      </c>
      <c r="M64" s="76">
        <f t="shared" si="20"/>
        <v>3539398.82</v>
      </c>
      <c r="N64" s="76">
        <f t="shared" si="20"/>
        <v>5111874.3699999992</v>
      </c>
      <c r="O64" s="76">
        <f t="shared" ref="O64:O72" si="21">SUM(C64:N64)</f>
        <v>42289799.979999997</v>
      </c>
      <c r="P64" s="96"/>
      <c r="R64" s="72"/>
      <c r="S64" s="72"/>
    </row>
    <row r="65" spans="1:19" ht="15.75" x14ac:dyDescent="0.25">
      <c r="A65" s="81" t="s">
        <v>137</v>
      </c>
      <c r="B65" s="94">
        <v>25712000</v>
      </c>
      <c r="C65" s="278"/>
      <c r="D65" s="278"/>
      <c r="E65" s="278"/>
      <c r="F65" s="278">
        <f>E14</f>
        <v>0</v>
      </c>
      <c r="G65" s="278">
        <f>F14</f>
        <v>0</v>
      </c>
      <c r="H65" s="278">
        <f>G14</f>
        <v>0</v>
      </c>
      <c r="I65" s="278">
        <f>H14</f>
        <v>0</v>
      </c>
      <c r="J65" s="278">
        <f>I14</f>
        <v>19447630.859999999</v>
      </c>
      <c r="K65" s="278">
        <f>J14</f>
        <v>2232460.33</v>
      </c>
      <c r="L65" s="278">
        <f>K14</f>
        <v>2124110.5</v>
      </c>
      <c r="M65" s="278">
        <f>L14</f>
        <v>2669620.2400000002</v>
      </c>
      <c r="N65" s="278">
        <f>M14</f>
        <v>2857124.61</v>
      </c>
      <c r="O65" s="357">
        <f t="shared" si="21"/>
        <v>29330946.539999999</v>
      </c>
      <c r="P65" s="96"/>
      <c r="R65" s="102" t="str">
        <f>A80</f>
        <v>6- RECEITAS RECEBIDAS DO FUNDEB</v>
      </c>
      <c r="S65" s="196">
        <f>O80</f>
        <v>19148549.07</v>
      </c>
    </row>
    <row r="66" spans="1:19" ht="15.75" x14ac:dyDescent="0.25">
      <c r="A66" s="81" t="s">
        <v>143</v>
      </c>
      <c r="B66" s="92">
        <v>1833200</v>
      </c>
      <c r="C66" s="95"/>
      <c r="D66" s="358"/>
      <c r="E66" s="358"/>
      <c r="F66" s="278"/>
      <c r="G66" s="278">
        <f>F17</f>
        <v>0</v>
      </c>
      <c r="H66" s="278">
        <f>G17</f>
        <v>0</v>
      </c>
      <c r="I66" s="278">
        <f>H17</f>
        <v>0</v>
      </c>
      <c r="J66" s="278">
        <f>I15</f>
        <v>1519175.45</v>
      </c>
      <c r="K66" s="278">
        <f>J15</f>
        <v>0</v>
      </c>
      <c r="L66" s="278">
        <f>K15</f>
        <v>0</v>
      </c>
      <c r="M66" s="278">
        <f>L15</f>
        <v>0</v>
      </c>
      <c r="N66" s="278">
        <f>M15</f>
        <v>1290929.8999999999</v>
      </c>
      <c r="O66" s="357">
        <f t="shared" si="21"/>
        <v>2810105.3499999996</v>
      </c>
      <c r="P66" s="96"/>
      <c r="R66" s="189" t="str">
        <f>A81</f>
        <v>6.1- FUNDEB - Impostos e Transferências de Impostos</v>
      </c>
      <c r="S66" s="190">
        <f>O81</f>
        <v>12438278.74</v>
      </c>
    </row>
    <row r="67" spans="1:19" ht="15.75" x14ac:dyDescent="0.25">
      <c r="A67" s="81" t="s">
        <v>138</v>
      </c>
      <c r="B67" s="92">
        <v>6880000</v>
      </c>
      <c r="C67" s="278"/>
      <c r="D67" s="278"/>
      <c r="E67" s="278"/>
      <c r="F67" s="278">
        <f>E17</f>
        <v>0</v>
      </c>
      <c r="G67" s="278">
        <f>F18</f>
        <v>0</v>
      </c>
      <c r="H67" s="278">
        <f>G18</f>
        <v>0</v>
      </c>
      <c r="I67" s="278">
        <f>H18</f>
        <v>0</v>
      </c>
      <c r="J67" s="278">
        <f>I17</f>
        <v>6244655.6900000004</v>
      </c>
      <c r="K67" s="278">
        <f>J17</f>
        <v>692756.1</v>
      </c>
      <c r="L67" s="278">
        <f>K17</f>
        <v>775308.85</v>
      </c>
      <c r="M67" s="278">
        <f>L17</f>
        <v>811197.55</v>
      </c>
      <c r="N67" s="278">
        <f>M17</f>
        <v>901093.94</v>
      </c>
      <c r="O67" s="357">
        <f t="shared" si="21"/>
        <v>9425012.129999999</v>
      </c>
      <c r="P67" s="96"/>
      <c r="R67" s="189" t="s">
        <v>258</v>
      </c>
      <c r="S67" s="190">
        <f>O84+O87</f>
        <v>6710270.3300000001</v>
      </c>
    </row>
    <row r="68" spans="1:19" ht="15.75" x14ac:dyDescent="0.25">
      <c r="A68" s="81" t="s">
        <v>145</v>
      </c>
      <c r="B68" s="92">
        <v>61400</v>
      </c>
      <c r="C68" s="278"/>
      <c r="D68" s="278"/>
      <c r="E68" s="278"/>
      <c r="F68" s="278">
        <f>E20</f>
        <v>0</v>
      </c>
      <c r="G68" s="278">
        <f>F16</f>
        <v>0</v>
      </c>
      <c r="H68" s="278">
        <f>G16</f>
        <v>0</v>
      </c>
      <c r="I68" s="278">
        <f>H16</f>
        <v>0</v>
      </c>
      <c r="J68" s="278">
        <f>I20</f>
        <v>33603.75</v>
      </c>
      <c r="K68" s="278">
        <f>J20</f>
        <v>4204.93</v>
      </c>
      <c r="L68" s="278">
        <f>K20</f>
        <v>4291.4799999999996</v>
      </c>
      <c r="M68" s="278">
        <f>L20</f>
        <v>3120.55</v>
      </c>
      <c r="N68" s="278">
        <f>M20</f>
        <v>4433.67</v>
      </c>
      <c r="O68" s="357">
        <f t="shared" si="21"/>
        <v>49654.380000000005</v>
      </c>
      <c r="P68" s="96"/>
    </row>
    <row r="69" spans="1:19" ht="15.75" x14ac:dyDescent="0.25">
      <c r="A69" s="81" t="s">
        <v>139</v>
      </c>
      <c r="B69" s="92">
        <v>27500</v>
      </c>
      <c r="C69" s="278"/>
      <c r="D69" s="278"/>
      <c r="E69" s="278"/>
      <c r="F69" s="278">
        <f>E16</f>
        <v>0</v>
      </c>
      <c r="G69" s="278">
        <f>F19</f>
        <v>0</v>
      </c>
      <c r="H69" s="278">
        <f>G19</f>
        <v>0</v>
      </c>
      <c r="I69" s="278">
        <f>H19</f>
        <v>0</v>
      </c>
      <c r="J69" s="278">
        <f>I16</f>
        <v>10528.82</v>
      </c>
      <c r="K69" s="278">
        <f>J16</f>
        <v>6391</v>
      </c>
      <c r="L69" s="278">
        <f>K16</f>
        <v>39738.65</v>
      </c>
      <c r="M69" s="278">
        <f>L16</f>
        <v>3094.29</v>
      </c>
      <c r="N69" s="278">
        <f>M16</f>
        <v>6486.12</v>
      </c>
      <c r="O69" s="357">
        <f t="shared" si="21"/>
        <v>66238.880000000005</v>
      </c>
      <c r="P69" s="96"/>
    </row>
    <row r="70" spans="1:19" ht="15.75" x14ac:dyDescent="0.25">
      <c r="A70" s="81" t="s">
        <v>140</v>
      </c>
      <c r="B70" s="92">
        <v>603400</v>
      </c>
      <c r="C70" s="278"/>
      <c r="D70" s="278"/>
      <c r="E70" s="278"/>
      <c r="F70" s="278">
        <f>E18</f>
        <v>0</v>
      </c>
      <c r="G70" s="278">
        <f>F20</f>
        <v>0</v>
      </c>
      <c r="H70" s="278">
        <f>G20</f>
        <v>0</v>
      </c>
      <c r="I70" s="278">
        <f>H20</f>
        <v>0</v>
      </c>
      <c r="J70" s="278">
        <f>I18</f>
        <v>401455.58</v>
      </c>
      <c r="K70" s="278">
        <f>J18</f>
        <v>46087.74</v>
      </c>
      <c r="L70" s="278">
        <f>K18</f>
        <v>56127.06</v>
      </c>
      <c r="M70" s="278">
        <f>L18</f>
        <v>52366.19</v>
      </c>
      <c r="N70" s="278">
        <f>M18</f>
        <v>51806.13</v>
      </c>
      <c r="O70" s="357">
        <f t="shared" si="21"/>
        <v>607842.70000000007</v>
      </c>
      <c r="P70" s="96"/>
    </row>
    <row r="71" spans="1:19" ht="15.75" x14ac:dyDescent="0.25">
      <c r="A71" s="81" t="s">
        <v>141</v>
      </c>
      <c r="B71" s="95">
        <v>0</v>
      </c>
      <c r="C71" s="95"/>
      <c r="D71" s="95"/>
      <c r="E71" s="95"/>
      <c r="F71" s="278"/>
      <c r="G71" s="278"/>
      <c r="H71" s="278"/>
      <c r="I71" s="278"/>
      <c r="J71" s="278"/>
      <c r="K71" s="278"/>
      <c r="L71" s="278"/>
      <c r="M71" s="278"/>
      <c r="N71" s="278"/>
      <c r="O71" s="357">
        <f t="shared" si="21"/>
        <v>0</v>
      </c>
      <c r="P71" s="96"/>
    </row>
    <row r="72" spans="1:19" ht="15.75" x14ac:dyDescent="0.25">
      <c r="A72" s="81" t="s">
        <v>148</v>
      </c>
      <c r="B72" s="95">
        <v>0</v>
      </c>
      <c r="C72" s="95"/>
      <c r="D72" s="95"/>
      <c r="E72" s="95"/>
      <c r="F72" s="278"/>
      <c r="G72" s="278"/>
      <c r="H72" s="278"/>
      <c r="I72" s="278"/>
      <c r="J72" s="278"/>
      <c r="K72" s="278"/>
      <c r="L72" s="278"/>
      <c r="M72" s="278"/>
      <c r="N72" s="278"/>
      <c r="O72" s="357">
        <f t="shared" si="21"/>
        <v>0</v>
      </c>
      <c r="P72" s="96"/>
    </row>
    <row r="73" spans="1:19" ht="15.75" x14ac:dyDescent="0.25">
      <c r="A73" s="74"/>
      <c r="B73" s="75"/>
      <c r="C73" s="75"/>
      <c r="D73" s="75"/>
      <c r="E73" s="75"/>
      <c r="F73" s="79"/>
      <c r="G73" s="79"/>
      <c r="H73" s="79"/>
      <c r="I73" s="79"/>
      <c r="J73" s="79"/>
      <c r="K73" s="79"/>
      <c r="L73" s="79"/>
      <c r="M73" s="79"/>
      <c r="N73" s="79"/>
      <c r="O73" s="84"/>
      <c r="P73" s="97"/>
    </row>
    <row r="74" spans="1:19" ht="15.75" x14ac:dyDescent="0.25">
      <c r="A74" s="80" t="s">
        <v>142</v>
      </c>
      <c r="B74" s="76">
        <f t="shared" ref="B74:O74" si="22">B58+B64</f>
        <v>38503500</v>
      </c>
      <c r="C74" s="76">
        <f t="shared" si="22"/>
        <v>0</v>
      </c>
      <c r="D74" s="76">
        <f t="shared" si="22"/>
        <v>0</v>
      </c>
      <c r="E74" s="76">
        <f t="shared" si="22"/>
        <v>0</v>
      </c>
      <c r="F74" s="76">
        <f t="shared" si="22"/>
        <v>0</v>
      </c>
      <c r="G74" s="76">
        <f t="shared" si="22"/>
        <v>0</v>
      </c>
      <c r="H74" s="76">
        <f t="shared" si="22"/>
        <v>0</v>
      </c>
      <c r="I74" s="76">
        <f t="shared" si="22"/>
        <v>0</v>
      </c>
      <c r="J74" s="76">
        <f t="shared" si="22"/>
        <v>28650149.039999999</v>
      </c>
      <c r="K74" s="76">
        <f t="shared" si="22"/>
        <v>3038235.9000000004</v>
      </c>
      <c r="L74" s="76">
        <f t="shared" si="22"/>
        <v>3045831.39</v>
      </c>
      <c r="M74" s="76">
        <f t="shared" si="22"/>
        <v>3715162.3</v>
      </c>
      <c r="N74" s="76">
        <f t="shared" si="22"/>
        <v>5610865.5299999993</v>
      </c>
      <c r="O74" s="76">
        <f t="shared" si="22"/>
        <v>44060244.159999996</v>
      </c>
      <c r="P74" s="96"/>
    </row>
    <row r="75" spans="1:19" ht="15.75" x14ac:dyDescent="0.25">
      <c r="A75" s="83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97"/>
    </row>
    <row r="76" spans="1:19" ht="15.75" x14ac:dyDescent="0.25">
      <c r="A76" s="80" t="s">
        <v>144</v>
      </c>
      <c r="B76" s="76">
        <f>SUM(B65+B67+B68+B69+B70)*20%</f>
        <v>6656860</v>
      </c>
      <c r="C76" s="76">
        <f>B35</f>
        <v>0</v>
      </c>
      <c r="D76" s="76">
        <f>C35</f>
        <v>0</v>
      </c>
      <c r="E76" s="76">
        <f>D35</f>
        <v>0</v>
      </c>
      <c r="F76" s="76">
        <f>E35</f>
        <v>0</v>
      </c>
      <c r="G76" s="76">
        <f>F35</f>
        <v>0</v>
      </c>
      <c r="H76" s="76">
        <f>G35</f>
        <v>0</v>
      </c>
      <c r="I76" s="76">
        <f>H35</f>
        <v>0</v>
      </c>
      <c r="J76" s="76">
        <f>I35</f>
        <v>5282606.2300000004</v>
      </c>
      <c r="K76" s="76">
        <f>J35</f>
        <v>551798.6</v>
      </c>
      <c r="L76" s="76">
        <f>K35</f>
        <v>599056.9</v>
      </c>
      <c r="M76" s="76">
        <f>L35</f>
        <v>707255.54</v>
      </c>
      <c r="N76" s="76">
        <f>M35</f>
        <v>763302.06</v>
      </c>
      <c r="O76" s="76">
        <f>SUM(C76:N76)</f>
        <v>7904019.3300000001</v>
      </c>
      <c r="P76" s="96"/>
    </row>
    <row r="77" spans="1:19" ht="15.75" x14ac:dyDescent="0.25">
      <c r="A77" s="83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>
        <f>N77-N76</f>
        <v>886.83399999991525</v>
      </c>
      <c r="N77" s="84">
        <f>SUM(N65+N67+N68+N69+N70)*20%</f>
        <v>764188.89399999997</v>
      </c>
      <c r="O77" s="84"/>
      <c r="P77" s="97"/>
    </row>
    <row r="78" spans="1:19" ht="63" x14ac:dyDescent="0.25">
      <c r="A78" s="99" t="s">
        <v>146</v>
      </c>
      <c r="B78" s="76">
        <f t="shared" ref="B78:M78" si="23">((B65+B67+B68+B69+B70)*5%)+((B58+B66+B71+B72)*25%)</f>
        <v>2969015</v>
      </c>
      <c r="C78" s="76">
        <f t="shared" si="23"/>
        <v>0</v>
      </c>
      <c r="D78" s="76">
        <f t="shared" si="23"/>
        <v>0</v>
      </c>
      <c r="E78" s="76">
        <f t="shared" si="23"/>
        <v>0</v>
      </c>
      <c r="F78" s="76">
        <f t="shared" si="23"/>
        <v>0</v>
      </c>
      <c r="G78" s="76">
        <f t="shared" si="23"/>
        <v>0</v>
      </c>
      <c r="H78" s="76">
        <f t="shared" si="23"/>
        <v>0</v>
      </c>
      <c r="I78" s="76">
        <f t="shared" si="23"/>
        <v>0</v>
      </c>
      <c r="J78" s="76">
        <f t="shared" si="23"/>
        <v>1934962.32</v>
      </c>
      <c r="K78" s="76">
        <f t="shared" si="23"/>
        <v>163178.95500000005</v>
      </c>
      <c r="L78" s="76">
        <f t="shared" si="23"/>
        <v>161542.53950000001</v>
      </c>
      <c r="M78" s="76">
        <f t="shared" si="23"/>
        <v>220910.81099999999</v>
      </c>
      <c r="N78" s="76">
        <f>((N65+N67+N68+N69+N70)*5%)+((N58+N66+N71+N72)*25%)</f>
        <v>638527.48849999998</v>
      </c>
      <c r="O78" s="76">
        <f>SUM(C78:N78)</f>
        <v>3119122.1140000001</v>
      </c>
      <c r="P78" s="255"/>
      <c r="R78" s="194" t="s">
        <v>200</v>
      </c>
      <c r="S78" s="192" t="s">
        <v>213</v>
      </c>
    </row>
    <row r="79" spans="1:19" ht="15.75" x14ac:dyDescent="0.25">
      <c r="A79" s="86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97"/>
      <c r="R79" s="72"/>
      <c r="S79" s="72"/>
    </row>
    <row r="80" spans="1:19" ht="15.75" x14ac:dyDescent="0.25">
      <c r="A80" s="99" t="s">
        <v>149</v>
      </c>
      <c r="B80" s="108">
        <f>B81+B84+B87</f>
        <v>18060600</v>
      </c>
      <c r="C80" s="108">
        <f t="shared" ref="C80:L80" si="24">C81+C84+C87</f>
        <v>0</v>
      </c>
      <c r="D80" s="108">
        <f t="shared" si="24"/>
        <v>0</v>
      </c>
      <c r="E80" s="108">
        <f t="shared" si="24"/>
        <v>0</v>
      </c>
      <c r="F80" s="108">
        <f t="shared" si="24"/>
        <v>0</v>
      </c>
      <c r="G80" s="108">
        <f t="shared" si="24"/>
        <v>0</v>
      </c>
      <c r="H80" s="108">
        <f t="shared" si="24"/>
        <v>0</v>
      </c>
      <c r="I80" s="108">
        <f t="shared" si="24"/>
        <v>0</v>
      </c>
      <c r="J80" s="108">
        <f>J81+J84+J87</f>
        <v>12734893.719999999</v>
      </c>
      <c r="K80" s="108">
        <f t="shared" si="24"/>
        <v>1457159.22</v>
      </c>
      <c r="L80" s="108">
        <f t="shared" si="24"/>
        <v>1544552.53</v>
      </c>
      <c r="M80" s="108">
        <f>M81+M84+M87</f>
        <v>1654679.35</v>
      </c>
      <c r="N80" s="108">
        <f>N81+N84+N87</f>
        <v>1757264.25</v>
      </c>
      <c r="O80" s="105">
        <f>SUM(C80:N80)</f>
        <v>19148549.07</v>
      </c>
      <c r="P80" s="285">
        <f>O80*70%</f>
        <v>13403984.348999999</v>
      </c>
      <c r="R80" s="102" t="s">
        <v>198</v>
      </c>
      <c r="S80" s="77">
        <f>Despesas!S3/S65</f>
        <v>0.71622617775708053</v>
      </c>
    </row>
    <row r="81" spans="1:19" ht="31.5" x14ac:dyDescent="0.25">
      <c r="A81" s="99" t="s">
        <v>150</v>
      </c>
      <c r="B81" s="108">
        <f>B82+B83</f>
        <v>13173500</v>
      </c>
      <c r="C81" s="108">
        <f t="shared" ref="C81:M81" si="25">C82+C83</f>
        <v>0</v>
      </c>
      <c r="D81" s="108">
        <f t="shared" si="25"/>
        <v>0</v>
      </c>
      <c r="E81" s="108">
        <f t="shared" si="25"/>
        <v>0</v>
      </c>
      <c r="F81" s="108">
        <f t="shared" si="25"/>
        <v>0</v>
      </c>
      <c r="G81" s="108">
        <f t="shared" si="25"/>
        <v>0</v>
      </c>
      <c r="H81" s="108">
        <f t="shared" si="25"/>
        <v>0</v>
      </c>
      <c r="I81" s="108">
        <f t="shared" si="25"/>
        <v>0</v>
      </c>
      <c r="J81" s="108">
        <f t="shared" si="25"/>
        <v>8311337.7700000005</v>
      </c>
      <c r="K81" s="108">
        <f t="shared" si="25"/>
        <v>884581.81</v>
      </c>
      <c r="L81" s="108">
        <f t="shared" si="25"/>
        <v>973173.54</v>
      </c>
      <c r="M81" s="108">
        <f t="shared" si="25"/>
        <v>1083300.3600000001</v>
      </c>
      <c r="N81" s="108">
        <f>N82+N83</f>
        <v>1185885.26</v>
      </c>
      <c r="O81" s="105">
        <f>SUM(C81:N81)</f>
        <v>12438278.74</v>
      </c>
      <c r="P81" s="285">
        <f>P80-O98-O108</f>
        <v>13403984.348999999</v>
      </c>
      <c r="R81" s="72"/>
      <c r="S81" s="72"/>
    </row>
    <row r="82" spans="1:19" ht="15.75" x14ac:dyDescent="0.25">
      <c r="A82" s="103" t="s">
        <v>151</v>
      </c>
      <c r="B82" s="88">
        <v>13169500</v>
      </c>
      <c r="C82" s="104"/>
      <c r="D82" s="104"/>
      <c r="E82" s="104"/>
      <c r="F82" s="104"/>
      <c r="G82" s="104"/>
      <c r="H82" s="104"/>
      <c r="I82" s="104"/>
      <c r="J82" s="104">
        <f>I46</f>
        <v>8272759.1900000004</v>
      </c>
      <c r="K82" s="104">
        <f>J46</f>
        <v>881103.06</v>
      </c>
      <c r="L82" s="104">
        <f>K46</f>
        <v>970407.49</v>
      </c>
      <c r="M82" s="104">
        <f>L46</f>
        <v>1081838.26</v>
      </c>
      <c r="N82" s="104">
        <f>M46</f>
        <v>1181883.1000000001</v>
      </c>
      <c r="O82" s="105">
        <f>SUM(C82:N82)</f>
        <v>12387991.1</v>
      </c>
      <c r="P82" s="285"/>
      <c r="R82" s="102" t="s">
        <v>305</v>
      </c>
      <c r="S82" s="77">
        <f>Despesas!O22/O87</f>
        <v>0.82863383810374625</v>
      </c>
    </row>
    <row r="83" spans="1:19" ht="15.75" x14ac:dyDescent="0.25">
      <c r="A83" s="103" t="s">
        <v>152</v>
      </c>
      <c r="B83" s="88">
        <v>4000</v>
      </c>
      <c r="C83" s="104"/>
      <c r="D83" s="104"/>
      <c r="E83" s="106"/>
      <c r="F83" s="104"/>
      <c r="G83" s="104"/>
      <c r="H83" s="104"/>
      <c r="I83" s="104"/>
      <c r="J83" s="104">
        <f>I47</f>
        <v>38578.579999999994</v>
      </c>
      <c r="K83" s="104">
        <f>J47</f>
        <v>3478.75</v>
      </c>
      <c r="L83" s="104">
        <f>K47</f>
        <v>2766.0499999999997</v>
      </c>
      <c r="M83" s="104">
        <f>L47</f>
        <v>1462.1</v>
      </c>
      <c r="N83" s="104">
        <f>M47</f>
        <v>4002.16</v>
      </c>
      <c r="O83" s="105">
        <f>SUM(C83:N83)</f>
        <v>50287.64</v>
      </c>
      <c r="P83" s="285"/>
      <c r="R83" s="72"/>
      <c r="S83" s="72"/>
    </row>
    <row r="84" spans="1:19" ht="31.5" x14ac:dyDescent="0.25">
      <c r="A84" s="99" t="s">
        <v>153</v>
      </c>
      <c r="B84" s="108">
        <f>B85+B86</f>
        <v>4887100</v>
      </c>
      <c r="C84" s="108">
        <f t="shared" ref="C84:G84" si="26">C85+C86</f>
        <v>0</v>
      </c>
      <c r="D84" s="108">
        <f t="shared" si="26"/>
        <v>0</v>
      </c>
      <c r="E84" s="108">
        <f t="shared" si="26"/>
        <v>0</v>
      </c>
      <c r="F84" s="108">
        <f t="shared" si="26"/>
        <v>0</v>
      </c>
      <c r="G84" s="108">
        <f t="shared" si="26"/>
        <v>0</v>
      </c>
      <c r="H84" s="105">
        <f>G48</f>
        <v>0</v>
      </c>
      <c r="I84" s="105">
        <f>H48</f>
        <v>0</v>
      </c>
      <c r="J84" s="105">
        <f>I48</f>
        <v>3101905.25</v>
      </c>
      <c r="K84" s="105">
        <f>J48</f>
        <v>383455.21</v>
      </c>
      <c r="L84" s="105">
        <f>K48</f>
        <v>382256.79</v>
      </c>
      <c r="M84" s="105">
        <f>L48</f>
        <v>382256.79</v>
      </c>
      <c r="N84" s="105">
        <f>M48</f>
        <v>382256.79</v>
      </c>
      <c r="O84" s="105">
        <f t="shared" ref="O84:O89" si="27">SUM(C84:N84)</f>
        <v>4632130.83</v>
      </c>
      <c r="P84" s="285"/>
      <c r="R84" s="102" t="s">
        <v>306</v>
      </c>
      <c r="S84" s="77">
        <f>Despesas!O15/Receitas!O87</f>
        <v>0.15494519978086169</v>
      </c>
    </row>
    <row r="85" spans="1:19" ht="15.75" x14ac:dyDescent="0.25">
      <c r="A85" s="103" t="s">
        <v>154</v>
      </c>
      <c r="B85" s="88">
        <v>4887100</v>
      </c>
      <c r="C85" s="104"/>
      <c r="D85" s="104"/>
      <c r="E85" s="104"/>
      <c r="F85" s="104"/>
      <c r="G85" s="104"/>
      <c r="H85" s="104"/>
      <c r="I85" s="104"/>
      <c r="J85" s="104">
        <f>I49</f>
        <v>3101905.25</v>
      </c>
      <c r="K85" s="104">
        <f>J49</f>
        <v>383455.21</v>
      </c>
      <c r="L85" s="104">
        <f>K49</f>
        <v>382256.79</v>
      </c>
      <c r="M85" s="104">
        <f>L49</f>
        <v>382256.79</v>
      </c>
      <c r="N85" s="104">
        <f>M49</f>
        <v>382256.79</v>
      </c>
      <c r="O85" s="105">
        <f t="shared" si="27"/>
        <v>4632130.83</v>
      </c>
      <c r="P85" s="327"/>
      <c r="R85" s="72"/>
      <c r="S85" s="72"/>
    </row>
    <row r="86" spans="1:19" ht="15.75" x14ac:dyDescent="0.25">
      <c r="A86" s="103" t="s">
        <v>155</v>
      </c>
      <c r="B86" s="88">
        <v>0</v>
      </c>
      <c r="C86" s="104"/>
      <c r="D86" s="104"/>
      <c r="E86" s="104"/>
      <c r="F86" s="104"/>
      <c r="G86" s="104"/>
      <c r="H86" s="104"/>
      <c r="I86" s="104"/>
      <c r="J86" s="104">
        <f>I50</f>
        <v>0</v>
      </c>
      <c r="K86" s="104">
        <f>J50</f>
        <v>0</v>
      </c>
      <c r="L86" s="104">
        <f>K50</f>
        <v>0</v>
      </c>
      <c r="M86" s="104">
        <f>L50</f>
        <v>0</v>
      </c>
      <c r="N86" s="104">
        <f>M50</f>
        <v>0</v>
      </c>
      <c r="O86" s="105">
        <f t="shared" si="27"/>
        <v>0</v>
      </c>
      <c r="P86" s="327"/>
      <c r="R86" s="102" t="s">
        <v>304</v>
      </c>
      <c r="S86" s="77">
        <f>SUM(Despesas!S5/Receitas!S63)</f>
        <v>1.1815439240768013</v>
      </c>
    </row>
    <row r="87" spans="1:19" ht="31.5" x14ac:dyDescent="0.25">
      <c r="A87" s="99" t="s">
        <v>156</v>
      </c>
      <c r="B87" s="108">
        <f>B88+B89</f>
        <v>0</v>
      </c>
      <c r="C87" s="108">
        <f t="shared" ref="C87:N87" si="28">C88+C89</f>
        <v>0</v>
      </c>
      <c r="D87" s="108">
        <f t="shared" si="28"/>
        <v>0</v>
      </c>
      <c r="E87" s="108">
        <f t="shared" si="28"/>
        <v>0</v>
      </c>
      <c r="F87" s="108">
        <f t="shared" si="28"/>
        <v>0</v>
      </c>
      <c r="G87" s="108">
        <f t="shared" si="28"/>
        <v>0</v>
      </c>
      <c r="H87" s="108">
        <f t="shared" si="28"/>
        <v>0</v>
      </c>
      <c r="I87" s="108">
        <f t="shared" si="28"/>
        <v>0</v>
      </c>
      <c r="J87" s="108">
        <f t="shared" si="28"/>
        <v>1321650.7</v>
      </c>
      <c r="K87" s="108">
        <f t="shared" si="28"/>
        <v>189122.2</v>
      </c>
      <c r="L87" s="108">
        <f t="shared" si="28"/>
        <v>189122.2</v>
      </c>
      <c r="M87" s="108">
        <f t="shared" si="28"/>
        <v>189122.2</v>
      </c>
      <c r="N87" s="108">
        <f t="shared" si="28"/>
        <v>189122.2</v>
      </c>
      <c r="O87" s="105">
        <f>SUM(C87:N87)</f>
        <v>2078139.4999999998</v>
      </c>
      <c r="P87" s="285"/>
      <c r="R87" s="72"/>
      <c r="S87" s="72"/>
    </row>
    <row r="88" spans="1:19" ht="15.75" x14ac:dyDescent="0.25">
      <c r="A88" s="103" t="s">
        <v>157</v>
      </c>
      <c r="B88" s="101">
        <v>0</v>
      </c>
      <c r="C88" s="107"/>
      <c r="D88" s="104"/>
      <c r="E88" s="107"/>
      <c r="F88" s="104"/>
      <c r="G88" s="104"/>
      <c r="H88" s="104"/>
      <c r="I88" s="104"/>
      <c r="J88" s="104">
        <f>I52</f>
        <v>1321650.7</v>
      </c>
      <c r="K88" s="104">
        <f>J52</f>
        <v>189122.2</v>
      </c>
      <c r="L88" s="104">
        <f>K52</f>
        <v>189122.2</v>
      </c>
      <c r="M88" s="104">
        <f>L52</f>
        <v>189122.2</v>
      </c>
      <c r="N88" s="104">
        <f>M52</f>
        <v>189122.2</v>
      </c>
      <c r="O88" s="105">
        <f t="shared" si="27"/>
        <v>2078139.4999999998</v>
      </c>
      <c r="P88" s="285">
        <f>O88*15%</f>
        <v>311720.92499999993</v>
      </c>
      <c r="R88" s="199" t="s">
        <v>203</v>
      </c>
      <c r="S88" s="200">
        <f>SUM(Receitas!S62+Despesas!S5)/S60</f>
        <v>0.26281860168429905</v>
      </c>
    </row>
    <row r="89" spans="1:19" ht="15.75" x14ac:dyDescent="0.25">
      <c r="A89" s="103" t="s">
        <v>158</v>
      </c>
      <c r="B89" s="101">
        <v>0</v>
      </c>
      <c r="C89" s="106"/>
      <c r="D89" s="104"/>
      <c r="E89" s="104"/>
      <c r="F89" s="104"/>
      <c r="G89" s="104"/>
      <c r="H89" s="104"/>
      <c r="I89" s="104"/>
      <c r="J89" s="104">
        <f>I53</f>
        <v>0</v>
      </c>
      <c r="K89" s="104">
        <f>J53</f>
        <v>0</v>
      </c>
      <c r="L89" s="104">
        <f>K53</f>
        <v>0</v>
      </c>
      <c r="M89" s="104">
        <f>L53</f>
        <v>0</v>
      </c>
      <c r="N89" s="104">
        <f>M53</f>
        <v>0</v>
      </c>
      <c r="O89" s="105">
        <f t="shared" si="27"/>
        <v>0</v>
      </c>
      <c r="P89" s="285">
        <f>P88-O108</f>
        <v>311720.92499999993</v>
      </c>
    </row>
    <row r="90" spans="1:19" ht="15.75" x14ac:dyDescent="0.25">
      <c r="A90" s="99"/>
      <c r="B90" s="102"/>
      <c r="C90" s="102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111"/>
      <c r="P90" s="285"/>
    </row>
    <row r="91" spans="1:19" ht="31.5" x14ac:dyDescent="0.25">
      <c r="A91" s="99" t="s">
        <v>159</v>
      </c>
      <c r="B91" s="109">
        <f t="shared" ref="B91:N91" si="29">B82-B76</f>
        <v>6512640</v>
      </c>
      <c r="C91" s="109">
        <f t="shared" si="29"/>
        <v>0</v>
      </c>
      <c r="D91" s="109">
        <f t="shared" si="29"/>
        <v>0</v>
      </c>
      <c r="E91" s="109">
        <f t="shared" si="29"/>
        <v>0</v>
      </c>
      <c r="F91" s="109">
        <f t="shared" si="29"/>
        <v>0</v>
      </c>
      <c r="G91" s="109">
        <f t="shared" si="29"/>
        <v>0</v>
      </c>
      <c r="H91" s="109">
        <f t="shared" si="29"/>
        <v>0</v>
      </c>
      <c r="I91" s="109">
        <f t="shared" si="29"/>
        <v>0</v>
      </c>
      <c r="J91" s="109">
        <f t="shared" si="29"/>
        <v>2990152.96</v>
      </c>
      <c r="K91" s="109">
        <f t="shared" si="29"/>
        <v>329304.46000000008</v>
      </c>
      <c r="L91" s="109">
        <f t="shared" si="29"/>
        <v>371350.58999999997</v>
      </c>
      <c r="M91" s="109">
        <f t="shared" si="29"/>
        <v>374582.72</v>
      </c>
      <c r="N91" s="109">
        <f t="shared" si="29"/>
        <v>418581.04000000004</v>
      </c>
      <c r="O91" s="110">
        <f>SUM(C91:N91)</f>
        <v>4483971.7699999996</v>
      </c>
      <c r="P91" s="285"/>
    </row>
    <row r="92" spans="1:19" x14ac:dyDescent="0.2">
      <c r="P92" s="119"/>
    </row>
    <row r="93" spans="1:19" ht="13.5" thickBot="1" x14ac:dyDescent="0.25">
      <c r="P93" s="119"/>
    </row>
    <row r="94" spans="1:19" ht="18.75" thickBot="1" x14ac:dyDescent="0.25">
      <c r="A94" s="460" t="s">
        <v>208</v>
      </c>
      <c r="B94" s="461"/>
      <c r="C94" s="461"/>
      <c r="D94" s="461"/>
      <c r="E94" s="462"/>
      <c r="P94" s="119"/>
    </row>
    <row r="95" spans="1:19" x14ac:dyDescent="0.2">
      <c r="A95" s="463" t="s">
        <v>16</v>
      </c>
      <c r="B95" s="465" t="s">
        <v>7</v>
      </c>
      <c r="C95" s="467" t="s">
        <v>8</v>
      </c>
      <c r="D95" s="465" t="s">
        <v>9</v>
      </c>
      <c r="E95" s="469"/>
      <c r="P95" s="119"/>
    </row>
    <row r="96" spans="1:19" ht="13.5" thickBot="1" x14ac:dyDescent="0.25">
      <c r="A96" s="464"/>
      <c r="B96" s="466"/>
      <c r="C96" s="468"/>
      <c r="D96" s="421" t="s">
        <v>2</v>
      </c>
      <c r="E96" s="218" t="s">
        <v>10</v>
      </c>
      <c r="P96" s="119"/>
    </row>
    <row r="97" spans="1:16" x14ac:dyDescent="0.2">
      <c r="A97" s="219" t="s">
        <v>17</v>
      </c>
      <c r="B97" s="220">
        <f>SUM(B98:B105)</f>
        <v>3386000</v>
      </c>
      <c r="C97" s="220">
        <f>SUM(C98:C105)</f>
        <v>3386000</v>
      </c>
      <c r="D97" s="221">
        <f>SUM(D98:D106)</f>
        <v>1770444.1800000002</v>
      </c>
      <c r="E97" s="222">
        <f>D97/C97</f>
        <v>0.52287187832250448</v>
      </c>
      <c r="P97" s="119"/>
    </row>
    <row r="98" spans="1:16" x14ac:dyDescent="0.2">
      <c r="A98" s="223" t="s">
        <v>18</v>
      </c>
      <c r="B98" s="224">
        <v>690000</v>
      </c>
      <c r="C98" s="224">
        <f>B98</f>
        <v>690000</v>
      </c>
      <c r="D98" s="225">
        <f>Receitas!N4</f>
        <v>247328.94</v>
      </c>
      <c r="E98" s="222">
        <f t="shared" ref="E98:E115" si="30">D98/C98</f>
        <v>0.35844773913043476</v>
      </c>
      <c r="P98" s="119"/>
    </row>
    <row r="99" spans="1:16" x14ac:dyDescent="0.2">
      <c r="A99" s="223" t="s">
        <v>19</v>
      </c>
      <c r="B99" s="224">
        <v>1004000</v>
      </c>
      <c r="C99" s="224">
        <f>B99</f>
        <v>1004000</v>
      </c>
      <c r="D99" s="225">
        <f>Receitas!N6</f>
        <v>337676.82999999996</v>
      </c>
      <c r="E99" s="222">
        <f t="shared" si="30"/>
        <v>0.3363315039840637</v>
      </c>
      <c r="P99" s="119"/>
    </row>
    <row r="100" spans="1:16" x14ac:dyDescent="0.2">
      <c r="A100" s="223" t="s">
        <v>20</v>
      </c>
      <c r="B100" s="224">
        <v>672000</v>
      </c>
      <c r="C100" s="224">
        <f>B100</f>
        <v>672000</v>
      </c>
      <c r="D100" s="225">
        <f>Receitas!N5</f>
        <v>346297.02</v>
      </c>
      <c r="E100" s="222">
        <f t="shared" si="30"/>
        <v>0.51532294642857146</v>
      </c>
      <c r="P100" s="119"/>
    </row>
    <row r="101" spans="1:16" x14ac:dyDescent="0.2">
      <c r="A101" s="223" t="s">
        <v>21</v>
      </c>
      <c r="B101" s="224">
        <v>1020000</v>
      </c>
      <c r="C101" s="224">
        <f>B101</f>
        <v>1020000</v>
      </c>
      <c r="D101" s="225">
        <f>Receitas!N7</f>
        <v>839141.39</v>
      </c>
      <c r="E101" s="222">
        <f t="shared" si="30"/>
        <v>0.82268763725490202</v>
      </c>
      <c r="P101" s="119"/>
    </row>
    <row r="102" spans="1:16" x14ac:dyDescent="0.2">
      <c r="A102" s="223" t="s">
        <v>22</v>
      </c>
      <c r="B102" s="224"/>
      <c r="C102" s="224"/>
      <c r="D102" s="225"/>
      <c r="E102" s="222"/>
      <c r="P102" s="119"/>
    </row>
    <row r="103" spans="1:16" x14ac:dyDescent="0.2">
      <c r="A103" s="223" t="s">
        <v>205</v>
      </c>
      <c r="B103" s="224"/>
      <c r="C103" s="224"/>
      <c r="E103" s="222"/>
      <c r="P103" s="119"/>
    </row>
    <row r="104" spans="1:16" x14ac:dyDescent="0.2">
      <c r="A104" s="223" t="s">
        <v>23</v>
      </c>
      <c r="B104" s="224"/>
      <c r="C104" s="224"/>
      <c r="D104" s="225"/>
      <c r="E104" s="222"/>
      <c r="P104" s="119"/>
    </row>
    <row r="105" spans="1:16" x14ac:dyDescent="0.2">
      <c r="A105" s="223" t="s">
        <v>24</v>
      </c>
      <c r="B105" s="224"/>
      <c r="C105" s="224"/>
      <c r="D105" s="225"/>
      <c r="E105" s="222"/>
      <c r="P105" s="119"/>
    </row>
    <row r="106" spans="1:16" x14ac:dyDescent="0.2">
      <c r="A106" s="223" t="s">
        <v>169</v>
      </c>
      <c r="B106" s="224"/>
      <c r="C106" s="224"/>
      <c r="D106" s="225"/>
      <c r="E106" s="222"/>
      <c r="P106" s="119"/>
    </row>
    <row r="107" spans="1:16" x14ac:dyDescent="0.2">
      <c r="A107" s="226" t="s">
        <v>206</v>
      </c>
      <c r="B107" s="220">
        <f>SUM(B108:B114)</f>
        <v>34623400</v>
      </c>
      <c r="C107" s="220">
        <f>SUM(C108:C114)</f>
        <v>34623400</v>
      </c>
      <c r="D107" s="221">
        <f>SUM(D108:D114)</f>
        <v>39479694.630000003</v>
      </c>
      <c r="E107" s="222">
        <f t="shared" si="30"/>
        <v>1.1402604778848988</v>
      </c>
      <c r="P107" s="119"/>
    </row>
    <row r="108" spans="1:16" x14ac:dyDescent="0.2">
      <c r="A108" s="223" t="s">
        <v>25</v>
      </c>
      <c r="B108" s="224">
        <v>25712000</v>
      </c>
      <c r="C108" s="224">
        <f t="shared" ref="C108:C113" si="31">B108</f>
        <v>25712000</v>
      </c>
      <c r="D108" s="225">
        <f>Receitas!N14</f>
        <v>29330946.539999999</v>
      </c>
      <c r="E108" s="222">
        <v>0</v>
      </c>
      <c r="P108" s="119"/>
    </row>
    <row r="109" spans="1:16" x14ac:dyDescent="0.2">
      <c r="A109" s="223" t="s">
        <v>26</v>
      </c>
      <c r="B109" s="224">
        <v>27500</v>
      </c>
      <c r="C109" s="224">
        <f t="shared" si="31"/>
        <v>27500</v>
      </c>
      <c r="D109" s="225">
        <f>Receitas!N16</f>
        <v>66238.880000000005</v>
      </c>
      <c r="E109" s="222">
        <f t="shared" si="30"/>
        <v>2.4086865454545454</v>
      </c>
      <c r="P109" s="119"/>
    </row>
    <row r="110" spans="1:16" x14ac:dyDescent="0.2">
      <c r="A110" s="223" t="s">
        <v>27</v>
      </c>
      <c r="B110" s="224">
        <v>534000</v>
      </c>
      <c r="C110" s="224">
        <f t="shared" si="31"/>
        <v>534000</v>
      </c>
      <c r="D110" s="225">
        <f>Receitas!N18</f>
        <v>607842.70000000007</v>
      </c>
      <c r="E110" s="222">
        <f t="shared" si="30"/>
        <v>1.1382822097378278</v>
      </c>
      <c r="P110" s="119"/>
    </row>
    <row r="111" spans="1:16" x14ac:dyDescent="0.2">
      <c r="A111" s="223" t="s">
        <v>28</v>
      </c>
      <c r="B111" s="224">
        <v>8260000</v>
      </c>
      <c r="C111" s="224">
        <f t="shared" si="31"/>
        <v>8260000</v>
      </c>
      <c r="D111" s="225">
        <f>Receitas!N17</f>
        <v>9425012.129999999</v>
      </c>
      <c r="E111" s="222">
        <f t="shared" si="30"/>
        <v>1.1410426307506052</v>
      </c>
      <c r="P111" s="119"/>
    </row>
    <row r="112" spans="1:16" x14ac:dyDescent="0.2">
      <c r="A112" s="223" t="s">
        <v>29</v>
      </c>
      <c r="B112" s="224">
        <v>70000</v>
      </c>
      <c r="C112" s="224">
        <f t="shared" si="31"/>
        <v>70000</v>
      </c>
      <c r="D112" s="225">
        <f>Receitas!N20</f>
        <v>49654.380000000005</v>
      </c>
      <c r="E112" s="222">
        <f t="shared" si="30"/>
        <v>0.70934828571428576</v>
      </c>
      <c r="P112" s="119"/>
    </row>
    <row r="113" spans="1:16" x14ac:dyDescent="0.2">
      <c r="A113" s="223" t="s">
        <v>30</v>
      </c>
      <c r="B113" s="224">
        <v>19900</v>
      </c>
      <c r="C113" s="224">
        <f t="shared" si="31"/>
        <v>19900</v>
      </c>
      <c r="D113" s="225"/>
      <c r="E113" s="222">
        <f t="shared" si="30"/>
        <v>0</v>
      </c>
      <c r="P113" s="119"/>
    </row>
    <row r="114" spans="1:16" x14ac:dyDescent="0.2">
      <c r="A114" s="223" t="s">
        <v>31</v>
      </c>
      <c r="B114" s="224">
        <v>0</v>
      </c>
      <c r="C114" s="224">
        <v>0</v>
      </c>
      <c r="D114" s="225">
        <v>0</v>
      </c>
      <c r="E114" s="222">
        <v>0</v>
      </c>
      <c r="P114" s="119"/>
    </row>
    <row r="115" spans="1:16" ht="13.5" thickBot="1" x14ac:dyDescent="0.25">
      <c r="A115" s="230" t="s">
        <v>32</v>
      </c>
      <c r="B115" s="227">
        <f>SUM(B97,B107)</f>
        <v>38009400</v>
      </c>
      <c r="C115" s="227">
        <f>SUM(C97,C107)</f>
        <v>38009400</v>
      </c>
      <c r="D115" s="228">
        <f>SUM(D97,D107)</f>
        <v>41250138.810000002</v>
      </c>
      <c r="E115" s="229">
        <f t="shared" si="30"/>
        <v>1.0852615092582363</v>
      </c>
      <c r="P115" s="119"/>
    </row>
    <row r="116" spans="1:16" x14ac:dyDescent="0.2">
      <c r="P116" s="119"/>
    </row>
    <row r="117" spans="1:16" ht="15.75" x14ac:dyDescent="0.25">
      <c r="A117" s="483" t="s">
        <v>216</v>
      </c>
      <c r="B117" s="484"/>
      <c r="C117" s="484"/>
      <c r="D117" s="484"/>
      <c r="E117" s="484"/>
      <c r="F117" s="484"/>
      <c r="G117" s="484"/>
      <c r="H117" s="484"/>
      <c r="I117" s="484"/>
      <c r="J117" s="484"/>
      <c r="K117" s="484"/>
      <c r="L117" s="484"/>
      <c r="M117" s="484"/>
      <c r="N117" s="485"/>
      <c r="P117" s="119"/>
    </row>
    <row r="118" spans="1:16" ht="15.75" x14ac:dyDescent="0.25">
      <c r="A118" s="135"/>
      <c r="B118" s="135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P118" s="119"/>
    </row>
    <row r="119" spans="1:16" ht="15.75" x14ac:dyDescent="0.25">
      <c r="A119" s="136" t="s">
        <v>179</v>
      </c>
      <c r="B119" s="352"/>
      <c r="C119" s="352"/>
      <c r="D119" s="352"/>
      <c r="E119" s="352"/>
      <c r="F119" s="352"/>
      <c r="G119" s="352"/>
      <c r="H119" s="352"/>
      <c r="I119" s="352">
        <v>44774</v>
      </c>
      <c r="J119" s="42">
        <v>44805</v>
      </c>
      <c r="K119" s="42">
        <v>44835</v>
      </c>
      <c r="L119" s="42">
        <v>44866</v>
      </c>
      <c r="M119" s="42">
        <v>44896</v>
      </c>
      <c r="N119" s="43" t="s">
        <v>1</v>
      </c>
      <c r="P119" s="119"/>
    </row>
    <row r="120" spans="1:16" ht="15.75" x14ac:dyDescent="0.25">
      <c r="A120" s="132" t="s">
        <v>162</v>
      </c>
      <c r="B120" s="45"/>
      <c r="C120" s="45"/>
      <c r="D120" s="45"/>
      <c r="E120" s="45"/>
      <c r="F120" s="45"/>
      <c r="G120" s="45"/>
      <c r="H120" s="45"/>
      <c r="I120" s="45">
        <v>22181819.359999999</v>
      </c>
      <c r="J120" s="45">
        <v>2825019.31</v>
      </c>
      <c r="K120" s="45">
        <v>2741536.49</v>
      </c>
      <c r="L120" s="45">
        <v>2757498.89</v>
      </c>
      <c r="M120" s="45">
        <v>4483792.13</v>
      </c>
      <c r="N120" s="46">
        <f>SUM(B120:M120)</f>
        <v>34989666.18</v>
      </c>
      <c r="P120" s="119"/>
    </row>
    <row r="121" spans="1:16" ht="15.75" x14ac:dyDescent="0.25">
      <c r="A121" s="132" t="s">
        <v>163</v>
      </c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6">
        <f t="shared" ref="N121:N123" si="32">SUM(B121:M121)</f>
        <v>0</v>
      </c>
      <c r="P121" s="119"/>
    </row>
    <row r="122" spans="1:16" ht="15.75" x14ac:dyDescent="0.25">
      <c r="A122" s="132" t="s">
        <v>166</v>
      </c>
      <c r="B122" s="45"/>
      <c r="C122" s="45"/>
      <c r="D122" s="45"/>
      <c r="E122" s="45"/>
      <c r="F122" s="45"/>
      <c r="G122" s="45"/>
      <c r="H122" s="45"/>
      <c r="I122" s="45">
        <v>1680839.06</v>
      </c>
      <c r="J122" s="45">
        <v>252613.77</v>
      </c>
      <c r="K122" s="45">
        <v>287637.42</v>
      </c>
      <c r="L122" s="45">
        <v>557828.21</v>
      </c>
      <c r="M122" s="36">
        <v>662661.87</v>
      </c>
      <c r="N122" s="46">
        <f>SUM(B122:M122)</f>
        <v>3441580.33</v>
      </c>
      <c r="P122" s="119"/>
    </row>
    <row r="123" spans="1:16" ht="15.75" x14ac:dyDescent="0.25">
      <c r="A123" s="132" t="s">
        <v>164</v>
      </c>
      <c r="B123" s="45"/>
      <c r="C123" s="45"/>
      <c r="D123" s="45"/>
      <c r="E123" s="45"/>
      <c r="F123" s="45"/>
      <c r="G123" s="45"/>
      <c r="H123" s="45"/>
      <c r="I123" s="45"/>
      <c r="J123" s="45"/>
      <c r="K123" s="45">
        <f>14448.53+5993.86</f>
        <v>20442.39</v>
      </c>
      <c r="L123" s="45"/>
      <c r="M123" s="45"/>
      <c r="N123" s="46">
        <f t="shared" si="32"/>
        <v>20442.39</v>
      </c>
      <c r="P123" s="119"/>
    </row>
    <row r="124" spans="1:16" ht="15.75" x14ac:dyDescent="0.25">
      <c r="A124" s="132" t="s">
        <v>168</v>
      </c>
      <c r="B124" s="45"/>
      <c r="C124" s="45"/>
      <c r="D124" s="45"/>
      <c r="E124" s="45"/>
      <c r="F124" s="45"/>
      <c r="G124" s="45"/>
      <c r="H124" s="45"/>
      <c r="I124" s="36">
        <v>90659.6</v>
      </c>
      <c r="J124" s="45">
        <v>13102.06</v>
      </c>
      <c r="K124" s="45">
        <v>13102.06</v>
      </c>
      <c r="L124" s="45">
        <v>13102.06</v>
      </c>
      <c r="M124" s="45">
        <v>13102.06</v>
      </c>
      <c r="N124" s="46">
        <f>SUM(B124:M124)</f>
        <v>143067.84</v>
      </c>
      <c r="P124" s="119"/>
    </row>
    <row r="125" spans="1:16" ht="15.75" x14ac:dyDescent="0.25">
      <c r="A125" s="132" t="s">
        <v>165</v>
      </c>
      <c r="B125" s="45"/>
      <c r="C125" s="45"/>
      <c r="D125" s="45"/>
      <c r="E125" s="45"/>
      <c r="F125" s="45"/>
      <c r="G125" s="45"/>
      <c r="H125" s="45"/>
      <c r="I125" s="45">
        <f>5993.86+800000</f>
        <v>805993.86</v>
      </c>
      <c r="J125" s="45">
        <v>100000</v>
      </c>
      <c r="K125" s="45">
        <v>100000</v>
      </c>
      <c r="L125" s="45">
        <v>100000</v>
      </c>
      <c r="M125" s="45">
        <v>100000</v>
      </c>
      <c r="N125" s="46">
        <f>SUM(B125:M125)</f>
        <v>1205993.8599999999</v>
      </c>
      <c r="P125" s="119"/>
    </row>
    <row r="126" spans="1:16" ht="15.75" x14ac:dyDescent="0.25">
      <c r="A126" s="44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6"/>
      <c r="P126" s="119"/>
    </row>
    <row r="127" spans="1:16" ht="15.75" x14ac:dyDescent="0.25">
      <c r="A127" s="44" t="s">
        <v>167</v>
      </c>
      <c r="B127" s="46">
        <f>SUM(B120:B125)</f>
        <v>0</v>
      </c>
      <c r="C127" s="46">
        <f>SUM(C120:C125)</f>
        <v>0</v>
      </c>
      <c r="D127" s="46">
        <f>SUM(D120:D125)</f>
        <v>0</v>
      </c>
      <c r="E127" s="46">
        <f>SUM(E120:E125)</f>
        <v>0</v>
      </c>
      <c r="F127" s="46">
        <f t="shared" ref="F127:L127" si="33">SUM(F120:F125)</f>
        <v>0</v>
      </c>
      <c r="G127" s="46">
        <f t="shared" si="33"/>
        <v>0</v>
      </c>
      <c r="H127" s="46">
        <f t="shared" si="33"/>
        <v>0</v>
      </c>
      <c r="I127" s="46">
        <f>SUM(I120:I125)</f>
        <v>24759311.879999999</v>
      </c>
      <c r="J127" s="46">
        <f t="shared" si="33"/>
        <v>3190735.14</v>
      </c>
      <c r="K127" s="46">
        <f t="shared" si="33"/>
        <v>3162718.3600000003</v>
      </c>
      <c r="L127" s="46">
        <f t="shared" si="33"/>
        <v>3428429.16</v>
      </c>
      <c r="M127" s="46">
        <f>SUM(M120:M125)</f>
        <v>5259556.0599999996</v>
      </c>
      <c r="N127" s="46">
        <f>SUM(N120:N125)</f>
        <v>39800750.600000001</v>
      </c>
      <c r="P127" s="119"/>
    </row>
    <row r="128" spans="1:16" ht="15.75" x14ac:dyDescent="0.25">
      <c r="A128" s="44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6"/>
      <c r="P128" s="119"/>
    </row>
    <row r="129" spans="1:14" ht="15.75" x14ac:dyDescent="0.25">
      <c r="A129" s="55" t="s">
        <v>101</v>
      </c>
      <c r="B129" s="131">
        <v>0</v>
      </c>
      <c r="C129" s="131">
        <v>0</v>
      </c>
      <c r="D129" s="131">
        <v>0</v>
      </c>
      <c r="E129" s="131">
        <v>0</v>
      </c>
      <c r="F129" s="56"/>
      <c r="G129" s="56"/>
      <c r="H129" s="56"/>
      <c r="I129" s="56"/>
      <c r="J129" s="56"/>
      <c r="K129" s="56"/>
      <c r="L129" s="56"/>
      <c r="M129" s="56"/>
      <c r="N129" s="46">
        <f>SUM(B129:M129)</f>
        <v>0</v>
      </c>
    </row>
    <row r="130" spans="1:14" ht="15.75" x14ac:dyDescent="0.25">
      <c r="A130" s="55"/>
      <c r="B130" s="131"/>
      <c r="C130" s="131"/>
      <c r="D130" s="131"/>
      <c r="E130" s="131"/>
      <c r="F130" s="56"/>
      <c r="G130" s="56"/>
      <c r="H130" s="56"/>
      <c r="I130" s="56"/>
      <c r="J130" s="56"/>
      <c r="K130" s="56"/>
      <c r="L130" s="56"/>
      <c r="M130" s="56"/>
      <c r="N130" s="46"/>
    </row>
    <row r="131" spans="1:14" ht="15" x14ac:dyDescent="0.2">
      <c r="A131" s="350" t="s">
        <v>274</v>
      </c>
      <c r="B131" s="350"/>
      <c r="C131" s="350"/>
      <c r="D131" s="350"/>
      <c r="E131" s="350"/>
      <c r="F131" s="351"/>
      <c r="G131" s="351"/>
      <c r="H131" s="351"/>
      <c r="I131" s="351">
        <f>I127-I129</f>
        <v>24759311.879999999</v>
      </c>
      <c r="J131" s="351">
        <f t="shared" ref="J131:M131" si="34">J127-J129</f>
        <v>3190735.14</v>
      </c>
      <c r="K131" s="351">
        <f t="shared" si="34"/>
        <v>3162718.3600000003</v>
      </c>
      <c r="L131" s="351">
        <f t="shared" si="34"/>
        <v>3428429.16</v>
      </c>
      <c r="M131" s="351">
        <f t="shared" si="34"/>
        <v>5259556.0599999996</v>
      </c>
      <c r="N131" s="45">
        <f>SUM(B131:M131)</f>
        <v>39800750.600000001</v>
      </c>
    </row>
    <row r="132" spans="1:14" ht="15.75" x14ac:dyDescent="0.25">
      <c r="A132" s="55"/>
      <c r="B132" s="131"/>
      <c r="C132" s="131"/>
      <c r="D132" s="131"/>
      <c r="E132" s="131"/>
      <c r="F132" s="56"/>
      <c r="G132" s="56"/>
      <c r="H132" s="56"/>
      <c r="I132" s="56"/>
      <c r="J132" s="56"/>
      <c r="K132" s="56"/>
      <c r="L132" s="56"/>
      <c r="M132" s="56"/>
      <c r="N132" s="46">
        <f t="shared" ref="N132:N134" si="35">SUM(B132:M132)</f>
        <v>0</v>
      </c>
    </row>
    <row r="133" spans="1:14" ht="15.75" x14ac:dyDescent="0.25">
      <c r="A133" s="49" t="s">
        <v>273</v>
      </c>
      <c r="B133" s="49">
        <f>B127-B129</f>
        <v>0</v>
      </c>
      <c r="C133" s="49">
        <f>C127-C129</f>
        <v>0</v>
      </c>
      <c r="D133" s="49">
        <f>D127-D129</f>
        <v>0</v>
      </c>
      <c r="E133" s="49">
        <f>E127-E129</f>
        <v>0</v>
      </c>
      <c r="F133" s="49">
        <f t="shared" ref="F133:H133" si="36">F127-F129</f>
        <v>0</v>
      </c>
      <c r="G133" s="49">
        <f t="shared" si="36"/>
        <v>0</v>
      </c>
      <c r="H133" s="49">
        <f t="shared" si="36"/>
        <v>0</v>
      </c>
      <c r="I133" s="49"/>
      <c r="J133" s="49"/>
      <c r="K133" s="49"/>
      <c r="L133" s="49"/>
      <c r="M133" s="49"/>
      <c r="N133" s="46">
        <f>SUM(B133:M133)</f>
        <v>0</v>
      </c>
    </row>
    <row r="134" spans="1:14" ht="15.75" x14ac:dyDescent="0.25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6">
        <f t="shared" si="35"/>
        <v>0</v>
      </c>
    </row>
    <row r="135" spans="1:14" ht="15.75" x14ac:dyDescent="0.25">
      <c r="A135" s="377" t="s">
        <v>307</v>
      </c>
      <c r="B135" s="377"/>
      <c r="C135" s="377"/>
      <c r="D135" s="377"/>
      <c r="E135" s="377"/>
      <c r="F135" s="377"/>
      <c r="G135" s="377"/>
      <c r="H135" s="377"/>
      <c r="I135" s="378">
        <f>SUM(I131:I134)</f>
        <v>24759311.879999999</v>
      </c>
      <c r="J135" s="378">
        <f>SUM(J131:J134)</f>
        <v>3190735.14</v>
      </c>
      <c r="K135" s="378">
        <f>SUM(K131:K134)</f>
        <v>3162718.3600000003</v>
      </c>
      <c r="L135" s="378">
        <f>SUM(L131:L134)</f>
        <v>3428429.16</v>
      </c>
      <c r="M135" s="378">
        <f>SUM(M131:M134)</f>
        <v>5259556.0599999996</v>
      </c>
      <c r="N135" s="379">
        <f>SUM(B135:M135)</f>
        <v>39800750.600000001</v>
      </c>
    </row>
    <row r="136" spans="1:14" ht="15.75" x14ac:dyDescent="0.25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6"/>
    </row>
    <row r="137" spans="1:14" ht="15" x14ac:dyDescent="0.2">
      <c r="A137" s="350" t="s">
        <v>276</v>
      </c>
      <c r="B137" s="350"/>
      <c r="C137" s="350"/>
      <c r="D137" s="350"/>
      <c r="E137" s="350"/>
      <c r="F137" s="350"/>
      <c r="G137" s="350"/>
      <c r="H137" s="350"/>
      <c r="I137" s="350">
        <f>I39</f>
        <v>45596238.520000011</v>
      </c>
      <c r="J137" s="350">
        <f>J39</f>
        <v>4511144.4300000025</v>
      </c>
      <c r="K137" s="350">
        <f>K39</f>
        <v>4674556.2300000004</v>
      </c>
      <c r="L137" s="350">
        <f>L39</f>
        <v>5267501.660000002</v>
      </c>
      <c r="M137" s="350">
        <f>M39</f>
        <v>7600035.0199999996</v>
      </c>
      <c r="N137" s="45">
        <f>SUM(B137:M137)</f>
        <v>67649475.860000014</v>
      </c>
    </row>
    <row r="138" spans="1:14" ht="15.75" x14ac:dyDescent="0.25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</row>
    <row r="139" spans="1:14" ht="15" x14ac:dyDescent="0.2">
      <c r="A139" s="49" t="s">
        <v>275</v>
      </c>
      <c r="B139" s="49">
        <f>B37</f>
        <v>0</v>
      </c>
      <c r="C139" s="49">
        <f>C37</f>
        <v>0</v>
      </c>
      <c r="D139" s="49">
        <f>D37</f>
        <v>0</v>
      </c>
      <c r="E139" s="49">
        <f>E37</f>
        <v>0</v>
      </c>
      <c r="F139" s="49">
        <f>F37</f>
        <v>0</v>
      </c>
      <c r="G139" s="49">
        <f>G37</f>
        <v>0</v>
      </c>
      <c r="H139" s="49">
        <f>H37</f>
        <v>0</v>
      </c>
      <c r="I139" s="49"/>
      <c r="J139" s="49"/>
      <c r="K139" s="49"/>
      <c r="L139" s="49"/>
      <c r="M139" s="49"/>
      <c r="N139" s="157">
        <f>SUM(B139:M139)</f>
        <v>0</v>
      </c>
    </row>
    <row r="140" spans="1:14" ht="15" x14ac:dyDescent="0.2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157"/>
    </row>
    <row r="141" spans="1:14" ht="15.75" x14ac:dyDescent="0.25">
      <c r="A141" s="377" t="s">
        <v>308</v>
      </c>
      <c r="B141" s="377"/>
      <c r="C141" s="377"/>
      <c r="D141" s="377"/>
      <c r="E141" s="377"/>
      <c r="F141" s="377"/>
      <c r="G141" s="377"/>
      <c r="H141" s="377"/>
      <c r="I141" s="377">
        <f>SUM(I137:I139)</f>
        <v>45596238.520000011</v>
      </c>
      <c r="J141" s="377">
        <f>SUM(J137:J139)</f>
        <v>4511144.4300000025</v>
      </c>
      <c r="K141" s="377">
        <f t="shared" ref="K141:M141" si="37">SUM(K137:K139)</f>
        <v>4674556.2300000004</v>
      </c>
      <c r="L141" s="377">
        <f t="shared" si="37"/>
        <v>5267501.660000002</v>
      </c>
      <c r="M141" s="377">
        <f t="shared" si="37"/>
        <v>7600035.0199999996</v>
      </c>
      <c r="N141" s="377">
        <f>SUM(B141:M141)</f>
        <v>67649475.860000014</v>
      </c>
    </row>
    <row r="142" spans="1:14" ht="15.75" x14ac:dyDescent="0.25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50"/>
    </row>
    <row r="143" spans="1:14" ht="15.75" x14ac:dyDescent="0.25">
      <c r="A143" s="48" t="s">
        <v>86</v>
      </c>
      <c r="B143" s="53" t="e">
        <f>B133/B139</f>
        <v>#DIV/0!</v>
      </c>
      <c r="C143" s="53" t="e">
        <f>C133/C139</f>
        <v>#DIV/0!</v>
      </c>
      <c r="D143" s="53" t="e">
        <f>D133/D139</f>
        <v>#DIV/0!</v>
      </c>
      <c r="E143" s="53" t="e">
        <f>E133/E139</f>
        <v>#DIV/0!</v>
      </c>
      <c r="F143" s="53" t="e">
        <f t="shared" ref="F143:H143" si="38">F133/F139</f>
        <v>#DIV/0!</v>
      </c>
      <c r="G143" s="53" t="e">
        <f t="shared" si="38"/>
        <v>#DIV/0!</v>
      </c>
      <c r="H143" s="53" t="e">
        <f t="shared" si="38"/>
        <v>#DIV/0!</v>
      </c>
      <c r="I143" s="53">
        <f t="shared" ref="I143:M143" si="39">I135/I141</f>
        <v>0.54301215810027292</v>
      </c>
      <c r="J143" s="53">
        <f t="shared" si="39"/>
        <v>0.70730059511750065</v>
      </c>
      <c r="K143" s="53">
        <f t="shared" si="39"/>
        <v>0.67658152012431783</v>
      </c>
      <c r="L143" s="53">
        <f t="shared" si="39"/>
        <v>0.65086437201046821</v>
      </c>
      <c r="M143" s="53">
        <f t="shared" si="39"/>
        <v>0.69204366113565619</v>
      </c>
      <c r="N143" s="53">
        <f>N135/N141</f>
        <v>0.58833790053846535</v>
      </c>
    </row>
    <row r="144" spans="1:14" ht="15.75" x14ac:dyDescent="0.25">
      <c r="A144" s="133"/>
      <c r="B144" s="133"/>
      <c r="C144" s="133"/>
      <c r="D144" s="115"/>
      <c r="E144" s="133"/>
      <c r="F144" s="133"/>
      <c r="G144" s="133"/>
      <c r="H144" s="133"/>
      <c r="I144" s="133"/>
      <c r="J144" s="133"/>
      <c r="K144" s="133"/>
      <c r="L144" s="133"/>
      <c r="M144" s="138"/>
      <c r="N144" s="133"/>
    </row>
    <row r="145" spans="1:14" ht="20.25" x14ac:dyDescent="0.3">
      <c r="A145" s="133"/>
      <c r="B145" s="138"/>
      <c r="C145" s="138"/>
      <c r="D145" s="138"/>
      <c r="E145" s="138"/>
      <c r="F145" s="133"/>
      <c r="G145" s="133"/>
      <c r="H145" s="133"/>
      <c r="I145" s="133"/>
      <c r="J145" s="133"/>
      <c r="K145" s="486" t="s">
        <v>309</v>
      </c>
      <c r="L145" s="486"/>
      <c r="M145" s="486"/>
      <c r="N145" s="160">
        <f>N143</f>
        <v>0.58833790053846535</v>
      </c>
    </row>
  </sheetData>
  <mergeCells count="14">
    <mergeCell ref="A117:N117"/>
    <mergeCell ref="K145:M145"/>
    <mergeCell ref="R55:S55"/>
    <mergeCell ref="R56:S56"/>
    <mergeCell ref="A94:E94"/>
    <mergeCell ref="A95:A96"/>
    <mergeCell ref="B95:B96"/>
    <mergeCell ref="C95:C96"/>
    <mergeCell ref="D95:E95"/>
    <mergeCell ref="A1:N1"/>
    <mergeCell ref="A55:P55"/>
    <mergeCell ref="A56:A57"/>
    <mergeCell ref="B56:B57"/>
    <mergeCell ref="C56:P56"/>
  </mergeCells>
  <conditionalFormatting sqref="D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{40F936FE-3905-4C17-89A4-74681BD995E2}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F936FE-3905-4C17-89A4-74681BD995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F6B00-74AB-4180-B19F-9984FB0AB7CC}">
  <dimension ref="A1:S152"/>
  <sheetViews>
    <sheetView zoomScale="80" zoomScaleNormal="80" workbookViewId="0">
      <selection activeCell="B61" sqref="B61:C81"/>
    </sheetView>
  </sheetViews>
  <sheetFormatPr defaultColWidth="13.42578125" defaultRowHeight="12.75" x14ac:dyDescent="0.2"/>
  <cols>
    <col min="1" max="1" width="34.5703125" style="119" bestFit="1" customWidth="1"/>
    <col min="2" max="13" width="15.7109375" style="119" bestFit="1" customWidth="1"/>
    <col min="14" max="14" width="17" style="119" bestFit="1" customWidth="1"/>
    <col min="15" max="15" width="13.42578125" style="119"/>
    <col min="16" max="16" width="13.85546875" style="119" bestFit="1" customWidth="1"/>
    <col min="17" max="17" width="10.85546875" style="119" bestFit="1" customWidth="1"/>
    <col min="18" max="18" width="13" style="119" bestFit="1" customWidth="1"/>
    <col min="19" max="16384" width="13.42578125" style="119"/>
  </cols>
  <sheetData>
    <row r="1" spans="1:19" s="72" customFormat="1" ht="15.75" x14ac:dyDescent="0.25">
      <c r="A1" s="422" t="s">
        <v>325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</row>
    <row r="2" spans="1:19" s="126" customFormat="1" ht="15" x14ac:dyDescent="0.2">
      <c r="A2" s="116" t="s">
        <v>79</v>
      </c>
      <c r="B2" s="116" t="s">
        <v>67</v>
      </c>
      <c r="C2" s="116" t="s">
        <v>68</v>
      </c>
      <c r="D2" s="116" t="s">
        <v>69</v>
      </c>
      <c r="E2" s="116" t="s">
        <v>70</v>
      </c>
      <c r="F2" s="116" t="s">
        <v>71</v>
      </c>
      <c r="G2" s="116" t="s">
        <v>72</v>
      </c>
      <c r="H2" s="116" t="s">
        <v>73</v>
      </c>
      <c r="I2" s="116" t="s">
        <v>74</v>
      </c>
      <c r="J2" s="116" t="s">
        <v>75</v>
      </c>
      <c r="K2" s="116" t="s">
        <v>76</v>
      </c>
      <c r="L2" s="116" t="s">
        <v>77</v>
      </c>
      <c r="M2" s="116" t="s">
        <v>78</v>
      </c>
      <c r="N2" s="116" t="s">
        <v>88</v>
      </c>
    </row>
    <row r="3" spans="1:19" x14ac:dyDescent="0.2">
      <c r="A3" s="117" t="s">
        <v>326</v>
      </c>
      <c r="B3" s="258">
        <f>SUM(B4:B8)</f>
        <v>45595.94</v>
      </c>
      <c r="C3" s="258">
        <f>SUM(C4:C8)</f>
        <v>170571.42</v>
      </c>
      <c r="D3" s="258">
        <f>SUM(D4:D8)</f>
        <v>78548.56</v>
      </c>
      <c r="E3" s="258">
        <f>SUM(E4:E8)</f>
        <v>87624.41</v>
      </c>
      <c r="F3" s="258">
        <f>SUM(F4:F8)</f>
        <v>57461.16</v>
      </c>
      <c r="G3" s="258">
        <f t="shared" ref="G3:M3" si="0">SUM(G4:G8)</f>
        <v>584362.15999999992</v>
      </c>
      <c r="H3" s="258">
        <f t="shared" si="0"/>
        <v>131383.99</v>
      </c>
      <c r="I3" s="258">
        <f t="shared" si="0"/>
        <v>127205.92000000001</v>
      </c>
      <c r="J3" s="258">
        <f t="shared" si="0"/>
        <v>0</v>
      </c>
      <c r="K3" s="258">
        <f t="shared" si="0"/>
        <v>0</v>
      </c>
      <c r="L3" s="258">
        <f t="shared" si="0"/>
        <v>0</v>
      </c>
      <c r="M3" s="258">
        <f t="shared" si="0"/>
        <v>0</v>
      </c>
      <c r="N3" s="258">
        <f>SUM(N4:N8)</f>
        <v>1282753.56</v>
      </c>
    </row>
    <row r="4" spans="1:19" x14ac:dyDescent="0.2">
      <c r="A4" s="129" t="s">
        <v>80</v>
      </c>
      <c r="B4" s="173">
        <v>6509</v>
      </c>
      <c r="C4" s="173">
        <v>17112.64</v>
      </c>
      <c r="D4" s="173">
        <v>9046.89</v>
      </c>
      <c r="E4" s="173">
        <v>6658.91</v>
      </c>
      <c r="F4" s="173">
        <v>8118.39</v>
      </c>
      <c r="G4" s="173">
        <v>8402.33</v>
      </c>
      <c r="H4" s="173">
        <v>11054.76</v>
      </c>
      <c r="I4" s="173">
        <v>16577.240000000002</v>
      </c>
      <c r="J4" s="173"/>
      <c r="K4" s="173"/>
      <c r="L4" s="173"/>
      <c r="M4" s="259"/>
      <c r="N4" s="173">
        <f>SUM(B4:M4)</f>
        <v>83480.160000000003</v>
      </c>
    </row>
    <row r="5" spans="1:19" x14ac:dyDescent="0.2">
      <c r="A5" s="129" t="s">
        <v>81</v>
      </c>
      <c r="B5" s="173">
        <v>33162.21</v>
      </c>
      <c r="C5" s="173">
        <v>63232.67</v>
      </c>
      <c r="D5" s="173">
        <v>16511.900000000001</v>
      </c>
      <c r="E5" s="173">
        <v>18544.18</v>
      </c>
      <c r="F5" s="173">
        <v>13004.62</v>
      </c>
      <c r="G5" s="173">
        <v>20127.169999999998</v>
      </c>
      <c r="H5" s="173">
        <v>14422.75</v>
      </c>
      <c r="I5" s="173">
        <v>22188.880000000001</v>
      </c>
      <c r="J5" s="173"/>
      <c r="K5" s="173"/>
      <c r="L5" s="173"/>
      <c r="M5" s="173"/>
      <c r="N5" s="173">
        <f t="shared" ref="N5:N10" si="1">SUM(B5:M5)</f>
        <v>201194.38</v>
      </c>
    </row>
    <row r="6" spans="1:19" x14ac:dyDescent="0.2">
      <c r="A6" s="129" t="s">
        <v>82</v>
      </c>
      <c r="B6" s="173">
        <v>3320.36</v>
      </c>
      <c r="C6" s="173">
        <v>56137.599999999999</v>
      </c>
      <c r="D6" s="173">
        <v>16198.22</v>
      </c>
      <c r="E6" s="173">
        <v>26647.61</v>
      </c>
      <c r="F6" s="173">
        <v>14975.08</v>
      </c>
      <c r="G6" s="173">
        <v>461991.35</v>
      </c>
      <c r="H6" s="173">
        <v>35394.36</v>
      </c>
      <c r="I6" s="173">
        <v>21192.639999999999</v>
      </c>
      <c r="J6" s="173"/>
      <c r="K6" s="173"/>
      <c r="L6" s="173"/>
      <c r="M6" s="173"/>
      <c r="N6" s="173">
        <f t="shared" si="1"/>
        <v>635857.22</v>
      </c>
    </row>
    <row r="7" spans="1:19" x14ac:dyDescent="0.2">
      <c r="A7" s="129" t="s">
        <v>83</v>
      </c>
      <c r="B7" s="173">
        <v>0</v>
      </c>
      <c r="C7" s="173">
        <v>18426.86</v>
      </c>
      <c r="D7" s="173">
        <v>8613.4599999999991</v>
      </c>
      <c r="E7" s="173">
        <v>8613.4599999999991</v>
      </c>
      <c r="F7" s="173">
        <v>8613.4599999999991</v>
      </c>
      <c r="G7" s="173">
        <v>0</v>
      </c>
      <c r="H7" s="173">
        <v>8622.0499999999993</v>
      </c>
      <c r="I7" s="173">
        <v>8979.4</v>
      </c>
      <c r="J7" s="173"/>
      <c r="K7" s="173"/>
      <c r="L7" s="173"/>
      <c r="M7" s="259"/>
      <c r="N7" s="173">
        <f t="shared" si="1"/>
        <v>61868.689999999995</v>
      </c>
      <c r="Q7" s="121"/>
    </row>
    <row r="8" spans="1:19" x14ac:dyDescent="0.2">
      <c r="A8" s="130" t="s">
        <v>169</v>
      </c>
      <c r="B8" s="173">
        <v>2604.37</v>
      </c>
      <c r="C8" s="173">
        <v>15661.65</v>
      </c>
      <c r="D8" s="173">
        <v>28178.09</v>
      </c>
      <c r="E8" s="173">
        <v>27160.25</v>
      </c>
      <c r="F8" s="173">
        <v>12749.61</v>
      </c>
      <c r="G8" s="173">
        <v>93841.31</v>
      </c>
      <c r="H8" s="173">
        <v>61890.07</v>
      </c>
      <c r="I8" s="173">
        <v>58267.76</v>
      </c>
      <c r="J8" s="173"/>
      <c r="K8" s="173"/>
      <c r="L8" s="173"/>
      <c r="M8" s="173"/>
      <c r="N8" s="173">
        <f t="shared" si="1"/>
        <v>300353.11</v>
      </c>
    </row>
    <row r="9" spans="1:19" ht="12.75" customHeight="1" x14ac:dyDescent="0.2">
      <c r="A9" s="119" t="s">
        <v>84</v>
      </c>
      <c r="B9" s="173">
        <v>0</v>
      </c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Q9" s="122"/>
      <c r="R9" s="123">
        <v>6000</v>
      </c>
      <c r="S9" s="123"/>
    </row>
    <row r="10" spans="1:19" x14ac:dyDescent="0.2">
      <c r="A10" s="129" t="s">
        <v>63</v>
      </c>
      <c r="B10" s="259">
        <v>252.56</v>
      </c>
      <c r="C10" s="259">
        <v>357.33</v>
      </c>
      <c r="D10" s="259">
        <v>2004.52</v>
      </c>
      <c r="E10" s="259">
        <v>3128.98</v>
      </c>
      <c r="F10" s="173">
        <v>6178.3</v>
      </c>
      <c r="G10" s="173">
        <v>6817.09</v>
      </c>
      <c r="H10" s="173">
        <v>9357.0300000000007</v>
      </c>
      <c r="I10" s="173">
        <v>12832.14</v>
      </c>
      <c r="J10" s="173"/>
      <c r="K10" s="173"/>
      <c r="L10" s="173"/>
      <c r="M10" s="173"/>
      <c r="N10" s="173">
        <f t="shared" si="1"/>
        <v>40927.949999999997</v>
      </c>
      <c r="Q10" s="122"/>
      <c r="R10" s="123"/>
      <c r="S10" s="123"/>
    </row>
    <row r="11" spans="1:19" ht="6.75" customHeight="1" x14ac:dyDescent="0.2"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Q11" s="122"/>
      <c r="R11" s="123"/>
      <c r="S11" s="123"/>
    </row>
    <row r="12" spans="1:19" x14ac:dyDescent="0.2">
      <c r="A12" s="117" t="s">
        <v>0</v>
      </c>
      <c r="B12" s="258">
        <f t="shared" ref="B12:N12" si="2">SUM(B13:B22)</f>
        <v>4272413.9400000004</v>
      </c>
      <c r="C12" s="258">
        <f t="shared" si="2"/>
        <v>5134553.59</v>
      </c>
      <c r="D12" s="258">
        <f t="shared" si="2"/>
        <v>4280176.49</v>
      </c>
      <c r="E12" s="258">
        <f t="shared" si="2"/>
        <v>3992449.1199999996</v>
      </c>
      <c r="F12" s="258">
        <f>SUM(F13:F22)</f>
        <v>4605842.2999999989</v>
      </c>
      <c r="G12" s="258">
        <f t="shared" si="2"/>
        <v>4338811.38</v>
      </c>
      <c r="H12" s="258">
        <f t="shared" si="2"/>
        <v>5040777.7299999995</v>
      </c>
      <c r="I12" s="258">
        <f t="shared" si="2"/>
        <v>5374290.4500000002</v>
      </c>
      <c r="J12" s="258">
        <f t="shared" si="2"/>
        <v>0</v>
      </c>
      <c r="K12" s="258">
        <f t="shared" si="2"/>
        <v>0</v>
      </c>
      <c r="L12" s="258">
        <f t="shared" si="2"/>
        <v>0</v>
      </c>
      <c r="M12" s="258">
        <f t="shared" si="2"/>
        <v>0</v>
      </c>
      <c r="N12" s="258">
        <f t="shared" si="2"/>
        <v>37039315.000000007</v>
      </c>
      <c r="Q12" s="122"/>
      <c r="R12" s="123"/>
      <c r="S12" s="123"/>
    </row>
    <row r="13" spans="1:19" x14ac:dyDescent="0.2">
      <c r="A13" s="124" t="s">
        <v>170</v>
      </c>
      <c r="B13" s="173">
        <v>1935290.93</v>
      </c>
      <c r="C13" s="173">
        <v>2536675.73</v>
      </c>
      <c r="D13" s="173">
        <v>1700280.46</v>
      </c>
      <c r="E13" s="173">
        <v>1777514.38</v>
      </c>
      <c r="F13" s="173">
        <v>2136327.5099999998</v>
      </c>
      <c r="G13" s="173">
        <v>1847591.58</v>
      </c>
      <c r="H13" s="173">
        <v>2524514.7599999998</v>
      </c>
      <c r="I13" s="173">
        <v>2018430.1</v>
      </c>
      <c r="J13" s="173"/>
      <c r="K13" s="173"/>
      <c r="L13" s="173"/>
      <c r="M13" s="173"/>
      <c r="N13" s="173">
        <f>SUM(B13:M13)</f>
        <v>16476625.449999999</v>
      </c>
      <c r="O13" s="119">
        <v>750926.61</v>
      </c>
      <c r="Q13" s="122"/>
      <c r="R13" s="123"/>
      <c r="S13" s="123"/>
    </row>
    <row r="14" spans="1:19" x14ac:dyDescent="0.2">
      <c r="A14" s="124" t="s">
        <v>256</v>
      </c>
      <c r="B14" s="173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Q14" s="122"/>
      <c r="R14" s="123"/>
      <c r="S14" s="123"/>
    </row>
    <row r="15" spans="1:19" x14ac:dyDescent="0.2">
      <c r="A15" s="124" t="s">
        <v>171</v>
      </c>
      <c r="B15" s="173">
        <v>526366.56000000006</v>
      </c>
      <c r="C15" s="173">
        <v>674408.62</v>
      </c>
      <c r="D15" s="173">
        <v>775420.52</v>
      </c>
      <c r="E15" s="173">
        <v>569245.56999999995</v>
      </c>
      <c r="F15" s="173">
        <v>687723.84</v>
      </c>
      <c r="G15" s="173">
        <v>726548.84</v>
      </c>
      <c r="H15" s="173">
        <v>683527.6</v>
      </c>
      <c r="I15" s="173">
        <v>860018.68</v>
      </c>
      <c r="J15" s="173"/>
      <c r="K15" s="173"/>
      <c r="L15" s="173"/>
      <c r="M15" s="173"/>
      <c r="N15" s="173">
        <f t="shared" ref="N15:N22" si="3">SUM(B15:M15)</f>
        <v>5503260.2299999995</v>
      </c>
    </row>
    <row r="16" spans="1:19" x14ac:dyDescent="0.2">
      <c r="A16" s="124" t="s">
        <v>172</v>
      </c>
      <c r="B16" s="173">
        <v>31306.98</v>
      </c>
      <c r="C16" s="173">
        <v>35183.42</v>
      </c>
      <c r="D16" s="173">
        <v>31327.72</v>
      </c>
      <c r="E16" s="173">
        <v>31754.639999999999</v>
      </c>
      <c r="F16" s="173">
        <v>52227.03</v>
      </c>
      <c r="G16" s="173">
        <v>45725.99</v>
      </c>
      <c r="H16" s="173">
        <v>52531.24</v>
      </c>
      <c r="I16" s="173">
        <v>49578.79</v>
      </c>
      <c r="J16" s="173"/>
      <c r="K16" s="173"/>
      <c r="L16" s="173"/>
      <c r="M16" s="173"/>
      <c r="N16" s="173">
        <f t="shared" si="3"/>
        <v>329635.80999999994</v>
      </c>
    </row>
    <row r="17" spans="1:17" x14ac:dyDescent="0.2">
      <c r="A17" s="124" t="s">
        <v>173</v>
      </c>
      <c r="B17" s="173">
        <v>2250.4699999999998</v>
      </c>
      <c r="C17" s="173">
        <v>1030.79</v>
      </c>
      <c r="D17" s="173">
        <v>385.33</v>
      </c>
      <c r="E17" s="173">
        <v>305.33999999999997</v>
      </c>
      <c r="F17" s="173">
        <v>242.16</v>
      </c>
      <c r="G17" s="173">
        <v>422.56</v>
      </c>
      <c r="H17" s="173">
        <v>1292.6500000000001</v>
      </c>
      <c r="I17" s="173">
        <v>1082.94</v>
      </c>
      <c r="J17" s="173"/>
      <c r="K17" s="173"/>
      <c r="L17" s="173"/>
      <c r="M17" s="173"/>
      <c r="N17" s="173">
        <f t="shared" si="3"/>
        <v>7012.2400000000016</v>
      </c>
      <c r="Q17" s="122">
        <v>283867.06</v>
      </c>
    </row>
    <row r="18" spans="1:17" x14ac:dyDescent="0.2">
      <c r="A18" s="124" t="s">
        <v>189</v>
      </c>
      <c r="B18" s="259">
        <v>0</v>
      </c>
      <c r="C18" s="173">
        <v>0</v>
      </c>
      <c r="D18" s="173"/>
      <c r="E18" s="173">
        <v>0</v>
      </c>
      <c r="F18" s="173">
        <v>3855.32</v>
      </c>
      <c r="G18" s="173">
        <v>3855.32</v>
      </c>
      <c r="H18" s="173">
        <v>0</v>
      </c>
      <c r="I18" s="173"/>
      <c r="J18" s="173"/>
      <c r="K18" s="173"/>
      <c r="L18" s="173"/>
      <c r="M18" s="173"/>
      <c r="N18" s="173">
        <f t="shared" si="3"/>
        <v>7710.64</v>
      </c>
      <c r="Q18" s="122">
        <v>160679.47</v>
      </c>
    </row>
    <row r="19" spans="1:17" x14ac:dyDescent="0.2">
      <c r="A19" s="124" t="s">
        <v>188</v>
      </c>
      <c r="B19" s="173">
        <v>5810.28</v>
      </c>
      <c r="C19" s="173">
        <v>4752.8100000000004</v>
      </c>
      <c r="D19" s="173">
        <v>5643.61</v>
      </c>
      <c r="E19" s="173">
        <v>5660.28</v>
      </c>
      <c r="F19" s="173">
        <v>5470.98</v>
      </c>
      <c r="G19" s="173">
        <v>5018.6099999999997</v>
      </c>
      <c r="H19" s="173">
        <v>5796.51</v>
      </c>
      <c r="I19" s="173">
        <v>4874.3599999999997</v>
      </c>
      <c r="J19" s="173"/>
      <c r="K19" s="173"/>
      <c r="L19" s="173"/>
      <c r="M19" s="173"/>
      <c r="N19" s="173">
        <f t="shared" si="3"/>
        <v>43027.44</v>
      </c>
      <c r="Q19" s="122">
        <v>91051.69</v>
      </c>
    </row>
    <row r="20" spans="1:17" x14ac:dyDescent="0.2">
      <c r="A20" s="124" t="s">
        <v>5</v>
      </c>
      <c r="B20" s="173">
        <v>1374354.52</v>
      </c>
      <c r="C20" s="173">
        <v>1377140.47</v>
      </c>
      <c r="D20" s="173">
        <v>1184291.24</v>
      </c>
      <c r="E20" s="173">
        <v>1222972.3400000001</v>
      </c>
      <c r="F20" s="173">
        <v>1051413.6499999999</v>
      </c>
      <c r="G20" s="173">
        <v>1191430.79</v>
      </c>
      <c r="H20" s="173">
        <v>1108859.18</v>
      </c>
      <c r="I20" s="173">
        <v>1185441.31</v>
      </c>
      <c r="J20" s="173"/>
      <c r="K20" s="173"/>
      <c r="L20" s="173"/>
      <c r="M20" s="173"/>
      <c r="N20" s="173">
        <f t="shared" si="3"/>
        <v>9695903.5000000019</v>
      </c>
      <c r="O20" s="119">
        <v>224837.47</v>
      </c>
    </row>
    <row r="21" spans="1:17" x14ac:dyDescent="0.2">
      <c r="A21" s="124" t="s">
        <v>174</v>
      </c>
      <c r="B21" s="173">
        <v>397034.2</v>
      </c>
      <c r="C21" s="173">
        <v>499372.22</v>
      </c>
      <c r="D21" s="173">
        <v>576838.07999999996</v>
      </c>
      <c r="E21" s="173">
        <v>384996.57</v>
      </c>
      <c r="F21" s="173">
        <v>668581.81000000006</v>
      </c>
      <c r="G21" s="173">
        <v>518217.69</v>
      </c>
      <c r="H21" s="173">
        <v>663255.79</v>
      </c>
      <c r="I21" s="173">
        <v>1254864.27</v>
      </c>
      <c r="J21" s="173"/>
      <c r="K21" s="173"/>
      <c r="L21" s="173"/>
      <c r="M21" s="173"/>
      <c r="N21" s="173">
        <f t="shared" si="3"/>
        <v>4963160.63</v>
      </c>
      <c r="O21" s="121"/>
    </row>
    <row r="22" spans="1:17" x14ac:dyDescent="0.2">
      <c r="A22" s="124" t="s">
        <v>64</v>
      </c>
      <c r="B22" s="173">
        <v>0</v>
      </c>
      <c r="C22" s="173">
        <v>5989.53</v>
      </c>
      <c r="D22" s="173">
        <v>5989.53</v>
      </c>
      <c r="E22" s="173">
        <v>0</v>
      </c>
      <c r="F22" s="173"/>
      <c r="G22" s="173"/>
      <c r="H22" s="173">
        <v>1000</v>
      </c>
      <c r="I22" s="173"/>
      <c r="J22" s="173"/>
      <c r="K22" s="173"/>
      <c r="L22" s="173"/>
      <c r="M22" s="173"/>
      <c r="N22" s="173">
        <f t="shared" si="3"/>
        <v>12979.06</v>
      </c>
    </row>
    <row r="23" spans="1:17" x14ac:dyDescent="0.2">
      <c r="A23" s="125" t="s">
        <v>175</v>
      </c>
      <c r="B23" s="260">
        <v>499042.89</v>
      </c>
      <c r="C23" s="260">
        <v>649459.57999999996</v>
      </c>
      <c r="D23" s="260">
        <v>501482.66</v>
      </c>
      <c r="E23" s="260">
        <v>475763.88</v>
      </c>
      <c r="F23" s="260">
        <v>575303.97</v>
      </c>
      <c r="G23" s="260">
        <v>524057.66</v>
      </c>
      <c r="H23" s="260">
        <v>469700.54</v>
      </c>
      <c r="I23" s="260">
        <v>585821.96</v>
      </c>
      <c r="J23" s="260"/>
      <c r="K23" s="260"/>
      <c r="L23" s="260"/>
      <c r="M23" s="260"/>
      <c r="N23" s="260">
        <f>SUM(B23:M23)</f>
        <v>4280633.1399999997</v>
      </c>
      <c r="O23" s="119">
        <v>150185.32</v>
      </c>
    </row>
    <row r="25" spans="1:17" s="262" customFormat="1" ht="15" x14ac:dyDescent="0.25">
      <c r="A25" s="261" t="s">
        <v>176</v>
      </c>
      <c r="B25" s="261">
        <f>B3+B10+B12-B23</f>
        <v>3819219.5500000003</v>
      </c>
      <c r="C25" s="261">
        <f t="shared" ref="C25:M25" si="4">C3+C10+C12-C23</f>
        <v>4656022.76</v>
      </c>
      <c r="D25" s="261">
        <f t="shared" si="4"/>
        <v>3859246.91</v>
      </c>
      <c r="E25" s="261">
        <f t="shared" si="4"/>
        <v>3607438.63</v>
      </c>
      <c r="F25" s="261">
        <f>F3+F10+F12-F23</f>
        <v>4094177.7899999991</v>
      </c>
      <c r="G25" s="261">
        <f t="shared" si="4"/>
        <v>4405932.97</v>
      </c>
      <c r="H25" s="261">
        <f t="shared" si="4"/>
        <v>4711818.209999999</v>
      </c>
      <c r="I25" s="261">
        <f>I3+I10+I12-I23</f>
        <v>4928506.55</v>
      </c>
      <c r="J25" s="261">
        <f t="shared" si="4"/>
        <v>0</v>
      </c>
      <c r="K25" s="261">
        <f t="shared" si="4"/>
        <v>0</v>
      </c>
      <c r="L25" s="261">
        <f t="shared" si="4"/>
        <v>0</v>
      </c>
      <c r="M25" s="261">
        <f t="shared" si="4"/>
        <v>0</v>
      </c>
      <c r="N25" s="261">
        <f>N3+N10+N12-N23</f>
        <v>34082363.370000005</v>
      </c>
    </row>
    <row r="27" spans="1:17" ht="15.75" x14ac:dyDescent="0.25">
      <c r="A27" s="127" t="s">
        <v>177</v>
      </c>
      <c r="B27" s="127"/>
      <c r="C27" s="128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</row>
    <row r="28" spans="1:17" x14ac:dyDescent="0.2">
      <c r="P28" s="287">
        <v>1760544.86</v>
      </c>
    </row>
    <row r="29" spans="1:17" s="175" customFormat="1" x14ac:dyDescent="0.2">
      <c r="A29" s="170" t="s">
        <v>6</v>
      </c>
      <c r="B29" s="172">
        <f t="shared" ref="B29:I29" si="5">B30+B33+B36</f>
        <v>1374381.21</v>
      </c>
      <c r="C29" s="172">
        <f t="shared" si="5"/>
        <v>1377213.16</v>
      </c>
      <c r="D29" s="172">
        <f t="shared" si="5"/>
        <v>1184543.78</v>
      </c>
      <c r="E29" s="172">
        <f t="shared" si="5"/>
        <v>1223174.45</v>
      </c>
      <c r="F29" s="172">
        <f t="shared" si="5"/>
        <v>1052239.3500000001</v>
      </c>
      <c r="G29" s="172">
        <f t="shared" si="5"/>
        <v>1192035.2</v>
      </c>
      <c r="H29" s="172">
        <f t="shared" si="5"/>
        <v>1110393.8</v>
      </c>
      <c r="I29" s="172">
        <f t="shared" si="5"/>
        <v>1187446.17</v>
      </c>
      <c r="J29" s="172">
        <f>J30+J33+J36</f>
        <v>1415451.06</v>
      </c>
      <c r="K29" s="172">
        <f>K30+K33+K36</f>
        <v>0</v>
      </c>
      <c r="L29" s="172">
        <f>L30+L33+L36</f>
        <v>0</v>
      </c>
      <c r="M29" s="172">
        <f>M30+M33+M36</f>
        <v>0</v>
      </c>
      <c r="N29" s="174">
        <f>SUM(B29:M29)</f>
        <v>11116878.180000002</v>
      </c>
      <c r="O29" s="176"/>
      <c r="P29" s="287"/>
    </row>
    <row r="30" spans="1:17" s="175" customFormat="1" x14ac:dyDescent="0.2">
      <c r="A30" s="170" t="s">
        <v>194</v>
      </c>
      <c r="B30" s="172">
        <f t="shared" ref="B30:M30" si="6">B31+B32</f>
        <v>831721.69</v>
      </c>
      <c r="C30" s="172">
        <f t="shared" si="6"/>
        <v>1075563.24</v>
      </c>
      <c r="D30" s="172">
        <f t="shared" si="6"/>
        <v>980273.4</v>
      </c>
      <c r="E30" s="172">
        <f t="shared" si="6"/>
        <v>821466.79999999993</v>
      </c>
      <c r="F30" s="172">
        <f t="shared" si="6"/>
        <v>815362.38</v>
      </c>
      <c r="G30" s="172">
        <f t="shared" si="6"/>
        <v>945446.91</v>
      </c>
      <c r="H30" s="172">
        <f t="shared" si="6"/>
        <v>869319.42</v>
      </c>
      <c r="I30" s="172">
        <f t="shared" si="6"/>
        <v>964275.69</v>
      </c>
      <c r="J30" s="172">
        <f t="shared" si="6"/>
        <v>954781.73</v>
      </c>
      <c r="K30" s="172">
        <f t="shared" si="6"/>
        <v>0</v>
      </c>
      <c r="L30" s="172">
        <f t="shared" si="6"/>
        <v>0</v>
      </c>
      <c r="M30" s="172">
        <f t="shared" si="6"/>
        <v>0</v>
      </c>
      <c r="N30" s="174">
        <f t="shared" ref="N30:N34" si="7">SUM(B30:M30)</f>
        <v>8258211.2599999998</v>
      </c>
      <c r="P30" s="307">
        <f>M34</f>
        <v>0</v>
      </c>
    </row>
    <row r="31" spans="1:17" x14ac:dyDescent="0.2">
      <c r="A31" s="171" t="s">
        <v>190</v>
      </c>
      <c r="B31" s="173">
        <v>831695</v>
      </c>
      <c r="C31" s="173">
        <v>1075490.55</v>
      </c>
      <c r="D31" s="173">
        <v>980020.86</v>
      </c>
      <c r="E31" s="173">
        <v>821264.69</v>
      </c>
      <c r="F31" s="173">
        <v>814536.68</v>
      </c>
      <c r="G31" s="173">
        <v>944842.5</v>
      </c>
      <c r="H31" s="173">
        <v>867784.8</v>
      </c>
      <c r="I31" s="173">
        <v>962270.83</v>
      </c>
      <c r="J31" s="173">
        <v>953218.9</v>
      </c>
      <c r="K31" s="173"/>
      <c r="L31" s="173"/>
      <c r="M31" s="259"/>
      <c r="N31" s="173">
        <f t="shared" si="7"/>
        <v>8251124.8100000005</v>
      </c>
      <c r="P31" s="167"/>
    </row>
    <row r="32" spans="1:17" x14ac:dyDescent="0.2">
      <c r="A32" s="171" t="s">
        <v>191</v>
      </c>
      <c r="B32" s="173">
        <v>26.69</v>
      </c>
      <c r="C32" s="173">
        <v>72.69</v>
      </c>
      <c r="D32" s="173">
        <v>252.54</v>
      </c>
      <c r="E32" s="173">
        <v>202.11</v>
      </c>
      <c r="F32" s="173">
        <v>825.7</v>
      </c>
      <c r="G32" s="173">
        <v>604.41</v>
      </c>
      <c r="H32" s="173">
        <v>1534.62</v>
      </c>
      <c r="I32" s="173">
        <v>2004.86</v>
      </c>
      <c r="J32" s="173">
        <v>1562.83</v>
      </c>
      <c r="K32" s="173"/>
      <c r="L32" s="173"/>
      <c r="M32" s="259"/>
      <c r="N32" s="173">
        <f t="shared" si="7"/>
        <v>7086.45</v>
      </c>
      <c r="O32" s="168"/>
      <c r="P32" s="287">
        <f>P28-P29-P30</f>
        <v>1760544.86</v>
      </c>
    </row>
    <row r="33" spans="1:16" s="175" customFormat="1" ht="15.75" customHeight="1" x14ac:dyDescent="0.2">
      <c r="A33" s="170" t="s">
        <v>192</v>
      </c>
      <c r="B33" s="172">
        <f>B34+B35</f>
        <v>542659.52</v>
      </c>
      <c r="C33" s="172">
        <f t="shared" ref="C33:M33" si="8">C34+C35</f>
        <v>301649.91999999998</v>
      </c>
      <c r="D33" s="172">
        <f t="shared" si="8"/>
        <v>204270.38</v>
      </c>
      <c r="E33" s="172">
        <f t="shared" si="8"/>
        <v>401707.65</v>
      </c>
      <c r="F33" s="172">
        <f t="shared" si="8"/>
        <v>236876.97</v>
      </c>
      <c r="G33" s="172">
        <f t="shared" si="8"/>
        <v>246588.29</v>
      </c>
      <c r="H33" s="172">
        <f t="shared" si="8"/>
        <v>241074.38</v>
      </c>
      <c r="I33" s="172">
        <f t="shared" si="8"/>
        <v>223170.48</v>
      </c>
      <c r="J33" s="172">
        <f t="shared" si="8"/>
        <v>377221.64</v>
      </c>
      <c r="K33" s="172">
        <f t="shared" si="8"/>
        <v>0</v>
      </c>
      <c r="L33" s="172">
        <f t="shared" si="8"/>
        <v>0</v>
      </c>
      <c r="M33" s="172">
        <f t="shared" si="8"/>
        <v>0</v>
      </c>
      <c r="N33" s="174">
        <f t="shared" si="7"/>
        <v>2775219.23</v>
      </c>
    </row>
    <row r="34" spans="1:16" x14ac:dyDescent="0.2">
      <c r="A34" s="171" t="s">
        <v>190</v>
      </c>
      <c r="B34" s="173">
        <v>542659.52</v>
      </c>
      <c r="C34" s="173">
        <v>301649.91999999998</v>
      </c>
      <c r="D34" s="173">
        <v>204270.38</v>
      </c>
      <c r="E34" s="173">
        <v>401707.65</v>
      </c>
      <c r="F34" s="173">
        <v>236876.97</v>
      </c>
      <c r="G34" s="173">
        <v>246588.29</v>
      </c>
      <c r="H34" s="173">
        <v>241074.38</v>
      </c>
      <c r="I34" s="173">
        <v>223170.48</v>
      </c>
      <c r="J34" s="173">
        <v>377221.64</v>
      </c>
      <c r="K34" s="173"/>
      <c r="L34" s="173"/>
      <c r="M34" s="259"/>
      <c r="N34" s="173">
        <f t="shared" si="7"/>
        <v>2775219.23</v>
      </c>
    </row>
    <row r="35" spans="1:16" x14ac:dyDescent="0.2">
      <c r="A35" s="171" t="s">
        <v>191</v>
      </c>
      <c r="B35" s="173">
        <v>0</v>
      </c>
      <c r="C35" s="173">
        <v>0</v>
      </c>
      <c r="D35" s="173">
        <v>0</v>
      </c>
      <c r="E35" s="173">
        <v>0</v>
      </c>
      <c r="F35" s="173"/>
      <c r="G35" s="173"/>
      <c r="H35" s="173"/>
      <c r="I35" s="173"/>
      <c r="J35" s="173"/>
      <c r="K35" s="173"/>
      <c r="L35" s="173"/>
      <c r="M35" s="173"/>
      <c r="N35" s="173">
        <f t="shared" ref="N35:N38" si="9">SUM(B35:M35)</f>
        <v>0</v>
      </c>
    </row>
    <row r="36" spans="1:16" s="175" customFormat="1" ht="16.5" customHeight="1" x14ac:dyDescent="0.25">
      <c r="A36" s="170" t="s">
        <v>193</v>
      </c>
      <c r="B36" s="172">
        <f>B37+B38</f>
        <v>0</v>
      </c>
      <c r="C36" s="172">
        <f t="shared" ref="C36:M36" si="10">C37+C38</f>
        <v>0</v>
      </c>
      <c r="D36" s="172">
        <f t="shared" si="10"/>
        <v>0</v>
      </c>
      <c r="E36" s="172">
        <f t="shared" si="10"/>
        <v>0</v>
      </c>
      <c r="F36" s="172">
        <f t="shared" si="10"/>
        <v>0</v>
      </c>
      <c r="G36" s="172">
        <f t="shared" si="10"/>
        <v>0</v>
      </c>
      <c r="H36" s="172">
        <f t="shared" si="10"/>
        <v>0</v>
      </c>
      <c r="I36" s="172">
        <f t="shared" si="10"/>
        <v>0</v>
      </c>
      <c r="J36" s="172">
        <f t="shared" si="10"/>
        <v>83447.69</v>
      </c>
      <c r="K36" s="172">
        <f t="shared" si="10"/>
        <v>0</v>
      </c>
      <c r="L36" s="172">
        <f t="shared" si="10"/>
        <v>0</v>
      </c>
      <c r="M36" s="172">
        <f t="shared" si="10"/>
        <v>0</v>
      </c>
      <c r="N36" s="174">
        <f>SUM(B36:M36)</f>
        <v>83447.69</v>
      </c>
      <c r="P36" s="36">
        <v>9517154.3800000008</v>
      </c>
    </row>
    <row r="37" spans="1:16" ht="15" x14ac:dyDescent="0.25">
      <c r="A37" s="171" t="s">
        <v>190</v>
      </c>
      <c r="B37" s="173">
        <v>0</v>
      </c>
      <c r="C37" s="173">
        <v>0</v>
      </c>
      <c r="D37" s="173">
        <v>0</v>
      </c>
      <c r="E37" s="173">
        <v>0</v>
      </c>
      <c r="F37" s="173">
        <v>0</v>
      </c>
      <c r="G37" s="173">
        <v>0</v>
      </c>
      <c r="H37" s="173">
        <v>0</v>
      </c>
      <c r="I37" s="173">
        <v>0</v>
      </c>
      <c r="J37" s="173">
        <v>83447.69</v>
      </c>
      <c r="K37" s="173"/>
      <c r="L37" s="173"/>
      <c r="M37" s="259"/>
      <c r="N37" s="173">
        <f>SUM(B37:M37)</f>
        <v>83447.69</v>
      </c>
      <c r="P37" s="36">
        <v>6334349.7800000003</v>
      </c>
    </row>
    <row r="38" spans="1:16" x14ac:dyDescent="0.2">
      <c r="A38" s="171" t="s">
        <v>191</v>
      </c>
      <c r="B38" s="173">
        <v>0</v>
      </c>
      <c r="C38" s="173">
        <v>0</v>
      </c>
      <c r="D38" s="173">
        <v>0</v>
      </c>
      <c r="E38" s="173">
        <v>0</v>
      </c>
      <c r="F38" s="173"/>
      <c r="G38" s="173"/>
      <c r="H38" s="173"/>
      <c r="I38" s="173"/>
      <c r="J38" s="173"/>
      <c r="K38" s="173"/>
      <c r="L38" s="173"/>
      <c r="M38" s="173"/>
      <c r="N38" s="173">
        <f t="shared" si="9"/>
        <v>0</v>
      </c>
      <c r="P38" s="122">
        <f>SUM(P36:P37)</f>
        <v>15851504.16</v>
      </c>
    </row>
    <row r="40" spans="1:16" x14ac:dyDescent="0.2">
      <c r="J40" s="168"/>
      <c r="K40" s="168"/>
      <c r="L40" s="168"/>
    </row>
    <row r="41" spans="1:16" x14ac:dyDescent="0.2">
      <c r="D41" s="168"/>
      <c r="E41" s="167"/>
      <c r="F41" s="167"/>
      <c r="M41" s="167"/>
      <c r="N41" s="177"/>
    </row>
    <row r="42" spans="1:16" x14ac:dyDescent="0.2">
      <c r="E42" s="167"/>
      <c r="F42" s="167"/>
      <c r="M42" s="167"/>
      <c r="N42" s="177"/>
    </row>
    <row r="43" spans="1:16" ht="15" x14ac:dyDescent="0.25">
      <c r="E43" s="167"/>
      <c r="F43" s="167"/>
      <c r="K43" s="36"/>
      <c r="M43" s="167"/>
      <c r="N43" s="177"/>
    </row>
    <row r="44" spans="1:16" ht="15" x14ac:dyDescent="0.25">
      <c r="K44" s="36"/>
    </row>
    <row r="46" spans="1:16" ht="15" x14ac:dyDescent="0.25">
      <c r="D46" s="36"/>
      <c r="K46" s="122"/>
    </row>
    <row r="47" spans="1:16" ht="15" x14ac:dyDescent="0.25">
      <c r="D47" s="36"/>
    </row>
    <row r="48" spans="1:16" ht="15.75" x14ac:dyDescent="0.25">
      <c r="A48" s="422" t="s">
        <v>321</v>
      </c>
      <c r="B48" s="422"/>
      <c r="C48" s="422"/>
      <c r="D48" s="422"/>
      <c r="E48" s="422"/>
      <c r="F48" s="422"/>
      <c r="G48" s="422"/>
      <c r="H48" s="422"/>
      <c r="I48" s="422"/>
      <c r="J48" s="422"/>
      <c r="K48" s="422"/>
      <c r="L48" s="422"/>
      <c r="M48" s="422"/>
      <c r="N48" s="422"/>
    </row>
    <row r="49" spans="1:14" ht="15" x14ac:dyDescent="0.2">
      <c r="A49" s="116" t="s">
        <v>79</v>
      </c>
      <c r="B49" s="116" t="s">
        <v>67</v>
      </c>
      <c r="C49" s="116" t="s">
        <v>68</v>
      </c>
      <c r="D49" s="116" t="s">
        <v>69</v>
      </c>
      <c r="E49" s="116" t="s">
        <v>70</v>
      </c>
      <c r="F49" s="116" t="s">
        <v>71</v>
      </c>
      <c r="G49" s="116" t="s">
        <v>72</v>
      </c>
      <c r="H49" s="116" t="s">
        <v>73</v>
      </c>
      <c r="I49" s="116" t="s">
        <v>74</v>
      </c>
      <c r="J49" s="116" t="s">
        <v>75</v>
      </c>
      <c r="K49" s="116" t="s">
        <v>76</v>
      </c>
      <c r="L49" s="116" t="s">
        <v>77</v>
      </c>
      <c r="M49" s="116" t="s">
        <v>78</v>
      </c>
      <c r="N49" s="116" t="s">
        <v>88</v>
      </c>
    </row>
    <row r="50" spans="1:14" x14ac:dyDescent="0.2">
      <c r="A50" s="117" t="s">
        <v>287</v>
      </c>
      <c r="B50" s="258">
        <f>SUM(B51:B55)</f>
        <v>117016.64000000001</v>
      </c>
      <c r="C50" s="258">
        <f>SUM(C51:C55)</f>
        <v>71687.62</v>
      </c>
      <c r="D50" s="258">
        <f>SUM(D51:D55)</f>
        <v>0</v>
      </c>
      <c r="E50" s="258">
        <f>SUM(E51:E55)</f>
        <v>0</v>
      </c>
      <c r="F50" s="258">
        <f>SUM(F51:F55)</f>
        <v>0</v>
      </c>
      <c r="G50" s="258">
        <f t="shared" ref="G50:M50" si="11">SUM(G51:G55)</f>
        <v>0</v>
      </c>
      <c r="H50" s="258">
        <f t="shared" si="11"/>
        <v>0</v>
      </c>
      <c r="I50" s="258">
        <f>SUM(I51:I58)</f>
        <v>2746288.1399999997</v>
      </c>
      <c r="J50" s="258">
        <f t="shared" si="11"/>
        <v>0</v>
      </c>
      <c r="K50" s="258">
        <f t="shared" si="11"/>
        <v>0</v>
      </c>
      <c r="L50" s="258">
        <f t="shared" si="11"/>
        <v>0</v>
      </c>
      <c r="M50" s="258">
        <f t="shared" si="11"/>
        <v>0</v>
      </c>
      <c r="N50" s="258">
        <f>SUM(N51:N55)</f>
        <v>1405748.2599999998</v>
      </c>
    </row>
    <row r="51" spans="1:14" x14ac:dyDescent="0.2">
      <c r="A51" s="129" t="s">
        <v>80</v>
      </c>
      <c r="B51" s="173">
        <v>25818.82</v>
      </c>
      <c r="C51" s="173">
        <v>18140.54</v>
      </c>
      <c r="D51" s="173"/>
      <c r="E51" s="173"/>
      <c r="F51" s="173"/>
      <c r="G51" s="173"/>
      <c r="H51" s="173"/>
      <c r="I51" s="259">
        <v>149632.01</v>
      </c>
      <c r="J51" s="173"/>
      <c r="K51" s="173"/>
      <c r="L51" s="173"/>
      <c r="M51" s="259"/>
      <c r="N51" s="173">
        <f>SUM(B51:M51)</f>
        <v>193591.37</v>
      </c>
    </row>
    <row r="52" spans="1:14" x14ac:dyDescent="0.2">
      <c r="A52" s="129" t="s">
        <v>81</v>
      </c>
      <c r="B52" s="173">
        <v>13585.94</v>
      </c>
      <c r="C52" s="173">
        <v>9450.75</v>
      </c>
      <c r="D52" s="173"/>
      <c r="E52" s="173"/>
      <c r="F52" s="173"/>
      <c r="G52" s="173"/>
      <c r="H52" s="173"/>
      <c r="I52" s="259">
        <v>174935.91</v>
      </c>
      <c r="J52" s="173"/>
      <c r="K52" s="173"/>
      <c r="L52" s="173"/>
      <c r="M52" s="173"/>
      <c r="N52" s="173">
        <f t="shared" ref="N52:N58" si="12">SUM(B52:M52)</f>
        <v>197972.6</v>
      </c>
    </row>
    <row r="53" spans="1:14" x14ac:dyDescent="0.2">
      <c r="A53" s="129" t="s">
        <v>82</v>
      </c>
      <c r="B53" s="173">
        <v>23581.4</v>
      </c>
      <c r="C53" s="173">
        <v>13054</v>
      </c>
      <c r="D53" s="173"/>
      <c r="E53" s="173"/>
      <c r="F53" s="173"/>
      <c r="G53" s="173"/>
      <c r="H53" s="173"/>
      <c r="I53" s="259">
        <v>185172.47</v>
      </c>
      <c r="J53" s="173"/>
      <c r="K53" s="173"/>
      <c r="L53" s="173"/>
      <c r="M53" s="173"/>
      <c r="N53" s="173">
        <f t="shared" si="12"/>
        <v>221807.87</v>
      </c>
    </row>
    <row r="54" spans="1:14" x14ac:dyDescent="0.2">
      <c r="A54" s="129" t="s">
        <v>83</v>
      </c>
      <c r="B54" s="173">
        <v>8622.0499999999993</v>
      </c>
      <c r="C54" s="173">
        <v>0</v>
      </c>
      <c r="D54" s="173"/>
      <c r="E54" s="173"/>
      <c r="F54" s="173"/>
      <c r="G54" s="173"/>
      <c r="H54" s="173"/>
      <c r="I54" s="259">
        <v>483358.5</v>
      </c>
      <c r="J54" s="173"/>
      <c r="K54" s="173"/>
      <c r="L54" s="173"/>
      <c r="M54" s="259"/>
      <c r="N54" s="173">
        <f t="shared" si="12"/>
        <v>491980.55</v>
      </c>
    </row>
    <row r="55" spans="1:14" x14ac:dyDescent="0.2">
      <c r="A55" s="130" t="s">
        <v>169</v>
      </c>
      <c r="B55" s="173">
        <v>45408.43</v>
      </c>
      <c r="C55" s="173">
        <v>31042.33</v>
      </c>
      <c r="D55" s="173"/>
      <c r="E55" s="173"/>
      <c r="F55" s="173"/>
      <c r="G55" s="173"/>
      <c r="H55" s="173"/>
      <c r="I55" s="259">
        <f>223705.57+239.54</f>
        <v>223945.11000000002</v>
      </c>
      <c r="J55" s="173"/>
      <c r="K55" s="173"/>
      <c r="L55" s="173"/>
      <c r="M55" s="173"/>
      <c r="N55" s="173">
        <f t="shared" si="12"/>
        <v>300395.87</v>
      </c>
    </row>
    <row r="56" spans="1:14" x14ac:dyDescent="0.2">
      <c r="A56" s="119" t="s">
        <v>84</v>
      </c>
      <c r="B56" s="173">
        <v>50730.1</v>
      </c>
      <c r="C56" s="173">
        <v>53208.05</v>
      </c>
      <c r="D56" s="173"/>
      <c r="E56" s="173"/>
      <c r="F56" s="173"/>
      <c r="G56" s="173"/>
      <c r="H56" s="173"/>
      <c r="I56" s="259">
        <v>413502.88</v>
      </c>
      <c r="J56" s="173"/>
      <c r="K56" s="173"/>
      <c r="L56" s="173"/>
      <c r="M56" s="173"/>
      <c r="N56" s="173">
        <f t="shared" si="12"/>
        <v>517441.03</v>
      </c>
    </row>
    <row r="57" spans="1:14" x14ac:dyDescent="0.2">
      <c r="A57" s="129" t="s">
        <v>63</v>
      </c>
      <c r="B57" s="259">
        <v>33818.199999999997</v>
      </c>
      <c r="C57" s="259">
        <v>43452.06</v>
      </c>
      <c r="D57" s="259"/>
      <c r="E57" s="259"/>
      <c r="F57" s="173"/>
      <c r="G57" s="173"/>
      <c r="H57" s="173"/>
      <c r="I57" s="259">
        <v>430300.06</v>
      </c>
      <c r="J57" s="173"/>
      <c r="K57" s="173"/>
      <c r="L57" s="173"/>
      <c r="M57" s="173"/>
      <c r="N57" s="173">
        <f t="shared" si="12"/>
        <v>507570.32</v>
      </c>
    </row>
    <row r="58" spans="1:14" x14ac:dyDescent="0.2">
      <c r="A58" s="129" t="s">
        <v>288</v>
      </c>
      <c r="B58" s="259">
        <v>0</v>
      </c>
      <c r="C58" s="259"/>
      <c r="D58" s="259"/>
      <c r="E58" s="259"/>
      <c r="F58" s="173"/>
      <c r="G58" s="173"/>
      <c r="H58" s="173"/>
      <c r="I58" s="259">
        <v>685441.2</v>
      </c>
      <c r="J58" s="173"/>
      <c r="K58" s="173"/>
      <c r="L58" s="173"/>
      <c r="M58" s="173"/>
      <c r="N58" s="173">
        <f t="shared" si="12"/>
        <v>685441.2</v>
      </c>
    </row>
    <row r="59" spans="1:14" x14ac:dyDescent="0.2"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</row>
    <row r="60" spans="1:14" x14ac:dyDescent="0.2">
      <c r="A60" s="117" t="s">
        <v>0</v>
      </c>
      <c r="B60" s="258">
        <f t="shared" ref="B60:N60" si="13">SUM(B61:B80)</f>
        <v>5177984.26</v>
      </c>
      <c r="C60" s="258">
        <f t="shared" si="13"/>
        <v>4112310.26</v>
      </c>
      <c r="D60" s="258">
        <f t="shared" si="13"/>
        <v>0</v>
      </c>
      <c r="E60" s="258">
        <f t="shared" si="13"/>
        <v>0</v>
      </c>
      <c r="F60" s="258">
        <f t="shared" si="13"/>
        <v>0</v>
      </c>
      <c r="G60" s="258">
        <f t="shared" si="13"/>
        <v>0</v>
      </c>
      <c r="H60" s="258">
        <f t="shared" si="13"/>
        <v>0</v>
      </c>
      <c r="I60" s="258">
        <f t="shared" si="13"/>
        <v>46939162.390000001</v>
      </c>
      <c r="J60" s="258">
        <f t="shared" si="13"/>
        <v>0</v>
      </c>
      <c r="K60" s="258">
        <f t="shared" si="13"/>
        <v>0</v>
      </c>
      <c r="L60" s="258">
        <f t="shared" si="13"/>
        <v>0</v>
      </c>
      <c r="M60" s="258">
        <f t="shared" si="13"/>
        <v>0</v>
      </c>
      <c r="N60" s="258">
        <f t="shared" si="13"/>
        <v>33406335.079999998</v>
      </c>
    </row>
    <row r="61" spans="1:14" ht="15" x14ac:dyDescent="0.25">
      <c r="A61" s="124" t="s">
        <v>170</v>
      </c>
      <c r="B61" s="173">
        <v>2374064.52</v>
      </c>
      <c r="C61" s="173">
        <v>3313993.87</v>
      </c>
      <c r="D61" s="173"/>
      <c r="E61" s="173"/>
      <c r="F61" s="173"/>
      <c r="G61" s="173"/>
      <c r="H61" s="173"/>
      <c r="I61" s="36">
        <v>19447630.859999999</v>
      </c>
      <c r="J61" s="173"/>
      <c r="K61" s="173"/>
      <c r="L61" s="173"/>
      <c r="M61" s="173"/>
      <c r="N61" s="173">
        <f>SUM(B61:M61)</f>
        <v>25135689.25</v>
      </c>
    </row>
    <row r="62" spans="1:14" x14ac:dyDescent="0.2">
      <c r="A62" s="124" t="s">
        <v>256</v>
      </c>
      <c r="B62" s="173"/>
      <c r="C62" s="173"/>
      <c r="D62" s="173"/>
      <c r="E62" s="173"/>
      <c r="F62" s="173"/>
      <c r="G62" s="173"/>
      <c r="H62" s="173"/>
      <c r="I62" s="259">
        <v>1519175.45</v>
      </c>
      <c r="J62" s="173"/>
      <c r="K62" s="173"/>
      <c r="L62" s="173"/>
      <c r="M62" s="173"/>
      <c r="N62" s="173"/>
    </row>
    <row r="63" spans="1:14" x14ac:dyDescent="0.2">
      <c r="A63" s="124" t="s">
        <v>173</v>
      </c>
      <c r="B63" s="173">
        <v>2844.67</v>
      </c>
      <c r="C63" s="173">
        <v>1197.1400000000001</v>
      </c>
      <c r="D63" s="173"/>
      <c r="E63" s="173"/>
      <c r="F63" s="173"/>
      <c r="G63" s="173"/>
      <c r="H63" s="173"/>
      <c r="I63" s="259">
        <v>10528.82</v>
      </c>
      <c r="J63" s="173"/>
      <c r="K63" s="173"/>
      <c r="L63" s="173"/>
      <c r="M63" s="173"/>
      <c r="N63" s="173">
        <f>SUM(B63:M63)</f>
        <v>14570.630000000001</v>
      </c>
    </row>
    <row r="64" spans="1:14" x14ac:dyDescent="0.2">
      <c r="A64" s="124" t="s">
        <v>171</v>
      </c>
      <c r="B64" s="173">
        <v>498392.62</v>
      </c>
      <c r="C64" s="173">
        <v>702487.9</v>
      </c>
      <c r="D64" s="173"/>
      <c r="E64" s="173"/>
      <c r="F64" s="173"/>
      <c r="G64" s="173"/>
      <c r="H64" s="173"/>
      <c r="I64" s="259">
        <v>6244655.6900000004</v>
      </c>
      <c r="J64" s="173"/>
      <c r="K64" s="173"/>
      <c r="L64" s="173"/>
      <c r="M64" s="173"/>
      <c r="N64" s="173">
        <f t="shared" ref="N64:N80" si="14">SUM(B64:M64)</f>
        <v>7445536.2100000009</v>
      </c>
    </row>
    <row r="65" spans="1:14" x14ac:dyDescent="0.2">
      <c r="A65" s="124" t="s">
        <v>172</v>
      </c>
      <c r="B65" s="173">
        <v>37225.54</v>
      </c>
      <c r="C65" s="173">
        <v>86293.759999999995</v>
      </c>
      <c r="D65" s="173"/>
      <c r="E65" s="173"/>
      <c r="F65" s="173"/>
      <c r="G65" s="173"/>
      <c r="H65" s="173"/>
      <c r="I65" s="259">
        <v>401455.58</v>
      </c>
      <c r="J65" s="173"/>
      <c r="K65" s="173"/>
      <c r="L65" s="173"/>
      <c r="M65" s="173"/>
      <c r="N65" s="173">
        <f t="shared" si="14"/>
        <v>524974.88</v>
      </c>
    </row>
    <row r="66" spans="1:14" x14ac:dyDescent="0.2">
      <c r="A66" s="124" t="s">
        <v>189</v>
      </c>
      <c r="B66" s="259">
        <v>3845.4</v>
      </c>
      <c r="C66" s="173">
        <v>3845.48</v>
      </c>
      <c r="D66" s="173"/>
      <c r="E66" s="173"/>
      <c r="F66" s="173"/>
      <c r="G66" s="173"/>
      <c r="H66" s="173"/>
      <c r="I66" s="259">
        <v>23072.880000000001</v>
      </c>
      <c r="J66" s="173"/>
      <c r="K66" s="173"/>
      <c r="L66" s="173"/>
      <c r="M66" s="173"/>
      <c r="N66" s="173">
        <f t="shared" si="14"/>
        <v>30763.760000000002</v>
      </c>
    </row>
    <row r="67" spans="1:14" x14ac:dyDescent="0.2">
      <c r="A67" s="124" t="s">
        <v>188</v>
      </c>
      <c r="B67" s="173">
        <v>5023.82</v>
      </c>
      <c r="C67" s="173">
        <v>4492.1099999999997</v>
      </c>
      <c r="D67" s="173"/>
      <c r="E67" s="173"/>
      <c r="F67" s="173"/>
      <c r="G67" s="173"/>
      <c r="H67" s="173"/>
      <c r="I67" s="259">
        <v>33603.75</v>
      </c>
      <c r="J67" s="173"/>
      <c r="K67" s="173"/>
      <c r="L67" s="173"/>
      <c r="M67" s="173"/>
      <c r="N67" s="173">
        <f t="shared" si="14"/>
        <v>43119.68</v>
      </c>
    </row>
    <row r="68" spans="1:14" x14ac:dyDescent="0.2">
      <c r="A68" s="124" t="s">
        <v>282</v>
      </c>
      <c r="B68" s="173">
        <v>5519.11</v>
      </c>
      <c r="C68" s="173"/>
      <c r="D68" s="173"/>
      <c r="E68" s="173"/>
      <c r="F68" s="173"/>
      <c r="G68" s="173"/>
      <c r="H68" s="173"/>
      <c r="I68" s="259">
        <v>16992.16</v>
      </c>
      <c r="J68" s="173"/>
      <c r="K68" s="173"/>
      <c r="L68" s="173"/>
      <c r="M68" s="173"/>
      <c r="N68" s="173">
        <f t="shared" si="14"/>
        <v>22511.27</v>
      </c>
    </row>
    <row r="69" spans="1:14" x14ac:dyDescent="0.2">
      <c r="A69" s="124" t="s">
        <v>283</v>
      </c>
      <c r="B69" s="173">
        <v>0</v>
      </c>
      <c r="C69" s="173"/>
      <c r="D69" s="173"/>
      <c r="E69" s="173"/>
      <c r="F69" s="173"/>
      <c r="G69" s="173"/>
      <c r="H69" s="173"/>
      <c r="I69" s="259">
        <v>136002</v>
      </c>
      <c r="J69" s="173"/>
      <c r="K69" s="173"/>
      <c r="L69" s="173"/>
      <c r="M69" s="173"/>
      <c r="N69" s="173">
        <f t="shared" si="14"/>
        <v>136002</v>
      </c>
    </row>
    <row r="70" spans="1:14" x14ac:dyDescent="0.2">
      <c r="A70" s="124" t="s">
        <v>5</v>
      </c>
      <c r="B70" s="173"/>
      <c r="C70" s="173"/>
      <c r="D70" s="173"/>
      <c r="E70" s="173"/>
      <c r="F70" s="173"/>
      <c r="G70" s="173"/>
      <c r="H70" s="173"/>
      <c r="I70" s="259"/>
      <c r="J70" s="173"/>
      <c r="K70" s="173"/>
      <c r="L70" s="173"/>
      <c r="M70" s="173"/>
      <c r="N70" s="173">
        <f t="shared" si="14"/>
        <v>0</v>
      </c>
    </row>
    <row r="71" spans="1:14" x14ac:dyDescent="0.2">
      <c r="A71" s="124" t="s">
        <v>284</v>
      </c>
      <c r="B71" s="173">
        <v>816674.19</v>
      </c>
      <c r="C71" s="173"/>
      <c r="D71" s="173"/>
      <c r="E71" s="173"/>
      <c r="F71" s="173"/>
      <c r="G71" s="173"/>
      <c r="H71" s="173"/>
      <c r="I71" s="259">
        <v>8272759.1900000004</v>
      </c>
      <c r="J71" s="173"/>
      <c r="K71" s="173"/>
      <c r="L71" s="173"/>
      <c r="M71" s="173"/>
      <c r="N71" s="173"/>
    </row>
    <row r="72" spans="1:14" x14ac:dyDescent="0.2">
      <c r="A72" s="124" t="s">
        <v>285</v>
      </c>
      <c r="B72" s="173">
        <v>202442.01</v>
      </c>
      <c r="C72" s="173"/>
      <c r="D72" s="173"/>
      <c r="E72" s="173"/>
      <c r="F72" s="173"/>
      <c r="G72" s="173"/>
      <c r="H72" s="173"/>
      <c r="I72" s="259">
        <v>1321650.7</v>
      </c>
      <c r="J72" s="173"/>
      <c r="K72" s="173"/>
      <c r="L72" s="173"/>
      <c r="M72" s="173"/>
      <c r="N72" s="173"/>
    </row>
    <row r="73" spans="1:14" x14ac:dyDescent="0.2">
      <c r="A73" s="124" t="s">
        <v>286</v>
      </c>
      <c r="B73" s="173">
        <v>788830.14</v>
      </c>
      <c r="C73" s="173"/>
      <c r="D73" s="173"/>
      <c r="E73" s="173"/>
      <c r="F73" s="173"/>
      <c r="G73" s="173"/>
      <c r="H73" s="173"/>
      <c r="I73" s="259">
        <v>3101905.25</v>
      </c>
      <c r="J73" s="173"/>
      <c r="K73" s="173"/>
      <c r="L73" s="173"/>
      <c r="M73" s="173"/>
      <c r="N73" s="173"/>
    </row>
    <row r="74" spans="1:14" x14ac:dyDescent="0.2">
      <c r="A74" s="124" t="s">
        <v>174</v>
      </c>
      <c r="B74" s="173"/>
      <c r="C74" s="173"/>
      <c r="D74" s="173"/>
      <c r="E74" s="173"/>
      <c r="F74" s="173"/>
      <c r="G74" s="173"/>
      <c r="H74" s="173"/>
      <c r="I74" s="259">
        <f>6850.78+7690.96</f>
        <v>14541.74</v>
      </c>
      <c r="J74" s="173"/>
      <c r="K74" s="173"/>
      <c r="L74" s="173"/>
      <c r="M74" s="173"/>
      <c r="N74" s="173">
        <f t="shared" si="14"/>
        <v>14541.74</v>
      </c>
    </row>
    <row r="75" spans="1:14" x14ac:dyDescent="0.2">
      <c r="A75" s="124" t="s">
        <v>277</v>
      </c>
      <c r="B75" s="173">
        <v>93964.85</v>
      </c>
      <c r="C75" s="173"/>
      <c r="D75" s="173"/>
      <c r="E75" s="173"/>
      <c r="F75" s="173"/>
      <c r="G75" s="173"/>
      <c r="H75" s="173"/>
      <c r="I75" s="259">
        <v>1173679.99</v>
      </c>
      <c r="J75" s="173"/>
      <c r="K75" s="173"/>
      <c r="L75" s="173"/>
      <c r="M75" s="173"/>
      <c r="N75" s="173"/>
    </row>
    <row r="76" spans="1:14" x14ac:dyDescent="0.2">
      <c r="A76" s="124" t="s">
        <v>278</v>
      </c>
      <c r="B76" s="173">
        <v>290693.15999999997</v>
      </c>
      <c r="C76" s="173"/>
      <c r="D76" s="173"/>
      <c r="E76" s="173"/>
      <c r="F76" s="173"/>
      <c r="G76" s="173"/>
      <c r="H76" s="173"/>
      <c r="I76" s="259">
        <v>4562002.99</v>
      </c>
      <c r="J76" s="173"/>
      <c r="K76" s="173"/>
      <c r="L76" s="173"/>
      <c r="M76" s="173"/>
      <c r="N76" s="173"/>
    </row>
    <row r="77" spans="1:14" x14ac:dyDescent="0.2">
      <c r="A77" s="124" t="s">
        <v>279</v>
      </c>
      <c r="B77" s="173">
        <v>56111.37</v>
      </c>
      <c r="C77" s="173"/>
      <c r="D77" s="173"/>
      <c r="E77" s="173"/>
      <c r="F77" s="173"/>
      <c r="G77" s="173"/>
      <c r="H77" s="173"/>
      <c r="I77" s="259">
        <v>478269.31</v>
      </c>
      <c r="J77" s="173"/>
      <c r="K77" s="173"/>
      <c r="L77" s="173"/>
      <c r="M77" s="173"/>
      <c r="N77" s="173"/>
    </row>
    <row r="78" spans="1:14" x14ac:dyDescent="0.2">
      <c r="A78" s="124" t="s">
        <v>280</v>
      </c>
      <c r="B78" s="173">
        <v>0</v>
      </c>
      <c r="C78" s="173"/>
      <c r="D78" s="173"/>
      <c r="E78" s="173"/>
      <c r="F78" s="173"/>
      <c r="G78" s="173"/>
      <c r="H78" s="173"/>
      <c r="I78" s="259">
        <v>144963.23000000001</v>
      </c>
      <c r="J78" s="173"/>
      <c r="K78" s="173"/>
      <c r="L78" s="173"/>
      <c r="M78" s="173"/>
      <c r="N78" s="173"/>
    </row>
    <row r="79" spans="1:14" x14ac:dyDescent="0.2">
      <c r="A79" s="124" t="s">
        <v>281</v>
      </c>
      <c r="B79" s="173"/>
      <c r="C79" s="173"/>
      <c r="D79" s="173"/>
      <c r="E79" s="173"/>
      <c r="F79" s="173"/>
      <c r="G79" s="173"/>
      <c r="H79" s="173"/>
      <c r="I79" s="259">
        <v>0</v>
      </c>
      <c r="J79" s="173"/>
      <c r="K79" s="173"/>
      <c r="L79" s="173"/>
      <c r="M79" s="173"/>
      <c r="N79" s="173"/>
    </row>
    <row r="80" spans="1:14" x14ac:dyDescent="0.2">
      <c r="A80" s="124" t="s">
        <v>64</v>
      </c>
      <c r="B80" s="173">
        <v>2352.86</v>
      </c>
      <c r="C80" s="173"/>
      <c r="D80" s="173"/>
      <c r="E80" s="173"/>
      <c r="F80" s="173"/>
      <c r="G80" s="173"/>
      <c r="H80" s="173"/>
      <c r="I80" s="259">
        <v>36272.800000000003</v>
      </c>
      <c r="J80" s="173"/>
      <c r="K80" s="173"/>
      <c r="L80" s="173"/>
      <c r="M80" s="173"/>
      <c r="N80" s="173">
        <f t="shared" si="14"/>
        <v>38625.660000000003</v>
      </c>
    </row>
    <row r="81" spans="1:14" x14ac:dyDescent="0.2">
      <c r="A81" s="125" t="s">
        <v>175</v>
      </c>
      <c r="B81" s="260">
        <v>582505.34</v>
      </c>
      <c r="C81" s="260"/>
      <c r="D81" s="260"/>
      <c r="E81" s="260"/>
      <c r="F81" s="260"/>
      <c r="G81" s="260"/>
      <c r="H81" s="260"/>
      <c r="I81" s="260">
        <v>5282606.2300000004</v>
      </c>
      <c r="J81" s="260"/>
      <c r="K81" s="260"/>
      <c r="L81" s="260"/>
      <c r="M81" s="260"/>
      <c r="N81" s="260">
        <f>SUM(B81:M81)</f>
        <v>5865111.5700000003</v>
      </c>
    </row>
    <row r="83" spans="1:14" ht="15" x14ac:dyDescent="0.25">
      <c r="A83" s="261" t="s">
        <v>176</v>
      </c>
      <c r="B83" s="261">
        <f t="shared" ref="B83:H83" si="15">B50+B57+B60-B81</f>
        <v>4746313.76</v>
      </c>
      <c r="C83" s="261">
        <f t="shared" si="15"/>
        <v>4227449.9399999995</v>
      </c>
      <c r="D83" s="261">
        <f t="shared" si="15"/>
        <v>0</v>
      </c>
      <c r="E83" s="261">
        <f t="shared" si="15"/>
        <v>0</v>
      </c>
      <c r="F83" s="261">
        <f t="shared" si="15"/>
        <v>0</v>
      </c>
      <c r="G83" s="261">
        <f t="shared" si="15"/>
        <v>0</v>
      </c>
      <c r="H83" s="261">
        <f t="shared" si="15"/>
        <v>0</v>
      </c>
      <c r="I83" s="261">
        <f>I50+I60-I81</f>
        <v>44402844.299999997</v>
      </c>
      <c r="J83" s="261">
        <f>J50+J57+J60-J81</f>
        <v>0</v>
      </c>
      <c r="K83" s="261">
        <f>K50+K57+K60-K81</f>
        <v>0</v>
      </c>
      <c r="L83" s="261">
        <f>L50+L57+L60-L81</f>
        <v>0</v>
      </c>
      <c r="M83" s="261">
        <f>M50+M57+M60-M81</f>
        <v>0</v>
      </c>
      <c r="N83" s="261">
        <f>N50+N57+N60-N81</f>
        <v>29454542.089999996</v>
      </c>
    </row>
    <row r="84" spans="1:14" ht="14.25" x14ac:dyDescent="0.2">
      <c r="A84" s="389" t="s">
        <v>315</v>
      </c>
      <c r="B84" s="389"/>
      <c r="C84" s="389"/>
      <c r="D84" s="389"/>
      <c r="E84" s="389"/>
      <c r="F84" s="389"/>
      <c r="G84" s="389"/>
      <c r="H84" s="389"/>
      <c r="I84" s="389">
        <v>2200000</v>
      </c>
      <c r="J84" s="389"/>
      <c r="K84" s="389"/>
      <c r="L84" s="389"/>
      <c r="M84" s="389"/>
      <c r="N84" s="389"/>
    </row>
    <row r="85" spans="1:14" ht="15" x14ac:dyDescent="0.25">
      <c r="A85" s="261" t="s">
        <v>316</v>
      </c>
      <c r="B85" s="261"/>
      <c r="C85" s="261"/>
      <c r="D85" s="261"/>
      <c r="E85" s="261"/>
      <c r="F85" s="261"/>
      <c r="G85" s="261"/>
      <c r="H85" s="261"/>
      <c r="I85" s="261">
        <f>I83-I84</f>
        <v>42202844.299999997</v>
      </c>
      <c r="J85" s="261"/>
      <c r="K85" s="261"/>
      <c r="L85" s="261"/>
      <c r="M85" s="261"/>
      <c r="N85" s="261"/>
    </row>
    <row r="87" spans="1:14" ht="15.75" x14ac:dyDescent="0.25">
      <c r="A87" s="127" t="s">
        <v>177</v>
      </c>
      <c r="B87" s="127"/>
      <c r="C87" s="128"/>
      <c r="D87" s="127"/>
      <c r="E87" s="127"/>
      <c r="F87" s="127"/>
      <c r="G87" s="127"/>
      <c r="H87" s="127"/>
      <c r="I87" s="353">
        <v>1330905.23</v>
      </c>
      <c r="J87" s="127"/>
      <c r="K87" s="127"/>
      <c r="L87" s="127"/>
      <c r="M87" s="127"/>
      <c r="N87" s="127"/>
    </row>
    <row r="88" spans="1:14" ht="15.75" x14ac:dyDescent="0.25">
      <c r="A88" s="354" t="s">
        <v>289</v>
      </c>
      <c r="B88" s="354"/>
      <c r="C88" s="355"/>
      <c r="D88" s="354"/>
      <c r="E88" s="354"/>
      <c r="F88" s="354"/>
      <c r="G88" s="354"/>
      <c r="H88" s="354"/>
      <c r="I88" s="356">
        <f>I83+I87</f>
        <v>45733749.529999994</v>
      </c>
      <c r="J88" s="354"/>
      <c r="K88" s="354"/>
      <c r="L88" s="354"/>
      <c r="M88" s="354"/>
      <c r="N88" s="354"/>
    </row>
    <row r="90" spans="1:14" x14ac:dyDescent="0.2">
      <c r="A90" s="170" t="s">
        <v>6</v>
      </c>
      <c r="B90" s="172">
        <f t="shared" ref="B90:I90" si="16">B91+B94+B97</f>
        <v>0</v>
      </c>
      <c r="C90" s="172">
        <f t="shared" si="16"/>
        <v>0</v>
      </c>
      <c r="D90" s="172">
        <f t="shared" si="16"/>
        <v>0</v>
      </c>
      <c r="E90" s="172">
        <f t="shared" si="16"/>
        <v>0</v>
      </c>
      <c r="F90" s="172">
        <f t="shared" si="16"/>
        <v>0</v>
      </c>
      <c r="G90" s="172">
        <f t="shared" si="16"/>
        <v>0</v>
      </c>
      <c r="H90" s="172">
        <f t="shared" si="16"/>
        <v>0</v>
      </c>
      <c r="I90" s="172">
        <f t="shared" si="16"/>
        <v>12734893.719999999</v>
      </c>
      <c r="J90" s="172">
        <f>J91+J94+J97</f>
        <v>0</v>
      </c>
      <c r="K90" s="172">
        <f>K91+K94+K97</f>
        <v>0</v>
      </c>
      <c r="L90" s="172">
        <f>L91+L94+L97</f>
        <v>0</v>
      </c>
      <c r="M90" s="172">
        <f>M91+M94+M97</f>
        <v>0</v>
      </c>
      <c r="N90" s="174">
        <f>SUM(B90:M90)</f>
        <v>12734893.719999999</v>
      </c>
    </row>
    <row r="91" spans="1:14" x14ac:dyDescent="0.2">
      <c r="A91" s="170" t="s">
        <v>194</v>
      </c>
      <c r="B91" s="172">
        <f t="shared" ref="B91:M91" si="17">B92+B93</f>
        <v>0</v>
      </c>
      <c r="C91" s="172">
        <f t="shared" si="17"/>
        <v>0</v>
      </c>
      <c r="D91" s="172">
        <f t="shared" si="17"/>
        <v>0</v>
      </c>
      <c r="E91" s="172">
        <f t="shared" si="17"/>
        <v>0</v>
      </c>
      <c r="F91" s="172">
        <f t="shared" si="17"/>
        <v>0</v>
      </c>
      <c r="G91" s="172">
        <f t="shared" si="17"/>
        <v>0</v>
      </c>
      <c r="H91" s="172">
        <f t="shared" si="17"/>
        <v>0</v>
      </c>
      <c r="I91" s="172">
        <f t="shared" si="17"/>
        <v>8311337.7700000005</v>
      </c>
      <c r="J91" s="172">
        <f t="shared" si="17"/>
        <v>0</v>
      </c>
      <c r="K91" s="172">
        <f t="shared" si="17"/>
        <v>0</v>
      </c>
      <c r="L91" s="172">
        <f t="shared" si="17"/>
        <v>0</v>
      </c>
      <c r="M91" s="172">
        <f t="shared" si="17"/>
        <v>0</v>
      </c>
      <c r="N91" s="174">
        <f t="shared" ref="N91:N95" si="18">SUM(B91:M91)</f>
        <v>8311337.7700000005</v>
      </c>
    </row>
    <row r="92" spans="1:14" x14ac:dyDescent="0.2">
      <c r="A92" s="171" t="s">
        <v>190</v>
      </c>
      <c r="B92" s="173"/>
      <c r="C92" s="173"/>
      <c r="D92" s="173"/>
      <c r="E92" s="173"/>
      <c r="F92" s="173"/>
      <c r="G92" s="173"/>
      <c r="H92" s="173"/>
      <c r="I92" s="173">
        <f>I71</f>
        <v>8272759.1900000004</v>
      </c>
      <c r="J92" s="173"/>
      <c r="K92" s="173"/>
      <c r="L92" s="173"/>
      <c r="M92" s="259"/>
      <c r="N92" s="173">
        <f t="shared" si="18"/>
        <v>8272759.1900000004</v>
      </c>
    </row>
    <row r="93" spans="1:14" x14ac:dyDescent="0.2">
      <c r="A93" s="171" t="s">
        <v>191</v>
      </c>
      <c r="B93" s="173"/>
      <c r="C93" s="173"/>
      <c r="D93" s="173"/>
      <c r="E93" s="173"/>
      <c r="F93" s="173"/>
      <c r="G93" s="173"/>
      <c r="H93" s="173"/>
      <c r="I93" s="173">
        <f>38554.74+23.84</f>
        <v>38578.579999999994</v>
      </c>
      <c r="J93" s="173"/>
      <c r="K93" s="173"/>
      <c r="L93" s="173"/>
      <c r="M93" s="259"/>
      <c r="N93" s="173">
        <f t="shared" si="18"/>
        <v>38578.579999999994</v>
      </c>
    </row>
    <row r="94" spans="1:14" x14ac:dyDescent="0.2">
      <c r="A94" s="170" t="s">
        <v>192</v>
      </c>
      <c r="B94" s="172">
        <f>B95+B96</f>
        <v>0</v>
      </c>
      <c r="C94" s="172">
        <f t="shared" ref="C94:M94" si="19">C95+C96</f>
        <v>0</v>
      </c>
      <c r="D94" s="172">
        <f t="shared" si="19"/>
        <v>0</v>
      </c>
      <c r="E94" s="172">
        <f t="shared" si="19"/>
        <v>0</v>
      </c>
      <c r="F94" s="172">
        <f t="shared" si="19"/>
        <v>0</v>
      </c>
      <c r="G94" s="172">
        <f t="shared" si="19"/>
        <v>0</v>
      </c>
      <c r="H94" s="172">
        <f t="shared" si="19"/>
        <v>0</v>
      </c>
      <c r="I94" s="172">
        <f t="shared" si="19"/>
        <v>3101905.25</v>
      </c>
      <c r="J94" s="172">
        <f t="shared" si="19"/>
        <v>0</v>
      </c>
      <c r="K94" s="172">
        <f t="shared" si="19"/>
        <v>0</v>
      </c>
      <c r="L94" s="172">
        <f t="shared" si="19"/>
        <v>0</v>
      </c>
      <c r="M94" s="172">
        <f t="shared" si="19"/>
        <v>0</v>
      </c>
      <c r="N94" s="174">
        <f t="shared" si="18"/>
        <v>3101905.25</v>
      </c>
    </row>
    <row r="95" spans="1:14" x14ac:dyDescent="0.2">
      <c r="A95" s="171" t="s">
        <v>190</v>
      </c>
      <c r="B95" s="173"/>
      <c r="C95" s="173"/>
      <c r="D95" s="173"/>
      <c r="E95" s="173"/>
      <c r="F95" s="173"/>
      <c r="G95" s="173"/>
      <c r="H95" s="173"/>
      <c r="I95" s="173">
        <f>I73</f>
        <v>3101905.25</v>
      </c>
      <c r="J95" s="173"/>
      <c r="K95" s="173"/>
      <c r="L95" s="173"/>
      <c r="M95" s="259"/>
      <c r="N95" s="173">
        <f t="shared" si="18"/>
        <v>3101905.25</v>
      </c>
    </row>
    <row r="96" spans="1:14" x14ac:dyDescent="0.2">
      <c r="A96" s="171" t="s">
        <v>191</v>
      </c>
      <c r="B96" s="173">
        <v>0</v>
      </c>
      <c r="C96" s="173">
        <v>0</v>
      </c>
      <c r="D96" s="173">
        <v>0</v>
      </c>
      <c r="E96" s="173">
        <v>0</v>
      </c>
      <c r="F96" s="173"/>
      <c r="G96" s="173"/>
      <c r="H96" s="173"/>
      <c r="I96" s="173"/>
      <c r="J96" s="173"/>
      <c r="K96" s="173"/>
      <c r="L96" s="173"/>
      <c r="M96" s="173"/>
      <c r="N96" s="173">
        <f t="shared" ref="N96:N99" si="20">SUM(B96:M96)</f>
        <v>0</v>
      </c>
    </row>
    <row r="97" spans="1:15" x14ac:dyDescent="0.2">
      <c r="A97" s="170" t="s">
        <v>193</v>
      </c>
      <c r="B97" s="172">
        <f>B98+B99</f>
        <v>0</v>
      </c>
      <c r="C97" s="172">
        <f t="shared" ref="C97:M97" si="21">C98+C99</f>
        <v>0</v>
      </c>
      <c r="D97" s="172">
        <f t="shared" si="21"/>
        <v>0</v>
      </c>
      <c r="E97" s="172">
        <f t="shared" si="21"/>
        <v>0</v>
      </c>
      <c r="F97" s="172">
        <f t="shared" si="21"/>
        <v>0</v>
      </c>
      <c r="G97" s="172">
        <f t="shared" si="21"/>
        <v>0</v>
      </c>
      <c r="H97" s="172">
        <f t="shared" si="21"/>
        <v>0</v>
      </c>
      <c r="I97" s="172">
        <f t="shared" si="21"/>
        <v>1321650.7</v>
      </c>
      <c r="J97" s="172">
        <f t="shared" si="21"/>
        <v>0</v>
      </c>
      <c r="K97" s="172">
        <f t="shared" si="21"/>
        <v>0</v>
      </c>
      <c r="L97" s="172">
        <f t="shared" si="21"/>
        <v>0</v>
      </c>
      <c r="M97" s="172">
        <f t="shared" si="21"/>
        <v>0</v>
      </c>
      <c r="N97" s="174">
        <f>SUM(B97:M97)</f>
        <v>1321650.7</v>
      </c>
    </row>
    <row r="98" spans="1:15" x14ac:dyDescent="0.2">
      <c r="A98" s="171" t="s">
        <v>190</v>
      </c>
      <c r="B98" s="173">
        <v>0</v>
      </c>
      <c r="C98" s="173">
        <v>0</v>
      </c>
      <c r="D98" s="173">
        <v>0</v>
      </c>
      <c r="E98" s="173">
        <v>0</v>
      </c>
      <c r="F98" s="173">
        <v>0</v>
      </c>
      <c r="G98" s="173">
        <v>0</v>
      </c>
      <c r="H98" s="173">
        <v>0</v>
      </c>
      <c r="I98" s="173">
        <f>I72</f>
        <v>1321650.7</v>
      </c>
      <c r="J98" s="173"/>
      <c r="K98" s="173"/>
      <c r="L98" s="173"/>
      <c r="M98" s="259"/>
      <c r="N98" s="173">
        <f>SUM(B98:M98)</f>
        <v>1321650.7</v>
      </c>
    </row>
    <row r="99" spans="1:15" x14ac:dyDescent="0.2">
      <c r="A99" s="171" t="s">
        <v>191</v>
      </c>
      <c r="B99" s="173">
        <v>0</v>
      </c>
      <c r="C99" s="173">
        <v>0</v>
      </c>
      <c r="D99" s="173">
        <v>0</v>
      </c>
      <c r="E99" s="173">
        <v>0</v>
      </c>
      <c r="F99" s="173"/>
      <c r="G99" s="173"/>
      <c r="H99" s="173"/>
      <c r="I99" s="173"/>
      <c r="J99" s="173"/>
      <c r="K99" s="173"/>
      <c r="L99" s="173"/>
      <c r="M99" s="173"/>
      <c r="N99" s="173">
        <f t="shared" si="20"/>
        <v>0</v>
      </c>
    </row>
    <row r="100" spans="1:15" ht="105.75" customHeight="1" x14ac:dyDescent="0.2"/>
    <row r="101" spans="1:15" ht="15.75" x14ac:dyDescent="0.25">
      <c r="A101" s="422" t="s">
        <v>327</v>
      </c>
      <c r="B101" s="422"/>
      <c r="C101" s="422"/>
      <c r="D101" s="422"/>
      <c r="E101" s="422"/>
      <c r="F101" s="422"/>
      <c r="G101" s="422"/>
      <c r="H101" s="422"/>
      <c r="I101" s="422"/>
      <c r="J101" s="422"/>
      <c r="K101" s="422"/>
      <c r="L101" s="422"/>
      <c r="M101" s="422"/>
      <c r="N101" s="422"/>
    </row>
    <row r="102" spans="1:15" ht="15" x14ac:dyDescent="0.2">
      <c r="A102" s="116" t="s">
        <v>79</v>
      </c>
      <c r="B102" s="116" t="s">
        <v>67</v>
      </c>
      <c r="C102" s="116" t="s">
        <v>68</v>
      </c>
      <c r="D102" s="116" t="s">
        <v>69</v>
      </c>
      <c r="E102" s="116" t="s">
        <v>70</v>
      </c>
      <c r="F102" s="116" t="s">
        <v>71</v>
      </c>
      <c r="G102" s="116" t="s">
        <v>72</v>
      </c>
      <c r="H102" s="116" t="s">
        <v>73</v>
      </c>
      <c r="I102" s="116" t="s">
        <v>74</v>
      </c>
      <c r="J102" s="116" t="s">
        <v>75</v>
      </c>
      <c r="K102" s="116" t="s">
        <v>76</v>
      </c>
      <c r="L102" s="116" t="s">
        <v>77</v>
      </c>
      <c r="M102" s="116" t="s">
        <v>78</v>
      </c>
      <c r="N102" s="116" t="s">
        <v>88</v>
      </c>
    </row>
    <row r="103" spans="1:15" x14ac:dyDescent="0.2">
      <c r="A103" s="117" t="s">
        <v>287</v>
      </c>
      <c r="B103" s="258">
        <f t="shared" ref="B103:H103" si="22">SUM(B104:B108)</f>
        <v>0</v>
      </c>
      <c r="C103" s="258">
        <f t="shared" si="22"/>
        <v>0</v>
      </c>
      <c r="D103" s="258">
        <f t="shared" si="22"/>
        <v>0</v>
      </c>
      <c r="E103" s="258">
        <f t="shared" si="22"/>
        <v>0</v>
      </c>
      <c r="F103" s="258">
        <f t="shared" si="22"/>
        <v>0</v>
      </c>
      <c r="G103" s="258">
        <f t="shared" si="22"/>
        <v>0</v>
      </c>
      <c r="H103" s="258">
        <f t="shared" si="22"/>
        <v>0</v>
      </c>
      <c r="I103" s="258">
        <f>SUM(I104:I111)</f>
        <v>2746288.1399999997</v>
      </c>
      <c r="J103" s="258">
        <f>SUM(J104:J108)</f>
        <v>0</v>
      </c>
      <c r="K103" s="258">
        <f>SUM(K104:K108)</f>
        <v>0</v>
      </c>
      <c r="L103" s="258">
        <f>SUM(L104:L108)</f>
        <v>0</v>
      </c>
      <c r="M103" s="258">
        <f>SUM(M104:M108)</f>
        <v>0</v>
      </c>
      <c r="N103" s="258">
        <f>SUM(O104:O108)</f>
        <v>5.4398069606006052</v>
      </c>
    </row>
    <row r="104" spans="1:15" x14ac:dyDescent="0.2">
      <c r="A104" s="129" t="s">
        <v>80</v>
      </c>
      <c r="B104" s="173"/>
      <c r="C104" s="173"/>
      <c r="D104" s="173"/>
      <c r="E104" s="173"/>
      <c r="F104" s="173"/>
      <c r="G104" s="173"/>
      <c r="H104" s="173"/>
      <c r="I104" s="259">
        <v>149632.01</v>
      </c>
      <c r="J104" s="173"/>
      <c r="K104" s="173"/>
      <c r="L104" s="173"/>
      <c r="M104" s="259"/>
      <c r="N104" s="168">
        <f>SUM(I104:M104)</f>
        <v>149632.01</v>
      </c>
      <c r="O104" s="241">
        <f t="shared" ref="O104:O111" si="23">N4/N51</f>
        <v>0.43121839573737197</v>
      </c>
    </row>
    <row r="105" spans="1:15" x14ac:dyDescent="0.2">
      <c r="A105" s="129" t="s">
        <v>81</v>
      </c>
      <c r="B105" s="173"/>
      <c r="C105" s="173"/>
      <c r="D105" s="173"/>
      <c r="E105" s="173"/>
      <c r="F105" s="173"/>
      <c r="G105" s="173"/>
      <c r="H105" s="173"/>
      <c r="I105" s="259">
        <v>174935.91</v>
      </c>
      <c r="J105" s="173"/>
      <c r="K105" s="173"/>
      <c r="L105" s="173"/>
      <c r="M105" s="173"/>
      <c r="N105" s="168">
        <f t="shared" ref="N105:N111" si="24">SUM(I105:M105)</f>
        <v>174935.91</v>
      </c>
      <c r="O105" s="241">
        <f t="shared" si="23"/>
        <v>1.0162738682019632</v>
      </c>
    </row>
    <row r="106" spans="1:15" x14ac:dyDescent="0.2">
      <c r="A106" s="129" t="s">
        <v>82</v>
      </c>
      <c r="B106" s="173"/>
      <c r="C106" s="173"/>
      <c r="D106" s="173"/>
      <c r="E106" s="173"/>
      <c r="F106" s="173"/>
      <c r="G106" s="173"/>
      <c r="H106" s="173"/>
      <c r="I106" s="259">
        <v>185172.47</v>
      </c>
      <c r="J106" s="173"/>
      <c r="K106" s="173"/>
      <c r="L106" s="173"/>
      <c r="M106" s="173"/>
      <c r="N106" s="168">
        <f t="shared" si="24"/>
        <v>185172.47</v>
      </c>
      <c r="O106" s="241">
        <f t="shared" si="23"/>
        <v>2.8667027008554746</v>
      </c>
    </row>
    <row r="107" spans="1:15" x14ac:dyDescent="0.2">
      <c r="A107" s="129" t="s">
        <v>83</v>
      </c>
      <c r="B107" s="173"/>
      <c r="C107" s="173"/>
      <c r="D107" s="173"/>
      <c r="E107" s="173"/>
      <c r="F107" s="173"/>
      <c r="G107" s="173"/>
      <c r="H107" s="173"/>
      <c r="I107" s="259">
        <v>483358.5</v>
      </c>
      <c r="J107" s="173"/>
      <c r="K107" s="173"/>
      <c r="L107" s="173"/>
      <c r="M107" s="259"/>
      <c r="N107" s="168">
        <f t="shared" si="24"/>
        <v>483358.5</v>
      </c>
      <c r="O107" s="241">
        <f t="shared" si="23"/>
        <v>0.1257543413047528</v>
      </c>
    </row>
    <row r="108" spans="1:15" x14ac:dyDescent="0.2">
      <c r="A108" s="130" t="s">
        <v>169</v>
      </c>
      <c r="B108" s="173"/>
      <c r="C108" s="173"/>
      <c r="D108" s="173"/>
      <c r="E108" s="173"/>
      <c r="F108" s="173"/>
      <c r="G108" s="173"/>
      <c r="H108" s="173"/>
      <c r="I108" s="259">
        <f>223705.57+239.54</f>
        <v>223945.11000000002</v>
      </c>
      <c r="J108" s="173"/>
      <c r="K108" s="173"/>
      <c r="L108" s="173"/>
      <c r="M108" s="173"/>
      <c r="N108" s="168">
        <f t="shared" si="24"/>
        <v>223945.11000000002</v>
      </c>
      <c r="O108" s="241">
        <f t="shared" si="23"/>
        <v>0.99985765450104225</v>
      </c>
    </row>
    <row r="109" spans="1:15" x14ac:dyDescent="0.2">
      <c r="A109" s="119" t="s">
        <v>84</v>
      </c>
      <c r="B109" s="173"/>
      <c r="C109" s="173"/>
      <c r="D109" s="173"/>
      <c r="E109" s="173"/>
      <c r="F109" s="173"/>
      <c r="G109" s="173"/>
      <c r="H109" s="173"/>
      <c r="I109" s="259">
        <v>413502.88</v>
      </c>
      <c r="J109" s="173"/>
      <c r="K109" s="173"/>
      <c r="L109" s="173"/>
      <c r="M109" s="173"/>
      <c r="N109" s="168">
        <f t="shared" si="24"/>
        <v>413502.88</v>
      </c>
      <c r="O109" s="241">
        <f t="shared" si="23"/>
        <v>0</v>
      </c>
    </row>
    <row r="110" spans="1:15" x14ac:dyDescent="0.2">
      <c r="A110" s="129" t="s">
        <v>63</v>
      </c>
      <c r="B110" s="173"/>
      <c r="C110" s="259"/>
      <c r="D110" s="259"/>
      <c r="E110" s="259"/>
      <c r="F110" s="173"/>
      <c r="G110" s="173"/>
      <c r="H110" s="173"/>
      <c r="I110" s="259">
        <v>430300.06</v>
      </c>
      <c r="J110" s="173"/>
      <c r="K110" s="173"/>
      <c r="L110" s="173"/>
      <c r="M110" s="173"/>
      <c r="N110" s="168">
        <f t="shared" si="24"/>
        <v>430300.06</v>
      </c>
      <c r="O110" s="241">
        <f t="shared" si="23"/>
        <v>8.0635033979134157E-2</v>
      </c>
    </row>
    <row r="111" spans="1:15" x14ac:dyDescent="0.2">
      <c r="A111" s="129" t="s">
        <v>288</v>
      </c>
      <c r="B111" s="173"/>
      <c r="C111" s="259"/>
      <c r="D111" s="259"/>
      <c r="E111" s="259"/>
      <c r="F111" s="173"/>
      <c r="G111" s="173"/>
      <c r="H111" s="173"/>
      <c r="I111" s="259">
        <v>685441.2</v>
      </c>
      <c r="J111" s="173"/>
      <c r="K111" s="173"/>
      <c r="L111" s="173"/>
      <c r="M111" s="173"/>
      <c r="N111" s="168">
        <f t="shared" si="24"/>
        <v>685441.2</v>
      </c>
      <c r="O111" s="241">
        <f t="shared" si="23"/>
        <v>0</v>
      </c>
    </row>
    <row r="112" spans="1:15" x14ac:dyDescent="0.2"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</row>
    <row r="113" spans="1:15" x14ac:dyDescent="0.2">
      <c r="A113" s="117" t="s">
        <v>0</v>
      </c>
      <c r="B113" s="258">
        <f t="shared" ref="B113:N113" si="25">SUM(B114:B133)</f>
        <v>0</v>
      </c>
      <c r="C113" s="258">
        <f t="shared" si="25"/>
        <v>0</v>
      </c>
      <c r="D113" s="258">
        <f t="shared" si="25"/>
        <v>0</v>
      </c>
      <c r="E113" s="258">
        <f t="shared" si="25"/>
        <v>0</v>
      </c>
      <c r="F113" s="258">
        <f t="shared" si="25"/>
        <v>0</v>
      </c>
      <c r="G113" s="258">
        <f t="shared" si="25"/>
        <v>0</v>
      </c>
      <c r="H113" s="258">
        <f t="shared" si="25"/>
        <v>0</v>
      </c>
      <c r="I113" s="258">
        <f t="shared" si="25"/>
        <v>46939162.390000001</v>
      </c>
      <c r="J113" s="258">
        <f t="shared" si="25"/>
        <v>0</v>
      </c>
      <c r="K113" s="258">
        <f t="shared" si="25"/>
        <v>0</v>
      </c>
      <c r="L113" s="258">
        <f t="shared" si="25"/>
        <v>0</v>
      </c>
      <c r="M113" s="258">
        <f t="shared" si="25"/>
        <v>0</v>
      </c>
      <c r="N113" s="258">
        <f t="shared" si="25"/>
        <v>-69652330.25</v>
      </c>
    </row>
    <row r="114" spans="1:15" ht="15" x14ac:dyDescent="0.25">
      <c r="A114" s="124" t="s">
        <v>170</v>
      </c>
      <c r="B114" s="173"/>
      <c r="C114" s="173"/>
      <c r="D114" s="173"/>
      <c r="E114" s="173"/>
      <c r="F114" s="173"/>
      <c r="G114" s="173"/>
      <c r="H114" s="173"/>
      <c r="I114" s="36">
        <v>19447630.859999999</v>
      </c>
      <c r="J114" s="173"/>
      <c r="K114" s="173"/>
      <c r="L114" s="173"/>
      <c r="M114" s="173"/>
      <c r="N114" s="173">
        <f>N61-N13</f>
        <v>8659063.8000000007</v>
      </c>
      <c r="O114" s="177">
        <f>N114/N13</f>
        <v>0.5255362407962002</v>
      </c>
    </row>
    <row r="115" spans="1:15" x14ac:dyDescent="0.2">
      <c r="A115" s="124" t="s">
        <v>256</v>
      </c>
      <c r="B115" s="173"/>
      <c r="C115" s="173"/>
      <c r="D115" s="173"/>
      <c r="E115" s="173"/>
      <c r="F115" s="173"/>
      <c r="G115" s="173"/>
      <c r="H115" s="173"/>
      <c r="I115" s="259">
        <v>1519175.45</v>
      </c>
      <c r="J115" s="173"/>
      <c r="K115" s="173"/>
      <c r="L115" s="173"/>
      <c r="M115" s="173"/>
      <c r="N115" s="173">
        <f>N62-N14</f>
        <v>0</v>
      </c>
      <c r="O115" s="177"/>
    </row>
    <row r="116" spans="1:15" x14ac:dyDescent="0.2">
      <c r="A116" s="124" t="s">
        <v>173</v>
      </c>
      <c r="B116" s="173"/>
      <c r="C116" s="173"/>
      <c r="D116" s="173"/>
      <c r="E116" s="173"/>
      <c r="F116" s="173"/>
      <c r="G116" s="173"/>
      <c r="H116" s="173"/>
      <c r="I116" s="259">
        <v>10528.82</v>
      </c>
      <c r="J116" s="173"/>
      <c r="K116" s="173"/>
      <c r="L116" s="173"/>
      <c r="M116" s="173"/>
      <c r="N116" s="173">
        <f>N63-N17</f>
        <v>7558.3899999999994</v>
      </c>
      <c r="O116" s="177"/>
    </row>
    <row r="117" spans="1:15" x14ac:dyDescent="0.2">
      <c r="A117" s="124" t="s">
        <v>171</v>
      </c>
      <c r="B117" s="173"/>
      <c r="C117" s="173"/>
      <c r="D117" s="173"/>
      <c r="E117" s="173"/>
      <c r="F117" s="173"/>
      <c r="G117" s="173"/>
      <c r="H117" s="173"/>
      <c r="I117" s="259">
        <v>6244655.6900000004</v>
      </c>
      <c r="J117" s="173"/>
      <c r="K117" s="173"/>
      <c r="L117" s="173"/>
      <c r="M117" s="173"/>
      <c r="N117" s="173">
        <f>N64-N15</f>
        <v>1942275.9800000014</v>
      </c>
      <c r="O117" s="177"/>
    </row>
    <row r="118" spans="1:15" x14ac:dyDescent="0.2">
      <c r="A118" s="124" t="s">
        <v>172</v>
      </c>
      <c r="B118" s="173"/>
      <c r="C118" s="173"/>
      <c r="D118" s="173"/>
      <c r="E118" s="173"/>
      <c r="F118" s="173"/>
      <c r="G118" s="173"/>
      <c r="H118" s="173"/>
      <c r="I118" s="259">
        <v>401455.58</v>
      </c>
      <c r="J118" s="173"/>
      <c r="K118" s="173"/>
      <c r="L118" s="173"/>
      <c r="M118" s="173"/>
      <c r="N118" s="173">
        <f>N65-N16</f>
        <v>195339.07000000007</v>
      </c>
      <c r="O118" s="177"/>
    </row>
    <row r="119" spans="1:15" x14ac:dyDescent="0.2">
      <c r="A119" s="124" t="s">
        <v>189</v>
      </c>
      <c r="B119" s="173"/>
      <c r="C119" s="173"/>
      <c r="D119" s="173"/>
      <c r="E119" s="173"/>
      <c r="F119" s="173"/>
      <c r="G119" s="173"/>
      <c r="H119" s="173"/>
      <c r="I119" s="259">
        <v>23072.880000000001</v>
      </c>
      <c r="J119" s="173"/>
      <c r="K119" s="173"/>
      <c r="L119" s="173"/>
      <c r="M119" s="173"/>
      <c r="N119" s="173"/>
      <c r="O119" s="177"/>
    </row>
    <row r="120" spans="1:15" x14ac:dyDescent="0.2">
      <c r="A120" s="124" t="s">
        <v>188</v>
      </c>
      <c r="B120" s="173"/>
      <c r="C120" s="173"/>
      <c r="D120" s="173"/>
      <c r="E120" s="173"/>
      <c r="F120" s="173"/>
      <c r="G120" s="173"/>
      <c r="H120" s="173"/>
      <c r="I120" s="259">
        <v>33603.75</v>
      </c>
      <c r="J120" s="173"/>
      <c r="K120" s="173"/>
      <c r="L120" s="173"/>
      <c r="M120" s="173"/>
      <c r="N120" s="173">
        <f t="shared" ref="N120:N133" si="26">N67-N19</f>
        <v>92.239999999997963</v>
      </c>
      <c r="O120" s="177"/>
    </row>
    <row r="121" spans="1:15" x14ac:dyDescent="0.2">
      <c r="A121" s="124" t="s">
        <v>282</v>
      </c>
      <c r="B121" s="173"/>
      <c r="C121" s="173"/>
      <c r="D121" s="173"/>
      <c r="E121" s="173"/>
      <c r="F121" s="173"/>
      <c r="G121" s="173"/>
      <c r="H121" s="173"/>
      <c r="I121" s="259">
        <v>16992.16</v>
      </c>
      <c r="J121" s="173"/>
      <c r="K121" s="173"/>
      <c r="L121" s="173"/>
      <c r="M121" s="173"/>
      <c r="N121" s="173">
        <f t="shared" si="26"/>
        <v>-9673392.2300000023</v>
      </c>
      <c r="O121" s="177"/>
    </row>
    <row r="122" spans="1:15" x14ac:dyDescent="0.2">
      <c r="A122" s="124" t="s">
        <v>283</v>
      </c>
      <c r="B122" s="173"/>
      <c r="C122" s="173"/>
      <c r="D122" s="173"/>
      <c r="E122" s="173"/>
      <c r="F122" s="173"/>
      <c r="G122" s="173"/>
      <c r="H122" s="173"/>
      <c r="I122" s="259">
        <v>136002</v>
      </c>
      <c r="J122" s="173"/>
      <c r="K122" s="173"/>
      <c r="L122" s="173"/>
      <c r="M122" s="173"/>
      <c r="N122" s="173">
        <f t="shared" si="26"/>
        <v>-4827158.63</v>
      </c>
      <c r="O122" s="177"/>
    </row>
    <row r="123" spans="1:15" x14ac:dyDescent="0.2">
      <c r="A123" s="124" t="s">
        <v>5</v>
      </c>
      <c r="B123" s="173"/>
      <c r="C123" s="173"/>
      <c r="D123" s="173"/>
      <c r="E123" s="173"/>
      <c r="F123" s="173"/>
      <c r="G123" s="173"/>
      <c r="H123" s="173"/>
      <c r="I123" s="259"/>
      <c r="J123" s="173"/>
      <c r="K123" s="173"/>
      <c r="L123" s="173"/>
      <c r="M123" s="173"/>
      <c r="N123" s="173">
        <f t="shared" si="26"/>
        <v>-12979.06</v>
      </c>
      <c r="O123" s="177"/>
    </row>
    <row r="124" spans="1:15" x14ac:dyDescent="0.2">
      <c r="A124" s="124" t="s">
        <v>284</v>
      </c>
      <c r="B124" s="173"/>
      <c r="C124" s="173"/>
      <c r="D124" s="173"/>
      <c r="E124" s="173"/>
      <c r="F124" s="173"/>
      <c r="G124" s="173"/>
      <c r="H124" s="173"/>
      <c r="I124" s="259">
        <v>8272759.1900000004</v>
      </c>
      <c r="J124" s="173"/>
      <c r="K124" s="173"/>
      <c r="L124" s="173"/>
      <c r="M124" s="173"/>
      <c r="N124" s="173">
        <f t="shared" si="26"/>
        <v>-4280633.1399999997</v>
      </c>
      <c r="O124" s="177"/>
    </row>
    <row r="125" spans="1:15" x14ac:dyDescent="0.2">
      <c r="A125" s="124" t="s">
        <v>285</v>
      </c>
      <c r="B125" s="173"/>
      <c r="C125" s="173"/>
      <c r="D125" s="173"/>
      <c r="E125" s="173"/>
      <c r="F125" s="173"/>
      <c r="G125" s="173"/>
      <c r="H125" s="173"/>
      <c r="I125" s="259">
        <v>1321650.7</v>
      </c>
      <c r="J125" s="173"/>
      <c r="K125" s="173"/>
      <c r="L125" s="173"/>
      <c r="M125" s="173"/>
      <c r="N125" s="173">
        <f t="shared" si="26"/>
        <v>0</v>
      </c>
      <c r="O125" s="177"/>
    </row>
    <row r="126" spans="1:15" x14ac:dyDescent="0.2">
      <c r="A126" s="124" t="s">
        <v>286</v>
      </c>
      <c r="B126" s="173"/>
      <c r="C126" s="173"/>
      <c r="D126" s="173"/>
      <c r="E126" s="173"/>
      <c r="F126" s="173"/>
      <c r="G126" s="173"/>
      <c r="H126" s="173"/>
      <c r="I126" s="259">
        <v>3101905.25</v>
      </c>
      <c r="J126" s="173"/>
      <c r="K126" s="173"/>
      <c r="L126" s="173"/>
      <c r="M126" s="173"/>
      <c r="N126" s="173">
        <f t="shared" si="26"/>
        <v>-34082363.370000005</v>
      </c>
      <c r="O126" s="177"/>
    </row>
    <row r="127" spans="1:15" x14ac:dyDescent="0.2">
      <c r="A127" s="124" t="s">
        <v>174</v>
      </c>
      <c r="B127" s="173"/>
      <c r="C127" s="173"/>
      <c r="D127" s="173"/>
      <c r="E127" s="173"/>
      <c r="F127" s="173"/>
      <c r="G127" s="173"/>
      <c r="H127" s="173"/>
      <c r="I127" s="259">
        <f>6850.78+7690.96</f>
        <v>14541.74</v>
      </c>
      <c r="J127" s="173"/>
      <c r="K127" s="173"/>
      <c r="L127" s="173"/>
      <c r="M127" s="173"/>
      <c r="N127" s="173">
        <f t="shared" si="26"/>
        <v>14541.74</v>
      </c>
      <c r="O127" s="177"/>
    </row>
    <row r="128" spans="1:15" x14ac:dyDescent="0.2">
      <c r="A128" s="124" t="s">
        <v>277</v>
      </c>
      <c r="B128" s="173"/>
      <c r="C128" s="173"/>
      <c r="D128" s="173"/>
      <c r="E128" s="173"/>
      <c r="F128" s="173"/>
      <c r="G128" s="173"/>
      <c r="H128" s="173"/>
      <c r="I128" s="259">
        <v>1173679.99</v>
      </c>
      <c r="J128" s="173"/>
      <c r="K128" s="173"/>
      <c r="L128" s="173"/>
      <c r="M128" s="173"/>
      <c r="N128" s="173">
        <f t="shared" si="26"/>
        <v>0</v>
      </c>
      <c r="O128" s="177"/>
    </row>
    <row r="129" spans="1:15" x14ac:dyDescent="0.2">
      <c r="A129" s="124" t="s">
        <v>278</v>
      </c>
      <c r="B129" s="173"/>
      <c r="C129" s="173"/>
      <c r="D129" s="173"/>
      <c r="E129" s="173"/>
      <c r="F129" s="173"/>
      <c r="G129" s="173"/>
      <c r="H129" s="173"/>
      <c r="I129" s="259">
        <v>4562002.99</v>
      </c>
      <c r="J129" s="173"/>
      <c r="K129" s="173"/>
      <c r="L129" s="173"/>
      <c r="M129" s="173"/>
      <c r="N129" s="173">
        <f t="shared" si="26"/>
        <v>0</v>
      </c>
      <c r="O129" s="177"/>
    </row>
    <row r="130" spans="1:15" x14ac:dyDescent="0.2">
      <c r="A130" s="124" t="s">
        <v>279</v>
      </c>
      <c r="B130" s="173"/>
      <c r="C130" s="173"/>
      <c r="D130" s="173"/>
      <c r="E130" s="173"/>
      <c r="F130" s="173"/>
      <c r="G130" s="173"/>
      <c r="H130" s="173"/>
      <c r="I130" s="259">
        <v>478269.31</v>
      </c>
      <c r="J130" s="173"/>
      <c r="K130" s="173"/>
      <c r="L130" s="173"/>
      <c r="M130" s="173"/>
      <c r="N130" s="173">
        <f t="shared" si="26"/>
        <v>-11116878.180000002</v>
      </c>
      <c r="O130" s="177"/>
    </row>
    <row r="131" spans="1:15" x14ac:dyDescent="0.2">
      <c r="A131" s="124" t="s">
        <v>280</v>
      </c>
      <c r="B131" s="173"/>
      <c r="C131" s="173"/>
      <c r="D131" s="173"/>
      <c r="E131" s="173"/>
      <c r="F131" s="173"/>
      <c r="G131" s="173"/>
      <c r="H131" s="173"/>
      <c r="I131" s="259">
        <v>144963.23000000001</v>
      </c>
      <c r="J131" s="173"/>
      <c r="K131" s="173"/>
      <c r="L131" s="173"/>
      <c r="M131" s="173"/>
      <c r="N131" s="173">
        <f t="shared" si="26"/>
        <v>-8258211.2599999998</v>
      </c>
      <c r="O131" s="177"/>
    </row>
    <row r="132" spans="1:15" x14ac:dyDescent="0.2">
      <c r="A132" s="124" t="s">
        <v>281</v>
      </c>
      <c r="B132" s="173"/>
      <c r="C132" s="173"/>
      <c r="D132" s="173"/>
      <c r="E132" s="173"/>
      <c r="F132" s="173"/>
      <c r="G132" s="173"/>
      <c r="H132" s="173"/>
      <c r="I132" s="259">
        <v>0</v>
      </c>
      <c r="J132" s="173"/>
      <c r="K132" s="173"/>
      <c r="L132" s="173"/>
      <c r="M132" s="173"/>
      <c r="N132" s="173">
        <f t="shared" si="26"/>
        <v>-8251124.8100000005</v>
      </c>
      <c r="O132" s="177"/>
    </row>
    <row r="133" spans="1:15" x14ac:dyDescent="0.2">
      <c r="A133" s="124" t="s">
        <v>64</v>
      </c>
      <c r="B133" s="173"/>
      <c r="C133" s="173"/>
      <c r="D133" s="173"/>
      <c r="E133" s="173"/>
      <c r="F133" s="173"/>
      <c r="G133" s="173"/>
      <c r="H133" s="173"/>
      <c r="I133" s="259">
        <v>36272.800000000003</v>
      </c>
      <c r="J133" s="173"/>
      <c r="K133" s="173"/>
      <c r="L133" s="173"/>
      <c r="M133" s="173"/>
      <c r="N133" s="173">
        <f t="shared" si="26"/>
        <v>31539.210000000003</v>
      </c>
      <c r="O133" s="177"/>
    </row>
    <row r="134" spans="1:15" x14ac:dyDescent="0.2">
      <c r="A134" s="125" t="s">
        <v>175</v>
      </c>
      <c r="B134" s="260"/>
      <c r="C134" s="260"/>
      <c r="D134" s="260"/>
      <c r="E134" s="260"/>
      <c r="F134" s="260"/>
      <c r="G134" s="260"/>
      <c r="H134" s="260"/>
      <c r="I134" s="260">
        <v>5282606.2300000004</v>
      </c>
      <c r="J134" s="260"/>
      <c r="K134" s="260"/>
      <c r="L134" s="260"/>
      <c r="M134" s="260"/>
      <c r="N134" s="260">
        <f>SUM(B134:M134)</f>
        <v>5282606.2300000004</v>
      </c>
    </row>
    <row r="136" spans="1:15" ht="15" x14ac:dyDescent="0.25">
      <c r="A136" s="261" t="s">
        <v>176</v>
      </c>
      <c r="B136" s="261">
        <f t="shared" ref="B136:H136" si="27">B103+B110+B113-B134</f>
        <v>0</v>
      </c>
      <c r="C136" s="261">
        <f t="shared" si="27"/>
        <v>0</v>
      </c>
      <c r="D136" s="261">
        <f t="shared" si="27"/>
        <v>0</v>
      </c>
      <c r="E136" s="261">
        <f t="shared" si="27"/>
        <v>0</v>
      </c>
      <c r="F136" s="261">
        <f t="shared" si="27"/>
        <v>0</v>
      </c>
      <c r="G136" s="261">
        <f t="shared" si="27"/>
        <v>0</v>
      </c>
      <c r="H136" s="261">
        <f t="shared" si="27"/>
        <v>0</v>
      </c>
      <c r="I136" s="261">
        <f>I103+I113-I134</f>
        <v>44402844.299999997</v>
      </c>
      <c r="J136" s="261">
        <f>J103+J110+J113-J134</f>
        <v>0</v>
      </c>
      <c r="K136" s="261">
        <f>K103+K110+K113-K134</f>
        <v>0</v>
      </c>
      <c r="L136" s="261">
        <f>L103+L110+L113-L134</f>
        <v>0</v>
      </c>
      <c r="M136" s="261">
        <f>M103+M110+M113-M134</f>
        <v>0</v>
      </c>
      <c r="N136" s="261">
        <f>N103+O110+N113-N134</f>
        <v>-74934930.95955801</v>
      </c>
    </row>
    <row r="137" spans="1:15" ht="14.25" x14ac:dyDescent="0.2">
      <c r="A137" s="389" t="s">
        <v>315</v>
      </c>
      <c r="B137" s="389"/>
      <c r="C137" s="389"/>
      <c r="D137" s="389"/>
      <c r="E137" s="389"/>
      <c r="F137" s="389"/>
      <c r="G137" s="389"/>
      <c r="H137" s="389"/>
      <c r="I137" s="389">
        <v>2200000</v>
      </c>
      <c r="J137" s="389"/>
      <c r="K137" s="389"/>
      <c r="L137" s="389"/>
      <c r="M137" s="389"/>
      <c r="N137" s="389"/>
    </row>
    <row r="138" spans="1:15" ht="15" x14ac:dyDescent="0.25">
      <c r="A138" s="261" t="s">
        <v>316</v>
      </c>
      <c r="B138" s="261"/>
      <c r="C138" s="261"/>
      <c r="D138" s="261"/>
      <c r="E138" s="261"/>
      <c r="F138" s="261"/>
      <c r="G138" s="261"/>
      <c r="H138" s="261"/>
      <c r="I138" s="261">
        <f>I136-I137</f>
        <v>42202844.299999997</v>
      </c>
      <c r="J138" s="261"/>
      <c r="K138" s="261"/>
      <c r="L138" s="261"/>
      <c r="M138" s="261"/>
      <c r="N138" s="261"/>
    </row>
    <row r="140" spans="1:15" ht="15.75" x14ac:dyDescent="0.25">
      <c r="A140" s="127" t="s">
        <v>177</v>
      </c>
      <c r="B140" s="127"/>
      <c r="C140" s="128"/>
      <c r="D140" s="127"/>
      <c r="E140" s="127"/>
      <c r="F140" s="127"/>
      <c r="G140" s="127"/>
      <c r="H140" s="127"/>
      <c r="I140" s="353">
        <v>1330905.23</v>
      </c>
      <c r="J140" s="127"/>
      <c r="K140" s="127"/>
      <c r="L140" s="127"/>
      <c r="M140" s="127"/>
      <c r="N140" s="127"/>
    </row>
    <row r="141" spans="1:15" ht="15.75" x14ac:dyDescent="0.25">
      <c r="A141" s="354" t="s">
        <v>289</v>
      </c>
      <c r="B141" s="354"/>
      <c r="C141" s="355"/>
      <c r="D141" s="354"/>
      <c r="E141" s="354"/>
      <c r="F141" s="354"/>
      <c r="G141" s="354"/>
      <c r="H141" s="354"/>
      <c r="I141" s="356">
        <f>I136+I140</f>
        <v>45733749.529999994</v>
      </c>
      <c r="J141" s="354"/>
      <c r="K141" s="354"/>
      <c r="L141" s="354"/>
      <c r="M141" s="354"/>
      <c r="N141" s="354"/>
    </row>
    <row r="143" spans="1:15" x14ac:dyDescent="0.2">
      <c r="A143" s="170" t="s">
        <v>6</v>
      </c>
      <c r="B143" s="172">
        <f t="shared" ref="B143:I143" si="28">B144+B147+B150</f>
        <v>0</v>
      </c>
      <c r="C143" s="172">
        <f t="shared" si="28"/>
        <v>0</v>
      </c>
      <c r="D143" s="172">
        <f t="shared" si="28"/>
        <v>0</v>
      </c>
      <c r="E143" s="172">
        <f t="shared" si="28"/>
        <v>0</v>
      </c>
      <c r="F143" s="172">
        <f t="shared" si="28"/>
        <v>0</v>
      </c>
      <c r="G143" s="172">
        <f t="shared" si="28"/>
        <v>0</v>
      </c>
      <c r="H143" s="172">
        <f t="shared" si="28"/>
        <v>0</v>
      </c>
      <c r="I143" s="172">
        <f t="shared" si="28"/>
        <v>12734893.719999999</v>
      </c>
      <c r="J143" s="172">
        <f>J144+J147+J150</f>
        <v>0</v>
      </c>
      <c r="K143" s="172">
        <f>K144+K147+K150</f>
        <v>0</v>
      </c>
      <c r="L143" s="172">
        <f>L144+L147+L150</f>
        <v>0</v>
      </c>
      <c r="M143" s="172">
        <f>M144+M147+M150</f>
        <v>0</v>
      </c>
      <c r="N143" s="174">
        <f>SUM(B143:M143)</f>
        <v>12734893.719999999</v>
      </c>
    </row>
    <row r="144" spans="1:15" x14ac:dyDescent="0.2">
      <c r="A144" s="170" t="s">
        <v>194</v>
      </c>
      <c r="B144" s="172">
        <f t="shared" ref="B144:M144" si="29">B145+B146</f>
        <v>0</v>
      </c>
      <c r="C144" s="172">
        <f t="shared" si="29"/>
        <v>0</v>
      </c>
      <c r="D144" s="172">
        <f t="shared" si="29"/>
        <v>0</v>
      </c>
      <c r="E144" s="172">
        <f t="shared" si="29"/>
        <v>0</v>
      </c>
      <c r="F144" s="172">
        <f t="shared" si="29"/>
        <v>0</v>
      </c>
      <c r="G144" s="172">
        <f t="shared" si="29"/>
        <v>0</v>
      </c>
      <c r="H144" s="172">
        <f t="shared" si="29"/>
        <v>0</v>
      </c>
      <c r="I144" s="172">
        <f t="shared" si="29"/>
        <v>8311337.7700000005</v>
      </c>
      <c r="J144" s="172">
        <f t="shared" si="29"/>
        <v>0</v>
      </c>
      <c r="K144" s="172">
        <f t="shared" si="29"/>
        <v>0</v>
      </c>
      <c r="L144" s="172">
        <f t="shared" si="29"/>
        <v>0</v>
      </c>
      <c r="M144" s="172">
        <f t="shared" si="29"/>
        <v>0</v>
      </c>
      <c r="N144" s="174">
        <f t="shared" ref="N144:N148" si="30">SUM(B144:M144)</f>
        <v>8311337.7700000005</v>
      </c>
    </row>
    <row r="145" spans="1:14" x14ac:dyDescent="0.2">
      <c r="A145" s="171" t="s">
        <v>190</v>
      </c>
      <c r="B145" s="173"/>
      <c r="C145" s="173"/>
      <c r="D145" s="173"/>
      <c r="E145" s="173"/>
      <c r="F145" s="173"/>
      <c r="G145" s="173"/>
      <c r="H145" s="173"/>
      <c r="I145" s="173">
        <f>I124</f>
        <v>8272759.1900000004</v>
      </c>
      <c r="J145" s="173"/>
      <c r="K145" s="173"/>
      <c r="L145" s="173"/>
      <c r="M145" s="259"/>
      <c r="N145" s="173">
        <f t="shared" si="30"/>
        <v>8272759.1900000004</v>
      </c>
    </row>
    <row r="146" spans="1:14" x14ac:dyDescent="0.2">
      <c r="A146" s="171" t="s">
        <v>191</v>
      </c>
      <c r="B146" s="173"/>
      <c r="C146" s="173"/>
      <c r="D146" s="173"/>
      <c r="E146" s="173"/>
      <c r="F146" s="173"/>
      <c r="G146" s="173"/>
      <c r="H146" s="173"/>
      <c r="I146" s="173">
        <f>38554.74+23.84</f>
        <v>38578.579999999994</v>
      </c>
      <c r="J146" s="173"/>
      <c r="K146" s="173"/>
      <c r="L146" s="173"/>
      <c r="M146" s="259"/>
      <c r="N146" s="173">
        <f t="shared" si="30"/>
        <v>38578.579999999994</v>
      </c>
    </row>
    <row r="147" spans="1:14" x14ac:dyDescent="0.2">
      <c r="A147" s="170" t="s">
        <v>192</v>
      </c>
      <c r="B147" s="172">
        <f>B148+B149</f>
        <v>0</v>
      </c>
      <c r="C147" s="172">
        <f t="shared" ref="C147:M147" si="31">C148+C149</f>
        <v>0</v>
      </c>
      <c r="D147" s="172">
        <f t="shared" si="31"/>
        <v>0</v>
      </c>
      <c r="E147" s="172">
        <f t="shared" si="31"/>
        <v>0</v>
      </c>
      <c r="F147" s="172">
        <f t="shared" si="31"/>
        <v>0</v>
      </c>
      <c r="G147" s="172">
        <f t="shared" si="31"/>
        <v>0</v>
      </c>
      <c r="H147" s="172">
        <f t="shared" si="31"/>
        <v>0</v>
      </c>
      <c r="I147" s="172">
        <f t="shared" si="31"/>
        <v>3101905.25</v>
      </c>
      <c r="J147" s="172">
        <f t="shared" si="31"/>
        <v>0</v>
      </c>
      <c r="K147" s="172">
        <f t="shared" si="31"/>
        <v>0</v>
      </c>
      <c r="L147" s="172">
        <f t="shared" si="31"/>
        <v>0</v>
      </c>
      <c r="M147" s="172">
        <f t="shared" si="31"/>
        <v>0</v>
      </c>
      <c r="N147" s="174">
        <f t="shared" si="30"/>
        <v>3101905.25</v>
      </c>
    </row>
    <row r="148" spans="1:14" x14ac:dyDescent="0.2">
      <c r="A148" s="171" t="s">
        <v>190</v>
      </c>
      <c r="B148" s="173"/>
      <c r="C148" s="173"/>
      <c r="D148" s="173"/>
      <c r="E148" s="173"/>
      <c r="F148" s="173"/>
      <c r="G148" s="173"/>
      <c r="H148" s="173"/>
      <c r="I148" s="173">
        <f>I126</f>
        <v>3101905.25</v>
      </c>
      <c r="J148" s="173"/>
      <c r="K148" s="173"/>
      <c r="L148" s="173"/>
      <c r="M148" s="259"/>
      <c r="N148" s="173">
        <f t="shared" si="30"/>
        <v>3101905.25</v>
      </c>
    </row>
    <row r="149" spans="1:14" x14ac:dyDescent="0.2">
      <c r="A149" s="171" t="s">
        <v>191</v>
      </c>
      <c r="B149" s="173">
        <v>0</v>
      </c>
      <c r="C149" s="173">
        <v>0</v>
      </c>
      <c r="D149" s="173">
        <v>0</v>
      </c>
      <c r="E149" s="173">
        <v>0</v>
      </c>
      <c r="F149" s="173"/>
      <c r="G149" s="173"/>
      <c r="H149" s="173"/>
      <c r="I149" s="173"/>
      <c r="J149" s="173"/>
      <c r="K149" s="173"/>
      <c r="L149" s="173"/>
      <c r="M149" s="173"/>
      <c r="N149" s="173">
        <f t="shared" ref="N149" si="32">SUM(B149:M149)</f>
        <v>0</v>
      </c>
    </row>
    <row r="150" spans="1:14" x14ac:dyDescent="0.2">
      <c r="A150" s="170" t="s">
        <v>193</v>
      </c>
      <c r="B150" s="172">
        <f>B151+B152</f>
        <v>0</v>
      </c>
      <c r="C150" s="172">
        <f t="shared" ref="C150:M150" si="33">C151+C152</f>
        <v>0</v>
      </c>
      <c r="D150" s="172">
        <f t="shared" si="33"/>
        <v>0</v>
      </c>
      <c r="E150" s="172">
        <f t="shared" si="33"/>
        <v>0</v>
      </c>
      <c r="F150" s="172">
        <f t="shared" si="33"/>
        <v>0</v>
      </c>
      <c r="G150" s="172">
        <f t="shared" si="33"/>
        <v>0</v>
      </c>
      <c r="H150" s="172">
        <f t="shared" si="33"/>
        <v>0</v>
      </c>
      <c r="I150" s="172">
        <f t="shared" si="33"/>
        <v>1321650.7</v>
      </c>
      <c r="J150" s="172">
        <f t="shared" si="33"/>
        <v>0</v>
      </c>
      <c r="K150" s="172">
        <f t="shared" si="33"/>
        <v>0</v>
      </c>
      <c r="L150" s="172">
        <f t="shared" si="33"/>
        <v>0</v>
      </c>
      <c r="M150" s="172">
        <f t="shared" si="33"/>
        <v>0</v>
      </c>
      <c r="N150" s="174">
        <f>SUM(B150:M150)</f>
        <v>1321650.7</v>
      </c>
    </row>
    <row r="151" spans="1:14" x14ac:dyDescent="0.2">
      <c r="A151" s="171" t="s">
        <v>190</v>
      </c>
      <c r="B151" s="173">
        <v>0</v>
      </c>
      <c r="C151" s="173">
        <v>0</v>
      </c>
      <c r="D151" s="173">
        <v>0</v>
      </c>
      <c r="E151" s="173">
        <v>0</v>
      </c>
      <c r="F151" s="173">
        <v>0</v>
      </c>
      <c r="G151" s="173">
        <v>0</v>
      </c>
      <c r="H151" s="173">
        <v>0</v>
      </c>
      <c r="I151" s="173">
        <f>I125</f>
        <v>1321650.7</v>
      </c>
      <c r="J151" s="173"/>
      <c r="K151" s="173"/>
      <c r="L151" s="173"/>
      <c r="M151" s="259"/>
      <c r="N151" s="173">
        <f>SUM(B151:M151)</f>
        <v>1321650.7</v>
      </c>
    </row>
    <row r="152" spans="1:14" x14ac:dyDescent="0.2">
      <c r="A152" s="171" t="s">
        <v>191</v>
      </c>
      <c r="B152" s="173">
        <v>0</v>
      </c>
      <c r="C152" s="173">
        <v>0</v>
      </c>
      <c r="D152" s="173">
        <v>0</v>
      </c>
      <c r="E152" s="173">
        <v>0</v>
      </c>
      <c r="F152" s="173"/>
      <c r="G152" s="173"/>
      <c r="H152" s="173"/>
      <c r="I152" s="173"/>
      <c r="J152" s="173"/>
      <c r="K152" s="173"/>
      <c r="L152" s="173"/>
      <c r="M152" s="173"/>
      <c r="N152" s="173">
        <f t="shared" ref="N152" si="34">SUM(B152:M152)</f>
        <v>0</v>
      </c>
    </row>
  </sheetData>
  <mergeCells count="3">
    <mergeCell ref="A1:N1"/>
    <mergeCell ref="A48:N48"/>
    <mergeCell ref="A101:N10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BEA7-8BE6-4498-97B7-4BB84AF4239A}">
  <sheetPr>
    <pageSetUpPr fitToPage="1"/>
  </sheetPr>
  <dimension ref="A1:L44"/>
  <sheetViews>
    <sheetView zoomScaleNormal="100" workbookViewId="0">
      <selection activeCell="B6" sqref="B6:C9"/>
    </sheetView>
  </sheetViews>
  <sheetFormatPr defaultRowHeight="12.75" x14ac:dyDescent="0.2"/>
  <cols>
    <col min="1" max="1" width="49.5703125" style="119" bestFit="1" customWidth="1"/>
    <col min="2" max="4" width="16.85546875" style="119" bestFit="1" customWidth="1"/>
    <col min="5" max="6" width="13.7109375" style="119" bestFit="1" customWidth="1"/>
    <col min="7" max="11" width="12.85546875" style="119" bestFit="1" customWidth="1"/>
    <col min="12" max="12" width="14" style="119" bestFit="1" customWidth="1"/>
    <col min="13" max="16384" width="9.140625" style="119"/>
  </cols>
  <sheetData>
    <row r="1" spans="1:12" x14ac:dyDescent="0.2">
      <c r="A1" s="502" t="s">
        <v>241</v>
      </c>
      <c r="B1" s="503"/>
      <c r="C1" s="503"/>
      <c r="D1" s="175"/>
      <c r="E1" s="175"/>
      <c r="F1" s="175"/>
      <c r="G1" s="175"/>
      <c r="H1" s="175"/>
      <c r="I1" s="175"/>
      <c r="J1" s="175"/>
      <c r="K1" s="175"/>
      <c r="L1" s="175"/>
    </row>
    <row r="2" spans="1:12" x14ac:dyDescent="0.2">
      <c r="A2" s="301"/>
      <c r="B2" s="301"/>
      <c r="C2" s="301"/>
      <c r="D2" s="175"/>
      <c r="E2" s="175"/>
      <c r="F2" s="175"/>
      <c r="G2" s="175"/>
      <c r="H2" s="175"/>
      <c r="I2" s="175"/>
      <c r="J2" s="175"/>
      <c r="K2" s="175"/>
      <c r="L2" s="175"/>
    </row>
    <row r="4" spans="1:12" x14ac:dyDescent="0.2">
      <c r="A4" s="504" t="s">
        <v>248</v>
      </c>
      <c r="B4" s="505"/>
      <c r="C4" s="506"/>
      <c r="D4" s="290"/>
      <c r="E4" s="290"/>
      <c r="F4" s="290"/>
      <c r="G4" s="290"/>
      <c r="H4" s="290"/>
      <c r="I4" s="290"/>
      <c r="J4" s="290"/>
      <c r="K4" s="292"/>
    </row>
    <row r="5" spans="1:12" x14ac:dyDescent="0.2">
      <c r="A5" s="319" t="s">
        <v>251</v>
      </c>
      <c r="B5" s="507">
        <v>21405.74</v>
      </c>
      <c r="C5" s="507"/>
      <c r="D5" s="290"/>
      <c r="E5" s="290"/>
      <c r="F5" s="290"/>
      <c r="G5" s="290"/>
      <c r="H5" s="290"/>
      <c r="I5" s="290"/>
      <c r="J5" s="290"/>
      <c r="K5" s="292"/>
    </row>
    <row r="6" spans="1:12" x14ac:dyDescent="0.2">
      <c r="A6" s="293" t="s">
        <v>255</v>
      </c>
      <c r="B6" s="508">
        <f>Receitas!N46</f>
        <v>12387991.1</v>
      </c>
      <c r="C6" s="508"/>
      <c r="D6" s="290"/>
      <c r="E6" s="290"/>
      <c r="F6" s="290"/>
      <c r="G6" s="290"/>
      <c r="H6" s="290"/>
      <c r="I6" s="290"/>
      <c r="J6" s="290"/>
      <c r="K6" s="292"/>
    </row>
    <row r="7" spans="1:12" x14ac:dyDescent="0.2">
      <c r="A7" s="293" t="s">
        <v>252</v>
      </c>
      <c r="B7" s="508">
        <f>Receitas!N47</f>
        <v>50287.64</v>
      </c>
      <c r="C7" s="508"/>
      <c r="D7" s="290"/>
      <c r="E7" s="290"/>
      <c r="F7" s="290"/>
      <c r="G7" s="290"/>
      <c r="H7" s="290"/>
      <c r="I7" s="290"/>
      <c r="J7" s="290"/>
      <c r="K7" s="292"/>
    </row>
    <row r="8" spans="1:12" x14ac:dyDescent="0.2">
      <c r="A8" s="293" t="s">
        <v>253</v>
      </c>
      <c r="B8" s="508">
        <f>Receitas!N48</f>
        <v>4632130.83</v>
      </c>
      <c r="C8" s="508"/>
      <c r="D8" s="291"/>
      <c r="E8" s="291"/>
      <c r="F8" s="291"/>
      <c r="G8" s="291"/>
      <c r="H8" s="291"/>
      <c r="I8" s="291"/>
      <c r="J8" s="291"/>
      <c r="K8" s="291"/>
    </row>
    <row r="9" spans="1:12" x14ac:dyDescent="0.2">
      <c r="A9" s="293" t="s">
        <v>254</v>
      </c>
      <c r="B9" s="508">
        <f>Receitas!N51</f>
        <v>2078139.4999999998</v>
      </c>
      <c r="C9" s="508"/>
      <c r="D9" s="291"/>
      <c r="E9" s="291"/>
      <c r="F9" s="291"/>
      <c r="G9" s="291"/>
      <c r="H9" s="291"/>
      <c r="I9" s="291"/>
      <c r="J9" s="291"/>
      <c r="K9" s="291"/>
    </row>
    <row r="10" spans="1:12" x14ac:dyDescent="0.2">
      <c r="A10" s="294" t="s">
        <v>240</v>
      </c>
      <c r="B10" s="509">
        <f>SUM(B5:C9)</f>
        <v>19169954.810000002</v>
      </c>
      <c r="C10" s="509"/>
      <c r="D10" s="288"/>
      <c r="E10" s="288"/>
    </row>
    <row r="11" spans="1:12" x14ac:dyDescent="0.2">
      <c r="D11" s="121"/>
    </row>
    <row r="13" spans="1:12" ht="15" x14ac:dyDescent="0.25">
      <c r="A13" s="510" t="s">
        <v>242</v>
      </c>
      <c r="B13" s="510"/>
      <c r="C13" s="510"/>
      <c r="D13" s="175"/>
      <c r="E13" s="36"/>
      <c r="F13" s="175"/>
      <c r="G13" s="175"/>
      <c r="H13" s="175"/>
      <c r="I13" s="175"/>
      <c r="J13" s="175"/>
      <c r="K13" s="175"/>
      <c r="L13" s="175"/>
    </row>
    <row r="14" spans="1:12" ht="15" x14ac:dyDescent="0.25">
      <c r="A14" s="320"/>
      <c r="B14" s="321"/>
      <c r="C14" s="322"/>
      <c r="E14" s="36"/>
    </row>
    <row r="15" spans="1:12" x14ac:dyDescent="0.2">
      <c r="A15" s="318" t="s">
        <v>229</v>
      </c>
      <c r="B15" s="318" t="s">
        <v>231</v>
      </c>
      <c r="C15" s="318" t="s">
        <v>233</v>
      </c>
    </row>
    <row r="16" spans="1:12" x14ac:dyDescent="0.2">
      <c r="A16" s="295" t="s">
        <v>230</v>
      </c>
      <c r="B16" s="296">
        <v>0.7</v>
      </c>
      <c r="C16" s="297">
        <v>10360702.59</v>
      </c>
      <c r="D16" s="288"/>
    </row>
    <row r="17" spans="1:8" x14ac:dyDescent="0.2">
      <c r="A17" s="295" t="s">
        <v>232</v>
      </c>
      <c r="B17" s="296">
        <v>0.7</v>
      </c>
      <c r="C17" s="297">
        <v>1376926.04</v>
      </c>
      <c r="H17" s="287"/>
    </row>
    <row r="18" spans="1:8" x14ac:dyDescent="0.2">
      <c r="A18" s="500" t="s">
        <v>249</v>
      </c>
      <c r="B18" s="501"/>
      <c r="C18" s="298">
        <f>SUM(C16:C17)</f>
        <v>11737628.629999999</v>
      </c>
      <c r="D18" s="121"/>
      <c r="H18" s="287"/>
    </row>
    <row r="19" spans="1:8" x14ac:dyDescent="0.2">
      <c r="A19" s="500" t="s">
        <v>235</v>
      </c>
      <c r="B19" s="501"/>
      <c r="C19" s="299">
        <f>(C18-B5)/B10</f>
        <v>0.61117634371721286</v>
      </c>
      <c r="D19" s="289"/>
      <c r="H19" s="287"/>
    </row>
    <row r="20" spans="1:8" x14ac:dyDescent="0.2">
      <c r="A20" s="323"/>
      <c r="B20" s="301"/>
      <c r="C20" s="324"/>
      <c r="H20" s="302"/>
    </row>
    <row r="21" spans="1:8" x14ac:dyDescent="0.2">
      <c r="A21" s="318" t="s">
        <v>229</v>
      </c>
      <c r="B21" s="318" t="s">
        <v>231</v>
      </c>
      <c r="C21" s="318" t="s">
        <v>233</v>
      </c>
      <c r="D21" s="289"/>
      <c r="E21" s="288"/>
      <c r="H21" s="287"/>
    </row>
    <row r="22" spans="1:8" x14ac:dyDescent="0.2">
      <c r="A22" s="295" t="s">
        <v>230</v>
      </c>
      <c r="B22" s="296">
        <v>0.3</v>
      </c>
      <c r="C22" s="300">
        <v>3489393.67</v>
      </c>
    </row>
    <row r="23" spans="1:8" x14ac:dyDescent="0.2">
      <c r="A23" s="295" t="s">
        <v>232</v>
      </c>
      <c r="B23" s="296">
        <v>0.3</v>
      </c>
      <c r="C23" s="300">
        <v>571049.12</v>
      </c>
      <c r="H23" s="168"/>
    </row>
    <row r="24" spans="1:8" x14ac:dyDescent="0.2">
      <c r="A24" s="295" t="s">
        <v>234</v>
      </c>
      <c r="B24" s="296">
        <v>0.3</v>
      </c>
      <c r="C24" s="300">
        <v>72412.47</v>
      </c>
    </row>
    <row r="25" spans="1:8" x14ac:dyDescent="0.2">
      <c r="A25" s="500" t="s">
        <v>250</v>
      </c>
      <c r="B25" s="501"/>
      <c r="C25" s="298">
        <f>SUM(C22:C24)</f>
        <v>4132855.2600000002</v>
      </c>
      <c r="D25" s="288"/>
      <c r="E25" s="288"/>
      <c r="F25" s="288"/>
    </row>
    <row r="26" spans="1:8" x14ac:dyDescent="0.2">
      <c r="A26" s="500" t="s">
        <v>235</v>
      </c>
      <c r="B26" s="501"/>
      <c r="C26" s="299">
        <f>C25/B10</f>
        <v>0.21559024530637377</v>
      </c>
      <c r="D26" s="289"/>
    </row>
    <row r="29" spans="1:8" x14ac:dyDescent="0.2">
      <c r="A29" s="512" t="s">
        <v>243</v>
      </c>
      <c r="B29" s="512"/>
      <c r="C29" s="512"/>
    </row>
    <row r="30" spans="1:8" x14ac:dyDescent="0.2">
      <c r="A30" s="325"/>
      <c r="C30" s="326"/>
    </row>
    <row r="31" spans="1:8" x14ac:dyDescent="0.2">
      <c r="A31" s="242" t="s">
        <v>229</v>
      </c>
      <c r="B31" s="242" t="s">
        <v>231</v>
      </c>
      <c r="C31" s="242" t="s">
        <v>233</v>
      </c>
    </row>
    <row r="32" spans="1:8" x14ac:dyDescent="0.2">
      <c r="A32" s="303" t="s">
        <v>230</v>
      </c>
      <c r="B32" s="304" t="s">
        <v>236</v>
      </c>
      <c r="C32" s="305">
        <v>2328641.42</v>
      </c>
      <c r="D32" s="121"/>
    </row>
    <row r="33" spans="1:3" x14ac:dyDescent="0.2">
      <c r="A33" s="303" t="s">
        <v>232</v>
      </c>
      <c r="B33" s="304" t="s">
        <v>236</v>
      </c>
      <c r="C33" s="305">
        <v>227274.12</v>
      </c>
    </row>
    <row r="34" spans="1:3" x14ac:dyDescent="0.2">
      <c r="A34" s="303" t="s">
        <v>238</v>
      </c>
      <c r="B34" s="304" t="s">
        <v>236</v>
      </c>
      <c r="C34" s="305">
        <f>1060888.41+2227.6</f>
        <v>1063116.01</v>
      </c>
    </row>
    <row r="35" spans="1:3" x14ac:dyDescent="0.2">
      <c r="A35" s="512" t="s">
        <v>237</v>
      </c>
      <c r="B35" s="512"/>
      <c r="C35" s="306">
        <f>SUM(C32:C34)</f>
        <v>3619031.55</v>
      </c>
    </row>
    <row r="38" spans="1:3" x14ac:dyDescent="0.2">
      <c r="A38" s="513" t="s">
        <v>239</v>
      </c>
      <c r="B38" s="513"/>
      <c r="C38" s="513"/>
    </row>
    <row r="39" spans="1:3" x14ac:dyDescent="0.2">
      <c r="A39" s="325"/>
      <c r="C39" s="326"/>
    </row>
    <row r="40" spans="1:3" ht="52.5" customHeight="1" x14ac:dyDescent="0.2">
      <c r="A40" s="511" t="s">
        <v>247</v>
      </c>
      <c r="B40" s="511"/>
      <c r="C40" s="511"/>
    </row>
    <row r="41" spans="1:3" x14ac:dyDescent="0.2">
      <c r="A41" s="325"/>
      <c r="C41" s="326"/>
    </row>
    <row r="42" spans="1:3" ht="39" customHeight="1" x14ac:dyDescent="0.2">
      <c r="A42" s="511" t="s">
        <v>245</v>
      </c>
      <c r="B42" s="511"/>
      <c r="C42" s="511"/>
    </row>
    <row r="43" spans="1:3" x14ac:dyDescent="0.2">
      <c r="A43" s="325"/>
      <c r="C43" s="326"/>
    </row>
    <row r="44" spans="1:3" ht="54" customHeight="1" x14ac:dyDescent="0.2">
      <c r="A44" s="511" t="s">
        <v>246</v>
      </c>
      <c r="B44" s="511"/>
      <c r="C44" s="511"/>
    </row>
  </sheetData>
  <mergeCells count="19">
    <mergeCell ref="A44:C44"/>
    <mergeCell ref="A1:C1"/>
    <mergeCell ref="A25:B25"/>
    <mergeCell ref="A26:B26"/>
    <mergeCell ref="A18:B18"/>
    <mergeCell ref="A19:B19"/>
    <mergeCell ref="A35:B35"/>
    <mergeCell ref="A13:C13"/>
    <mergeCell ref="A29:C29"/>
    <mergeCell ref="B7:C7"/>
    <mergeCell ref="B8:C8"/>
    <mergeCell ref="B6:C6"/>
    <mergeCell ref="A4:C4"/>
    <mergeCell ref="B5:C5"/>
    <mergeCell ref="B9:C9"/>
    <mergeCell ref="B10:C10"/>
    <mergeCell ref="A40:C40"/>
    <mergeCell ref="A42:C42"/>
    <mergeCell ref="A38:C3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5906-A47A-4AD6-BDC1-6DBFC3890451}">
  <dimension ref="A1:F26"/>
  <sheetViews>
    <sheetView zoomScale="110" zoomScaleNormal="110" workbookViewId="0">
      <selection activeCell="F27" sqref="F27"/>
    </sheetView>
  </sheetViews>
  <sheetFormatPr defaultRowHeight="15" x14ac:dyDescent="0.25"/>
  <cols>
    <col min="1" max="1" width="81.42578125" style="338" bestFit="1" customWidth="1"/>
    <col min="2" max="2" width="13" style="331" customWidth="1"/>
    <col min="3" max="3" width="13.42578125" style="331" customWidth="1"/>
    <col min="4" max="4" width="13.7109375" style="331" customWidth="1"/>
    <col min="5" max="5" width="14.140625" style="331" bestFit="1" customWidth="1"/>
    <col min="6" max="6" width="17.5703125" style="331" bestFit="1" customWidth="1"/>
    <col min="7" max="16384" width="9.140625" style="331"/>
  </cols>
  <sheetData>
    <row r="1" spans="1:6" ht="16.5" customHeight="1" x14ac:dyDescent="0.25">
      <c r="A1" s="329"/>
      <c r="B1" s="330" t="s">
        <v>262</v>
      </c>
      <c r="C1" s="330" t="s">
        <v>263</v>
      </c>
      <c r="D1" s="330" t="s">
        <v>264</v>
      </c>
    </row>
    <row r="2" spans="1:6" ht="15" customHeight="1" x14ac:dyDescent="0.25">
      <c r="A2" s="332" t="s">
        <v>265</v>
      </c>
      <c r="B2" s="333">
        <v>12059512.4</v>
      </c>
      <c r="C2" s="334">
        <v>12059512.4</v>
      </c>
      <c r="D2" s="333">
        <v>11737628.630000001</v>
      </c>
      <c r="E2" s="335">
        <f>C2-D2</f>
        <v>321883.76999999955</v>
      </c>
      <c r="F2" s="335">
        <f>C2-D2+84010.89</f>
        <v>405894.65999999957</v>
      </c>
    </row>
    <row r="3" spans="1:6" ht="15" customHeight="1" x14ac:dyDescent="0.25">
      <c r="A3" s="332" t="s">
        <v>266</v>
      </c>
      <c r="B3" s="334">
        <v>12086135.82</v>
      </c>
      <c r="C3" s="334">
        <v>12086135.82</v>
      </c>
      <c r="D3" s="334">
        <v>11680241.16</v>
      </c>
      <c r="E3" s="335">
        <f t="shared" ref="E3:E6" si="0">C3-D3</f>
        <v>405894.66000000015</v>
      </c>
      <c r="F3" s="335">
        <f>C3-D3</f>
        <v>405894.66000000015</v>
      </c>
    </row>
    <row r="4" spans="1:6" ht="15" customHeight="1" x14ac:dyDescent="0.25">
      <c r="A4" s="332" t="s">
        <v>267</v>
      </c>
      <c r="B4" s="334">
        <v>4190242.73</v>
      </c>
      <c r="C4" s="334">
        <v>4190242.73</v>
      </c>
      <c r="D4" s="334">
        <v>4190242.73</v>
      </c>
      <c r="E4" s="335">
        <f t="shared" si="0"/>
        <v>0</v>
      </c>
      <c r="F4" s="335">
        <f>D3+F2</f>
        <v>12086135.82</v>
      </c>
    </row>
    <row r="5" spans="1:6" ht="15" customHeight="1" x14ac:dyDescent="0.25">
      <c r="A5" s="332" t="s">
        <v>268</v>
      </c>
      <c r="B5" s="336">
        <f>B6+B7</f>
        <v>449267.77</v>
      </c>
      <c r="C5" s="336">
        <f>C6+C7</f>
        <v>449267.77</v>
      </c>
      <c r="D5" s="336">
        <f>D6+D7</f>
        <v>354862.07999999996</v>
      </c>
      <c r="E5" s="335">
        <f t="shared" si="0"/>
        <v>94405.690000000061</v>
      </c>
    </row>
    <row r="6" spans="1:6" ht="15" customHeight="1" x14ac:dyDescent="0.25">
      <c r="A6" s="332" t="s">
        <v>269</v>
      </c>
      <c r="B6" s="336">
        <v>376855.3</v>
      </c>
      <c r="C6" s="336">
        <v>376855.3</v>
      </c>
      <c r="D6" s="336">
        <v>282449.61</v>
      </c>
      <c r="E6" s="335">
        <f t="shared" si="0"/>
        <v>94405.69</v>
      </c>
    </row>
    <row r="7" spans="1:6" ht="15" customHeight="1" x14ac:dyDescent="0.25">
      <c r="A7" s="332" t="s">
        <v>270</v>
      </c>
      <c r="B7" s="336">
        <v>72412.47</v>
      </c>
      <c r="C7" s="336">
        <v>72412.47</v>
      </c>
      <c r="D7" s="336">
        <v>72412.47</v>
      </c>
      <c r="F7" s="335">
        <f>E3-E2</f>
        <v>84010.890000000596</v>
      </c>
    </row>
    <row r="8" spans="1:6" x14ac:dyDescent="0.25">
      <c r="A8" s="329"/>
      <c r="B8" s="337"/>
      <c r="C8" s="337"/>
      <c r="D8" s="337"/>
    </row>
    <row r="10" spans="1:6" x14ac:dyDescent="0.25">
      <c r="B10" s="335">
        <f>B3+B4-B12</f>
        <v>0</v>
      </c>
      <c r="C10" s="335">
        <f t="shared" ref="C10" si="1">C3+C4-C12</f>
        <v>0</v>
      </c>
      <c r="D10" s="335">
        <f>D3+D4-D12</f>
        <v>0</v>
      </c>
    </row>
    <row r="12" spans="1:6" x14ac:dyDescent="0.25">
      <c r="B12" s="333">
        <f>SUM(B13:B14)</f>
        <v>16276378.550000001</v>
      </c>
      <c r="C12" s="333">
        <f t="shared" ref="C12:D12" si="2">SUM(C13:C14)</f>
        <v>16276378.550000001</v>
      </c>
      <c r="D12" s="333">
        <f t="shared" si="2"/>
        <v>15870483.890000001</v>
      </c>
    </row>
    <row r="13" spans="1:6" x14ac:dyDescent="0.25">
      <c r="A13" s="339">
        <v>0.7</v>
      </c>
      <c r="B13" s="333">
        <v>12059512.4</v>
      </c>
      <c r="C13" s="333">
        <v>12059512.4</v>
      </c>
      <c r="D13" s="333">
        <v>11737628.630000001</v>
      </c>
    </row>
    <row r="14" spans="1:6" x14ac:dyDescent="0.25">
      <c r="A14" s="339">
        <v>0.3</v>
      </c>
      <c r="B14" s="333">
        <v>4216866.1500000004</v>
      </c>
      <c r="C14" s="333">
        <v>4216866.1500000004</v>
      </c>
      <c r="D14" s="333">
        <v>4132855.26</v>
      </c>
    </row>
    <row r="15" spans="1:6" x14ac:dyDescent="0.25">
      <c r="B15" s="333"/>
      <c r="C15" s="333"/>
      <c r="D15" s="333"/>
      <c r="F15" s="335"/>
    </row>
    <row r="16" spans="1:6" x14ac:dyDescent="0.25">
      <c r="B16" s="340">
        <f>B17+B18</f>
        <v>15835874.200000001</v>
      </c>
      <c r="F16" s="341"/>
    </row>
    <row r="17" spans="2:6" x14ac:dyDescent="0.25">
      <c r="B17" s="333">
        <v>11645631.470000001</v>
      </c>
      <c r="C17" s="335"/>
      <c r="F17" s="341"/>
    </row>
    <row r="18" spans="2:6" x14ac:dyDescent="0.25">
      <c r="B18" s="333">
        <v>4190242.73</v>
      </c>
      <c r="F18" s="341"/>
    </row>
    <row r="19" spans="2:6" x14ac:dyDescent="0.25">
      <c r="B19" s="333">
        <v>15629.96</v>
      </c>
      <c r="F19" s="342">
        <v>5614970</v>
      </c>
    </row>
    <row r="20" spans="2:6" x14ac:dyDescent="0.25">
      <c r="B20" s="343">
        <f>SUM(B17:B19)</f>
        <v>15851504.160000002</v>
      </c>
      <c r="F20" s="342">
        <v>12258630</v>
      </c>
    </row>
    <row r="21" spans="2:6" x14ac:dyDescent="0.25">
      <c r="B21" s="344">
        <v>0.7</v>
      </c>
      <c r="C21" s="345">
        <f>B20*B21</f>
        <v>11096052.912</v>
      </c>
      <c r="F21" s="342">
        <v>3951406</v>
      </c>
    </row>
    <row r="22" spans="2:6" x14ac:dyDescent="0.25">
      <c r="B22" s="346"/>
      <c r="C22" s="331">
        <v>11096052.91</v>
      </c>
      <c r="F22" s="342">
        <f>SUM(F19:F21)</f>
        <v>21825006</v>
      </c>
    </row>
    <row r="24" spans="2:6" x14ac:dyDescent="0.25">
      <c r="F24" s="342">
        <v>25248056</v>
      </c>
    </row>
    <row r="26" spans="2:6" x14ac:dyDescent="0.25">
      <c r="F26" s="342">
        <f>F24-F22</f>
        <v>3423050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8"/>
  <sheetViews>
    <sheetView workbookViewId="0">
      <selection activeCell="A3" sqref="A3"/>
    </sheetView>
  </sheetViews>
  <sheetFormatPr defaultRowHeight="15" x14ac:dyDescent="0.25"/>
  <cols>
    <col min="1" max="1" width="20.7109375" customWidth="1"/>
    <col min="2" max="2" width="30.42578125" customWidth="1"/>
    <col min="3" max="3" width="15.42578125" bestFit="1" customWidth="1"/>
    <col min="4" max="4" width="16.5703125" bestFit="1" customWidth="1"/>
    <col min="5" max="5" width="35.85546875" customWidth="1"/>
    <col min="6" max="6" width="14.85546875" bestFit="1" customWidth="1"/>
    <col min="7" max="7" width="19" customWidth="1"/>
  </cols>
  <sheetData>
    <row r="1" spans="1:7" ht="25.5" customHeight="1" x14ac:dyDescent="0.25">
      <c r="A1" s="514" t="s">
        <v>104</v>
      </c>
      <c r="B1" s="514"/>
      <c r="C1" s="514"/>
      <c r="D1" s="514"/>
      <c r="E1" s="514"/>
      <c r="F1" s="514"/>
      <c r="G1" s="514"/>
    </row>
    <row r="2" spans="1:7" ht="25.5" x14ac:dyDescent="0.25">
      <c r="A2" s="71" t="s">
        <v>105</v>
      </c>
      <c r="B2" s="71" t="s">
        <v>106</v>
      </c>
      <c r="C2" s="71" t="s">
        <v>107</v>
      </c>
      <c r="D2" s="71" t="s">
        <v>108</v>
      </c>
      <c r="E2" s="71" t="s">
        <v>109</v>
      </c>
      <c r="F2" s="71" t="s">
        <v>110</v>
      </c>
      <c r="G2" s="71" t="s">
        <v>111</v>
      </c>
    </row>
    <row r="3" spans="1:7" x14ac:dyDescent="0.25">
      <c r="A3" s="62" t="s">
        <v>112</v>
      </c>
      <c r="B3" s="63" t="s">
        <v>113</v>
      </c>
      <c r="C3" s="64">
        <v>43896</v>
      </c>
      <c r="D3" s="63" t="s">
        <v>114</v>
      </c>
      <c r="E3" s="63" t="s">
        <v>115</v>
      </c>
      <c r="F3" s="65">
        <v>4852514.8099999996</v>
      </c>
      <c r="G3" s="65">
        <v>5322622.1100000003</v>
      </c>
    </row>
    <row r="4" spans="1:7" x14ac:dyDescent="0.25">
      <c r="A4" s="66" t="s">
        <v>116</v>
      </c>
      <c r="B4" s="67" t="s">
        <v>113</v>
      </c>
      <c r="C4" s="68">
        <v>43902</v>
      </c>
      <c r="D4" s="67" t="s">
        <v>114</v>
      </c>
      <c r="E4" s="67" t="s">
        <v>115</v>
      </c>
      <c r="F4" s="69">
        <v>180249</v>
      </c>
      <c r="G4" s="69">
        <v>325992.40000000002</v>
      </c>
    </row>
    <row r="5" spans="1:7" x14ac:dyDescent="0.25">
      <c r="A5" s="62" t="s">
        <v>117</v>
      </c>
      <c r="B5" s="63" t="s">
        <v>113</v>
      </c>
      <c r="C5" s="64">
        <v>43901</v>
      </c>
      <c r="D5" s="63" t="s">
        <v>114</v>
      </c>
      <c r="E5" s="63" t="s">
        <v>115</v>
      </c>
      <c r="F5" s="65">
        <v>918880</v>
      </c>
      <c r="G5" s="65">
        <v>1083170.2</v>
      </c>
    </row>
    <row r="6" spans="1:7" x14ac:dyDescent="0.25">
      <c r="A6" s="66" t="s">
        <v>118</v>
      </c>
      <c r="B6" s="67" t="s">
        <v>119</v>
      </c>
      <c r="C6" s="68">
        <v>43902</v>
      </c>
      <c r="D6" s="67" t="s">
        <v>120</v>
      </c>
      <c r="E6" s="67" t="s">
        <v>115</v>
      </c>
      <c r="F6" s="69">
        <v>78000</v>
      </c>
      <c r="G6" s="69">
        <v>78000</v>
      </c>
    </row>
    <row r="7" spans="1:7" ht="18" x14ac:dyDescent="0.25">
      <c r="A7" s="62" t="s">
        <v>121</v>
      </c>
      <c r="B7" s="63" t="s">
        <v>122</v>
      </c>
      <c r="C7" s="64">
        <v>43893</v>
      </c>
      <c r="D7" s="63" t="s">
        <v>102</v>
      </c>
      <c r="E7" s="63" t="s">
        <v>115</v>
      </c>
      <c r="F7" s="65">
        <v>232179.94</v>
      </c>
      <c r="G7" s="65">
        <v>23218844</v>
      </c>
    </row>
    <row r="8" spans="1:7" x14ac:dyDescent="0.25">
      <c r="A8" s="70"/>
      <c r="B8" s="515" t="s">
        <v>123</v>
      </c>
      <c r="C8" s="515"/>
      <c r="D8" s="515" t="s">
        <v>124</v>
      </c>
      <c r="E8" s="515"/>
      <c r="F8" s="515"/>
      <c r="G8" s="515"/>
    </row>
  </sheetData>
  <mergeCells count="3">
    <mergeCell ref="A1:G1"/>
    <mergeCell ref="D8:G8"/>
    <mergeCell ref="B8:C8"/>
  </mergeCells>
  <hyperlinks>
    <hyperlink ref="A3" r:id="rId1" display="javascript:WebForm_DoPostBackWithOptions(new WebForm_PostBackOptions(%22ctl00$ContentPlaceHolder1$gdvLicitacao$ctl02$lbkProcessoLicitatorio%22, %22%22, true, %22%22, %22%22, false, true))" xr:uid="{00000000-0004-0000-1F00-000000000000}"/>
    <hyperlink ref="A4" r:id="rId2" display="javascript:WebForm_DoPostBackWithOptions(new WebForm_PostBackOptions(%22ctl00$ContentPlaceHolder1$gdvLicitacao$ctl03$lbkProcessoLicitatorio%22, %22%22, true, %22%22, %22%22, false, true))" xr:uid="{00000000-0004-0000-1F00-000001000000}"/>
    <hyperlink ref="A5" r:id="rId3" display="javascript:WebForm_DoPostBackWithOptions(new WebForm_PostBackOptions(%22ctl00$ContentPlaceHolder1$gdvLicitacao$ctl04$lbkProcessoLicitatorio%22, %22%22, true, %22%22, %22%22, false, true))" xr:uid="{00000000-0004-0000-1F00-000002000000}"/>
    <hyperlink ref="A6" r:id="rId4" display="javascript:WebForm_DoPostBackWithOptions(new WebForm_PostBackOptions(%22ctl00$ContentPlaceHolder1$gdvLicitacao$ctl05$lbkProcessoLicitatorio%22, %22%22, true, %22%22, %22%22, false, true))" xr:uid="{00000000-0004-0000-1F00-000003000000}"/>
    <hyperlink ref="A7" r:id="rId5" display="javascript:WebForm_DoPostBackWithOptions(new WebForm_PostBackOptions(%22ctl00$ContentPlaceHolder1$gdvLicitacao$ctl06$lbkProcessoLicitatorio%22, %22%22, true, %22%22, %22%22, false, true))" xr:uid="{00000000-0004-0000-1F00-000004000000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C774-998B-43F5-B1A5-0DF2949B6D07}">
  <dimension ref="A1:S37"/>
  <sheetViews>
    <sheetView topLeftCell="A21" zoomScale="85" zoomScaleNormal="85" workbookViewId="0">
      <selection activeCell="D55" sqref="D55"/>
    </sheetView>
  </sheetViews>
  <sheetFormatPr defaultRowHeight="15" x14ac:dyDescent="0.25"/>
  <cols>
    <col min="1" max="1" width="78.7109375" customWidth="1"/>
    <col min="2" max="16" width="22.28515625" customWidth="1"/>
    <col min="18" max="18" width="81" customWidth="1"/>
    <col min="19" max="19" width="21.5703125" customWidth="1"/>
  </cols>
  <sheetData>
    <row r="1" spans="1:19" ht="47.25" x14ac:dyDescent="0.25">
      <c r="A1" s="430" t="s">
        <v>195</v>
      </c>
      <c r="B1" s="431"/>
      <c r="C1" s="431"/>
      <c r="D1" s="431"/>
      <c r="E1" s="431"/>
      <c r="F1" s="431"/>
      <c r="G1" s="431"/>
      <c r="H1" s="431"/>
      <c r="I1" s="431"/>
      <c r="J1" s="432"/>
      <c r="K1" s="420"/>
      <c r="L1" s="420"/>
      <c r="M1" s="420"/>
      <c r="N1" s="420"/>
      <c r="O1" s="186" t="s">
        <v>147</v>
      </c>
      <c r="P1" s="186" t="s">
        <v>10</v>
      </c>
    </row>
    <row r="2" spans="1:19" ht="15.75" x14ac:dyDescent="0.25">
      <c r="A2" s="418"/>
      <c r="B2" s="419"/>
      <c r="C2" s="267" t="s">
        <v>67</v>
      </c>
      <c r="D2" s="267" t="s">
        <v>68</v>
      </c>
      <c r="E2" s="267" t="s">
        <v>69</v>
      </c>
      <c r="F2" s="267" t="s">
        <v>70</v>
      </c>
      <c r="G2" s="267" t="s">
        <v>71</v>
      </c>
      <c r="H2" s="267" t="s">
        <v>72</v>
      </c>
      <c r="I2" s="267" t="s">
        <v>73</v>
      </c>
      <c r="J2" s="267" t="s">
        <v>74</v>
      </c>
      <c r="K2" s="267" t="s">
        <v>75</v>
      </c>
      <c r="L2" s="267" t="s">
        <v>76</v>
      </c>
      <c r="M2" s="267" t="s">
        <v>77</v>
      </c>
      <c r="N2" s="267" t="s">
        <v>78</v>
      </c>
      <c r="O2" s="186"/>
      <c r="P2" s="186"/>
      <c r="R2" s="428" t="s">
        <v>244</v>
      </c>
      <c r="S2" s="429"/>
    </row>
    <row r="3" spans="1:19" ht="15.75" x14ac:dyDescent="0.25">
      <c r="A3" s="178" t="s">
        <v>210</v>
      </c>
      <c r="B3" s="178"/>
      <c r="C3" s="178"/>
      <c r="D3" s="178"/>
      <c r="E3" s="182">
        <f>E4+E17</f>
        <v>0</v>
      </c>
      <c r="F3" s="182">
        <f>F4+F17</f>
        <v>0</v>
      </c>
      <c r="G3" s="182">
        <f>G4+G17</f>
        <v>0</v>
      </c>
      <c r="H3" s="182">
        <f t="shared" ref="H3:O3" si="0">H4+H17</f>
        <v>-151000</v>
      </c>
      <c r="I3" s="182">
        <f t="shared" si="0"/>
        <v>0</v>
      </c>
      <c r="J3" s="182">
        <f t="shared" si="0"/>
        <v>14184239.82</v>
      </c>
      <c r="K3" s="182">
        <f t="shared" si="0"/>
        <v>1677486.66</v>
      </c>
      <c r="L3" s="182">
        <f t="shared" si="0"/>
        <v>1888675.51</v>
      </c>
      <c r="M3" s="182">
        <f t="shared" si="0"/>
        <v>2063901.74</v>
      </c>
      <c r="N3" s="182">
        <f t="shared" si="0"/>
        <v>2911743.3600000003</v>
      </c>
      <c r="O3" s="182">
        <f t="shared" si="0"/>
        <v>22575047.09</v>
      </c>
      <c r="P3" s="178"/>
      <c r="R3" s="102" t="str">
        <f>A5</f>
        <v>TOTAL FUNDEB - FONTE 18</v>
      </c>
      <c r="S3" s="106">
        <f>O5</f>
        <v>13714692.109999999</v>
      </c>
    </row>
    <row r="4" spans="1:19" ht="15.75" x14ac:dyDescent="0.25">
      <c r="A4" s="363" t="s">
        <v>204</v>
      </c>
      <c r="B4" s="179">
        <f>SUM(B5:B10)</f>
        <v>0</v>
      </c>
      <c r="C4" s="179">
        <f t="shared" ref="C4:I4" si="1">SUM(C5:C10)</f>
        <v>0</v>
      </c>
      <c r="D4" s="179">
        <f t="shared" si="1"/>
        <v>0</v>
      </c>
      <c r="E4" s="179">
        <f t="shared" si="1"/>
        <v>0</v>
      </c>
      <c r="F4" s="179">
        <f t="shared" si="1"/>
        <v>0</v>
      </c>
      <c r="G4" s="179">
        <f t="shared" si="1"/>
        <v>0</v>
      </c>
      <c r="H4" s="179">
        <f t="shared" si="1"/>
        <v>0</v>
      </c>
      <c r="I4" s="179">
        <f t="shared" si="1"/>
        <v>0</v>
      </c>
      <c r="J4" s="179">
        <f>J5+J10</f>
        <v>12496699.199999999</v>
      </c>
      <c r="K4" s="179">
        <f t="shared" ref="K4:N4" si="2">K5+K10</f>
        <v>1559464.98</v>
      </c>
      <c r="L4" s="179">
        <f t="shared" si="2"/>
        <v>1708418.23</v>
      </c>
      <c r="M4" s="179">
        <f t="shared" si="2"/>
        <v>1749494.71</v>
      </c>
      <c r="N4" s="179">
        <f t="shared" si="2"/>
        <v>1385137.54</v>
      </c>
      <c r="O4" s="110">
        <f t="shared" ref="O4:O15" si="3">SUM(B4:N4)</f>
        <v>18899214.66</v>
      </c>
      <c r="P4" s="96">
        <f>O4/Receitas!O80</f>
        <v>0.9869789398095633</v>
      </c>
      <c r="R4" s="102" t="str">
        <f>A10</f>
        <v>TOTAL FUNDEB - FONTE 19</v>
      </c>
      <c r="S4" s="106">
        <f>O10</f>
        <v>5184522.55</v>
      </c>
    </row>
    <row r="5" spans="1:19" ht="15.75" x14ac:dyDescent="0.25">
      <c r="A5" s="364" t="s">
        <v>290</v>
      </c>
      <c r="B5" s="365"/>
      <c r="C5" s="366"/>
      <c r="D5" s="366"/>
      <c r="E5" s="367"/>
      <c r="F5" s="368"/>
      <c r="G5" s="368"/>
      <c r="H5" s="368"/>
      <c r="I5" s="368"/>
      <c r="J5" s="369">
        <f>SUM(J6:J9)</f>
        <v>8696879.8300000001</v>
      </c>
      <c r="K5" s="369">
        <f t="shared" ref="K5:N5" si="4">SUM(K6:K9)</f>
        <v>1085720.8999999999</v>
      </c>
      <c r="L5" s="369">
        <f t="shared" si="4"/>
        <v>1354688.38</v>
      </c>
      <c r="M5" s="369">
        <f t="shared" si="4"/>
        <v>1362324.2</v>
      </c>
      <c r="N5" s="369">
        <f t="shared" si="4"/>
        <v>1215078.8</v>
      </c>
      <c r="O5" s="370">
        <f t="shared" si="3"/>
        <v>13714692.109999999</v>
      </c>
      <c r="P5" s="371">
        <f>O5/Receitas!O80</f>
        <v>0.71622617775708053</v>
      </c>
      <c r="R5" s="102" t="str">
        <f>A17</f>
        <v>DESPESAS MDE</v>
      </c>
      <c r="S5" s="106">
        <f>O17</f>
        <v>3675832.4300000006</v>
      </c>
    </row>
    <row r="6" spans="1:19" ht="15.75" x14ac:dyDescent="0.25">
      <c r="A6" s="103" t="s">
        <v>293</v>
      </c>
      <c r="B6" s="180"/>
      <c r="C6" s="184"/>
      <c r="D6" s="184"/>
      <c r="E6" s="102"/>
      <c r="F6" s="263"/>
      <c r="G6" s="263"/>
      <c r="H6" s="263"/>
      <c r="I6" s="263"/>
      <c r="J6" s="101">
        <v>5652025.4299999997</v>
      </c>
      <c r="K6" s="101">
        <v>730566.08</v>
      </c>
      <c r="L6" s="101">
        <v>468437.2</v>
      </c>
      <c r="M6" s="101">
        <v>922883.37</v>
      </c>
      <c r="N6" s="414">
        <v>938207.12</v>
      </c>
      <c r="O6" s="370">
        <f t="shared" si="3"/>
        <v>8712119.1999999993</v>
      </c>
      <c r="P6" s="77"/>
      <c r="R6" s="310" t="s">
        <v>244</v>
      </c>
      <c r="S6" s="328">
        <f>SUM(S3:S5)</f>
        <v>22575047.09</v>
      </c>
    </row>
    <row r="7" spans="1:19" ht="15.75" x14ac:dyDescent="0.25">
      <c r="A7" s="103" t="s">
        <v>294</v>
      </c>
      <c r="B7" s="180"/>
      <c r="C7" s="184"/>
      <c r="D7" s="184"/>
      <c r="E7" s="102"/>
      <c r="F7" s="263"/>
      <c r="G7" s="263"/>
      <c r="H7" s="263"/>
      <c r="I7" s="263"/>
      <c r="J7" s="101">
        <v>2454357.58</v>
      </c>
      <c r="K7" s="101">
        <v>208311.12</v>
      </c>
      <c r="L7" s="101">
        <v>269032.81</v>
      </c>
      <c r="M7" s="101">
        <v>272627.13</v>
      </c>
      <c r="N7" s="414">
        <v>276871.67999999999</v>
      </c>
      <c r="O7" s="370">
        <f t="shared" si="3"/>
        <v>3481200.3200000003</v>
      </c>
      <c r="P7" s="77"/>
    </row>
    <row r="8" spans="1:19" ht="30.75" x14ac:dyDescent="0.25">
      <c r="A8" s="103" t="s">
        <v>291</v>
      </c>
      <c r="B8" s="180"/>
      <c r="C8" s="184"/>
      <c r="D8" s="184"/>
      <c r="E8" s="102"/>
      <c r="F8" s="263"/>
      <c r="G8" s="263"/>
      <c r="H8" s="263"/>
      <c r="I8" s="263"/>
      <c r="J8" s="101">
        <f>186374.87+404121.95</f>
        <v>590496.82000000007</v>
      </c>
      <c r="K8" s="101">
        <f>99642.34+47201.36</f>
        <v>146843.70000000001</v>
      </c>
      <c r="L8" s="101">
        <f>167499.26+111329</f>
        <v>278828.26</v>
      </c>
      <c r="M8" s="101">
        <v>166813.70000000001</v>
      </c>
      <c r="N8" s="308"/>
      <c r="O8" s="370">
        <f t="shared" si="3"/>
        <v>1182982.48</v>
      </c>
      <c r="P8" s="77"/>
    </row>
    <row r="9" spans="1:19" ht="15.75" x14ac:dyDescent="0.25">
      <c r="A9" s="103" t="s">
        <v>295</v>
      </c>
      <c r="B9" s="180"/>
      <c r="C9" s="184"/>
      <c r="D9" s="184"/>
      <c r="E9" s="102"/>
      <c r="F9" s="263"/>
      <c r="G9" s="263"/>
      <c r="H9" s="263"/>
      <c r="I9" s="263"/>
      <c r="J9" s="101">
        <v>0</v>
      </c>
      <c r="K9" s="101">
        <v>0</v>
      </c>
      <c r="L9" s="101">
        <v>338390.11</v>
      </c>
      <c r="M9" s="101"/>
      <c r="N9" s="308"/>
      <c r="O9" s="370">
        <f t="shared" si="3"/>
        <v>338390.11</v>
      </c>
      <c r="P9" s="77"/>
    </row>
    <row r="10" spans="1:19" ht="15.75" x14ac:dyDescent="0.25">
      <c r="A10" s="364" t="s">
        <v>367</v>
      </c>
      <c r="B10" s="365"/>
      <c r="C10" s="366"/>
      <c r="D10" s="366"/>
      <c r="E10" s="367"/>
      <c r="F10" s="368"/>
      <c r="G10" s="368"/>
      <c r="H10" s="368"/>
      <c r="I10" s="368"/>
      <c r="J10" s="369">
        <f>SUM(J11:J15)</f>
        <v>3799819.37</v>
      </c>
      <c r="K10" s="369">
        <f t="shared" ref="K10:N10" si="5">SUM(K11:K15)</f>
        <v>473744.08</v>
      </c>
      <c r="L10" s="369">
        <f t="shared" si="5"/>
        <v>353729.85000000003</v>
      </c>
      <c r="M10" s="369">
        <f t="shared" si="5"/>
        <v>387170.51</v>
      </c>
      <c r="N10" s="369">
        <f t="shared" si="5"/>
        <v>170058.74</v>
      </c>
      <c r="O10" s="370">
        <f t="shared" si="3"/>
        <v>5184522.55</v>
      </c>
      <c r="P10" s="371">
        <f>O10/Receitas!O80</f>
        <v>0.27075276205248272</v>
      </c>
    </row>
    <row r="11" spans="1:19" ht="15.75" x14ac:dyDescent="0.25">
      <c r="A11" s="103" t="s">
        <v>297</v>
      </c>
      <c r="B11" s="180"/>
      <c r="C11" s="184"/>
      <c r="D11" s="184"/>
      <c r="E11" s="102"/>
      <c r="F11" s="263"/>
      <c r="G11" s="263"/>
      <c r="H11" s="263"/>
      <c r="I11" s="263"/>
      <c r="J11" s="101">
        <v>2499204.33</v>
      </c>
      <c r="K11" s="101">
        <v>374498.81</v>
      </c>
      <c r="L11" s="101">
        <f>158102.68+152466.48</f>
        <v>310569.16000000003</v>
      </c>
      <c r="M11" s="101">
        <f>119117.83+268052.68</f>
        <v>387170.51</v>
      </c>
      <c r="N11" s="414">
        <f>32260</f>
        <v>32260</v>
      </c>
      <c r="O11" s="370">
        <f t="shared" si="3"/>
        <v>3603702.8100000005</v>
      </c>
      <c r="P11" s="77"/>
    </row>
    <row r="12" spans="1:19" ht="15.75" x14ac:dyDescent="0.25">
      <c r="A12" s="103" t="s">
        <v>296</v>
      </c>
      <c r="B12" s="180"/>
      <c r="C12" s="184"/>
      <c r="D12" s="184"/>
      <c r="E12" s="102"/>
      <c r="F12" s="263"/>
      <c r="G12" s="263"/>
      <c r="H12" s="263"/>
      <c r="I12" s="263"/>
      <c r="J12" s="101">
        <v>929062.53</v>
      </c>
      <c r="K12" s="101">
        <v>85882.37</v>
      </c>
      <c r="L12" s="101">
        <v>26840.61</v>
      </c>
      <c r="M12" s="101"/>
      <c r="N12" s="308"/>
      <c r="O12" s="370">
        <f t="shared" si="3"/>
        <v>1041785.51</v>
      </c>
      <c r="P12" s="77"/>
    </row>
    <row r="13" spans="1:19" ht="30.75" x14ac:dyDescent="0.25">
      <c r="A13" s="103" t="s">
        <v>298</v>
      </c>
      <c r="B13" s="180"/>
      <c r="C13" s="184"/>
      <c r="D13" s="184"/>
      <c r="E13" s="102"/>
      <c r="F13" s="263"/>
      <c r="G13" s="263"/>
      <c r="H13" s="263"/>
      <c r="I13" s="263"/>
      <c r="J13" s="101"/>
      <c r="K13" s="101"/>
      <c r="L13" s="101"/>
      <c r="M13" s="101"/>
      <c r="N13" s="308"/>
      <c r="O13" s="370">
        <f t="shared" si="3"/>
        <v>0</v>
      </c>
      <c r="P13" s="77"/>
    </row>
    <row r="14" spans="1:19" ht="30.75" x14ac:dyDescent="0.25">
      <c r="A14" s="103" t="s">
        <v>292</v>
      </c>
      <c r="B14" s="180"/>
      <c r="C14" s="184"/>
      <c r="D14" s="184"/>
      <c r="E14" s="102"/>
      <c r="F14" s="263"/>
      <c r="G14" s="263"/>
      <c r="H14" s="263"/>
      <c r="I14" s="263"/>
      <c r="J14" s="101">
        <f>63655.7+123697.81</f>
        <v>187353.51</v>
      </c>
      <c r="K14" s="101">
        <v>13362.9</v>
      </c>
      <c r="L14" s="101">
        <f>14865.68+1454.4</f>
        <v>16320.08</v>
      </c>
      <c r="M14" s="101"/>
      <c r="N14" s="308"/>
      <c r="O14" s="370">
        <f t="shared" si="3"/>
        <v>217036.49</v>
      </c>
      <c r="P14" s="77"/>
    </row>
    <row r="15" spans="1:19" ht="30.75" x14ac:dyDescent="0.25">
      <c r="A15" s="103" t="s">
        <v>299</v>
      </c>
      <c r="B15" s="180"/>
      <c r="C15" s="184"/>
      <c r="D15" s="184"/>
      <c r="E15" s="102"/>
      <c r="F15" s="263"/>
      <c r="G15" s="263"/>
      <c r="H15" s="401"/>
      <c r="I15" s="263"/>
      <c r="J15" s="101">
        <f>37735+49344+97120</f>
        <v>184199</v>
      </c>
      <c r="K15" s="101">
        <v>0</v>
      </c>
      <c r="L15" s="101"/>
      <c r="M15" s="308"/>
      <c r="N15" s="414">
        <f>88028.74+49770</f>
        <v>137798.74</v>
      </c>
      <c r="O15" s="370">
        <f t="shared" si="3"/>
        <v>321997.74</v>
      </c>
      <c r="P15" s="77">
        <f>O15/Receitas!O87</f>
        <v>0.15494519978086169</v>
      </c>
    </row>
    <row r="16" spans="1:19" ht="15.75" x14ac:dyDescent="0.25">
      <c r="A16" s="86"/>
      <c r="B16" s="181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362"/>
      <c r="P16" s="97"/>
    </row>
    <row r="17" spans="1:16" ht="15.75" x14ac:dyDescent="0.25">
      <c r="A17" s="372" t="s">
        <v>196</v>
      </c>
      <c r="B17" s="369">
        <f t="shared" ref="B17:N17" si="6">B18</f>
        <v>0</v>
      </c>
      <c r="C17" s="369">
        <f t="shared" si="6"/>
        <v>0</v>
      </c>
      <c r="D17" s="369">
        <f t="shared" si="6"/>
        <v>0</v>
      </c>
      <c r="E17" s="369">
        <f t="shared" si="6"/>
        <v>0</v>
      </c>
      <c r="F17" s="369">
        <f t="shared" si="6"/>
        <v>0</v>
      </c>
      <c r="G17" s="369">
        <f t="shared" si="6"/>
        <v>0</v>
      </c>
      <c r="H17" s="369">
        <f t="shared" si="6"/>
        <v>-151000</v>
      </c>
      <c r="I17" s="369">
        <f t="shared" si="6"/>
        <v>0</v>
      </c>
      <c r="J17" s="369">
        <f t="shared" si="6"/>
        <v>1687540.62</v>
      </c>
      <c r="K17" s="369">
        <f t="shared" si="6"/>
        <v>118021.68</v>
      </c>
      <c r="L17" s="369">
        <f t="shared" si="6"/>
        <v>180257.28</v>
      </c>
      <c r="M17" s="369">
        <f t="shared" si="6"/>
        <v>314407.03000000003</v>
      </c>
      <c r="N17" s="369">
        <f t="shared" si="6"/>
        <v>1526605.82</v>
      </c>
      <c r="O17" s="370">
        <f>SUM(B17:N17)</f>
        <v>3675832.4300000006</v>
      </c>
      <c r="P17" s="373"/>
    </row>
    <row r="18" spans="1:16" ht="15.75" x14ac:dyDescent="0.25">
      <c r="A18" s="103" t="s">
        <v>197</v>
      </c>
      <c r="B18" s="185"/>
      <c r="C18" s="109"/>
      <c r="D18" s="109"/>
      <c r="E18" s="80"/>
      <c r="F18" s="101"/>
      <c r="G18" s="101"/>
      <c r="H18" s="403">
        <f>-151000</f>
        <v>-151000</v>
      </c>
      <c r="I18" s="101"/>
      <c r="J18" s="101">
        <v>1687540.62</v>
      </c>
      <c r="K18" s="101">
        <v>118021.68</v>
      </c>
      <c r="L18" s="101">
        <v>180257.28</v>
      </c>
      <c r="M18" s="101">
        <v>314407.03000000003</v>
      </c>
      <c r="N18" s="414">
        <v>1526605.82</v>
      </c>
      <c r="O18" s="110">
        <f>SUM(B18:N18)</f>
        <v>3675832.4300000006</v>
      </c>
      <c r="P18" s="96">
        <f>O21</f>
        <v>0.26281860168429905</v>
      </c>
    </row>
    <row r="19" spans="1:16" ht="15.75" x14ac:dyDescent="0.25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427" t="s">
        <v>300</v>
      </c>
      <c r="N19" s="427"/>
      <c r="O19" s="374">
        <f>Receitas!O76</f>
        <v>7904019.3300000001</v>
      </c>
      <c r="P19" s="72"/>
    </row>
    <row r="20" spans="1:16" ht="16.5" thickBot="1" x14ac:dyDescent="0.3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427" t="s">
        <v>301</v>
      </c>
      <c r="N20" s="427"/>
      <c r="O20" s="375">
        <f>SUM(O17+O19)</f>
        <v>11579851.760000002</v>
      </c>
      <c r="P20" s="72"/>
    </row>
    <row r="21" spans="1:16" ht="15.75" x14ac:dyDescent="0.25">
      <c r="A21" s="214" t="s">
        <v>42</v>
      </c>
      <c r="B21" s="454" t="s">
        <v>7</v>
      </c>
      <c r="C21" s="456" t="s">
        <v>8</v>
      </c>
      <c r="D21" s="458" t="s">
        <v>14</v>
      </c>
      <c r="E21" s="459"/>
      <c r="F21" s="72"/>
      <c r="G21" s="72"/>
      <c r="H21" s="72"/>
      <c r="I21" s="72"/>
      <c r="J21" s="72"/>
      <c r="K21" s="72"/>
      <c r="L21" s="72"/>
      <c r="M21" s="427" t="s">
        <v>302</v>
      </c>
      <c r="N21" s="427"/>
      <c r="O21" s="96">
        <f>O20/Receitas!O74</f>
        <v>0.26281860168429905</v>
      </c>
      <c r="P21" s="72"/>
    </row>
    <row r="22" spans="1:16" ht="16.5" thickBot="1" x14ac:dyDescent="0.3">
      <c r="A22" s="215" t="s">
        <v>43</v>
      </c>
      <c r="B22" s="455"/>
      <c r="C22" s="457"/>
      <c r="D22" s="394" t="s">
        <v>2</v>
      </c>
      <c r="E22" s="216" t="s">
        <v>10</v>
      </c>
      <c r="M22" s="427" t="s">
        <v>303</v>
      </c>
      <c r="N22" s="427"/>
      <c r="O22" s="376">
        <f>O8+O14+O15</f>
        <v>1722016.71</v>
      </c>
    </row>
    <row r="23" spans="1:16" x14ac:dyDescent="0.25">
      <c r="A23" s="13" t="s">
        <v>3</v>
      </c>
      <c r="B23" s="36">
        <v>7073074</v>
      </c>
      <c r="C23" s="395">
        <v>9290215.1300000008</v>
      </c>
      <c r="D23" s="395">
        <v>8431164.1899999995</v>
      </c>
      <c r="E23" s="14">
        <f>D23/C23</f>
        <v>0.90753164184261459</v>
      </c>
    </row>
    <row r="24" spans="1:16" x14ac:dyDescent="0.25">
      <c r="A24" s="15" t="s">
        <v>44</v>
      </c>
      <c r="B24" s="210"/>
      <c r="C24" s="210"/>
      <c r="D24" s="1"/>
      <c r="E24" s="14"/>
    </row>
    <row r="25" spans="1:16" x14ac:dyDescent="0.25">
      <c r="A25" s="15" t="s">
        <v>45</v>
      </c>
      <c r="B25" s="210"/>
      <c r="C25" s="210"/>
      <c r="D25" s="1"/>
      <c r="E25" s="14"/>
    </row>
    <row r="26" spans="1:16" x14ac:dyDescent="0.25">
      <c r="A26" s="15" t="s">
        <v>46</v>
      </c>
      <c r="B26" s="210"/>
      <c r="C26" s="210"/>
      <c r="D26" s="1"/>
      <c r="E26" s="14"/>
    </row>
    <row r="27" spans="1:16" x14ac:dyDescent="0.25">
      <c r="A27" s="16" t="s">
        <v>4</v>
      </c>
      <c r="B27" s="36">
        <v>81000</v>
      </c>
      <c r="C27" s="395">
        <v>219100.51</v>
      </c>
      <c r="D27" s="395">
        <v>183873.07</v>
      </c>
      <c r="E27" s="14">
        <f>D27/C27</f>
        <v>0.83921790049689982</v>
      </c>
    </row>
    <row r="28" spans="1:16" x14ac:dyDescent="0.25">
      <c r="A28" s="15" t="s">
        <v>47</v>
      </c>
      <c r="B28" s="210"/>
      <c r="C28" s="210"/>
      <c r="D28" s="1"/>
      <c r="E28" s="14"/>
    </row>
    <row r="29" spans="1:16" x14ac:dyDescent="0.25">
      <c r="A29" s="15" t="s">
        <v>48</v>
      </c>
      <c r="B29" s="210"/>
      <c r="C29" s="210"/>
      <c r="D29" s="1"/>
      <c r="E29" s="14"/>
    </row>
    <row r="30" spans="1:16" x14ac:dyDescent="0.25">
      <c r="A30" s="15" t="s">
        <v>49</v>
      </c>
      <c r="B30" s="210"/>
      <c r="C30" s="210"/>
      <c r="D30" s="1"/>
      <c r="E30" s="14"/>
    </row>
    <row r="31" spans="1:16" x14ac:dyDescent="0.25">
      <c r="A31" s="212" t="s">
        <v>50</v>
      </c>
      <c r="B31" s="211">
        <f>SUM(B27,B23)</f>
        <v>7154074</v>
      </c>
      <c r="C31" s="211">
        <f>SUM(C27,C23)</f>
        <v>9509315.6400000006</v>
      </c>
      <c r="D31" s="211">
        <f>SUM(D23,D27)</f>
        <v>8615037.2599999998</v>
      </c>
      <c r="E31" s="213">
        <f>D31/C31</f>
        <v>0.9059576510176709</v>
      </c>
    </row>
    <row r="32" spans="1:16" ht="15.75" thickBot="1" x14ac:dyDescent="0.3"/>
    <row r="33" spans="1:5" ht="15.75" thickBot="1" x14ac:dyDescent="0.3">
      <c r="A33" s="232" t="s">
        <v>62</v>
      </c>
      <c r="B33" s="233">
        <f>B31-B65</f>
        <v>7154074</v>
      </c>
      <c r="C33" s="233">
        <f>C31-C65</f>
        <v>9509315.6400000006</v>
      </c>
      <c r="D33" s="233">
        <f>D31-D65</f>
        <v>8615037.2599999998</v>
      </c>
      <c r="E33" s="234">
        <f>D33/C33</f>
        <v>0.9059576510176709</v>
      </c>
    </row>
    <row r="34" spans="1:5" ht="15.75" thickBot="1" x14ac:dyDescent="0.3">
      <c r="D34" t="s">
        <v>66</v>
      </c>
    </row>
    <row r="35" spans="1:5" ht="21.75" thickBot="1" x14ac:dyDescent="0.4">
      <c r="A35" s="450" t="s">
        <v>211</v>
      </c>
      <c r="B35" s="451"/>
      <c r="C35" s="451"/>
      <c r="D35" s="451"/>
      <c r="E35" s="231">
        <f>D33/Receitas!D115</f>
        <v>0.20884868532639975</v>
      </c>
    </row>
    <row r="36" spans="1:5" ht="15.75" thickBot="1" x14ac:dyDescent="0.3"/>
    <row r="37" spans="1:5" ht="15.75" thickBot="1" x14ac:dyDescent="0.3">
      <c r="A37" s="452" t="s">
        <v>212</v>
      </c>
      <c r="B37" s="453"/>
      <c r="C37" s="453"/>
      <c r="D37" s="453"/>
      <c r="E37" s="209">
        <f>(Receitas!D115*15%)-D33</f>
        <v>-2427516.4384999992</v>
      </c>
    </row>
  </sheetData>
  <mergeCells count="11">
    <mergeCell ref="B21:B22"/>
    <mergeCell ref="C21:C22"/>
    <mergeCell ref="D21:E21"/>
    <mergeCell ref="A35:D35"/>
    <mergeCell ref="A37:D37"/>
    <mergeCell ref="M19:N19"/>
    <mergeCell ref="M20:N20"/>
    <mergeCell ref="M21:N21"/>
    <mergeCell ref="R2:S2"/>
    <mergeCell ref="M22:N22"/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79"/>
  <sheetViews>
    <sheetView tabSelected="1" zoomScaleNormal="100" workbookViewId="0">
      <selection activeCell="B33" sqref="B33"/>
    </sheetView>
  </sheetViews>
  <sheetFormatPr defaultRowHeight="12.75" x14ac:dyDescent="0.2"/>
  <cols>
    <col min="1" max="1" width="95.28515625" style="119" customWidth="1"/>
    <col min="2" max="2" width="23.140625" style="119" customWidth="1"/>
    <col min="3" max="5" width="9.140625" style="119"/>
    <col min="6" max="6" width="15.42578125" style="119" bestFit="1" customWidth="1"/>
    <col min="7" max="16384" width="9.140625" style="119"/>
  </cols>
  <sheetData>
    <row r="1" spans="1:6" ht="54" customHeight="1" thickBot="1" x14ac:dyDescent="0.25">
      <c r="A1" s="385" t="s">
        <v>209</v>
      </c>
      <c r="B1" s="386"/>
    </row>
    <row r="2" spans="1:6" ht="15" customHeight="1" x14ac:dyDescent="0.2">
      <c r="A2" s="235"/>
      <c r="B2" s="236"/>
    </row>
    <row r="3" spans="1:6" ht="18" customHeight="1" x14ac:dyDescent="0.2">
      <c r="A3" s="488" t="s">
        <v>313</v>
      </c>
      <c r="B3" s="387" t="s">
        <v>78</v>
      </c>
    </row>
    <row r="4" spans="1:6" ht="18" customHeight="1" x14ac:dyDescent="0.2">
      <c r="A4" s="489"/>
      <c r="B4" s="388">
        <v>2022</v>
      </c>
    </row>
    <row r="5" spans="1:6" ht="18" customHeight="1" x14ac:dyDescent="0.2">
      <c r="A5" s="237" t="s">
        <v>214</v>
      </c>
      <c r="B5" s="238">
        <f>Receitas!S60</f>
        <v>44060244.159999996</v>
      </c>
    </row>
    <row r="6" spans="1:6" ht="18" customHeight="1" x14ac:dyDescent="0.2">
      <c r="A6" s="256" t="s">
        <v>314</v>
      </c>
      <c r="B6" s="257">
        <f>Receitas!S65</f>
        <v>19148549.07</v>
      </c>
    </row>
    <row r="7" spans="1:6" ht="18" customHeight="1" x14ac:dyDescent="0.2">
      <c r="A7" s="124" t="s">
        <v>215</v>
      </c>
      <c r="B7" s="169">
        <f>Receitas!S63</f>
        <v>3111041.709999999</v>
      </c>
    </row>
    <row r="8" spans="1:6" ht="8.25" customHeight="1" x14ac:dyDescent="0.2"/>
    <row r="9" spans="1:6" ht="18" customHeight="1" x14ac:dyDescent="0.2">
      <c r="A9" s="491" t="s">
        <v>244</v>
      </c>
      <c r="B9" s="492"/>
      <c r="F9" s="246"/>
    </row>
    <row r="10" spans="1:6" ht="18" customHeight="1" x14ac:dyDescent="0.2">
      <c r="A10" s="124" t="str">
        <f>Educação!R17</f>
        <v>TOTAL FUNDEB - FONTE 18</v>
      </c>
      <c r="B10" s="120">
        <f>Despesas!S3</f>
        <v>13714692.109999999</v>
      </c>
    </row>
    <row r="11" spans="1:6" ht="18" customHeight="1" x14ac:dyDescent="0.2">
      <c r="A11" s="124" t="str">
        <f>Educação!R18</f>
        <v>TOTAL FUNDEB - FONTE 19</v>
      </c>
      <c r="B11" s="120">
        <f>Despesas!S4</f>
        <v>5184522.55</v>
      </c>
      <c r="F11" s="247"/>
    </row>
    <row r="12" spans="1:6" ht="18" customHeight="1" x14ac:dyDescent="0.2">
      <c r="A12" s="124" t="str">
        <f>Educação!R19</f>
        <v>MDE - FONTE 01</v>
      </c>
      <c r="B12" s="120">
        <f>Despesas!S5</f>
        <v>3675832.4300000006</v>
      </c>
    </row>
    <row r="13" spans="1:6" ht="7.5" customHeight="1" x14ac:dyDescent="0.2">
      <c r="B13" s="122"/>
    </row>
    <row r="14" spans="1:6" ht="18" customHeight="1" x14ac:dyDescent="0.2">
      <c r="A14" s="491" t="s">
        <v>260</v>
      </c>
      <c r="B14" s="492"/>
    </row>
    <row r="15" spans="1:6" ht="18" customHeight="1" x14ac:dyDescent="0.25">
      <c r="A15" s="239" t="str">
        <f>Educação!R26</f>
        <v>APLICAÇÃO FUNDEB 70%</v>
      </c>
      <c r="B15" s="245">
        <f>Receitas!S80</f>
        <v>0.71622617775708053</v>
      </c>
    </row>
    <row r="16" spans="1:6" ht="18" customHeight="1" x14ac:dyDescent="0.2">
      <c r="A16" s="119" t="str">
        <f>Educação!R28</f>
        <v>APLICAÇÃO FUNDEB VAAT - EDUCAÇÃO INFANTIL - MINIMO DE 50%</v>
      </c>
      <c r="B16" s="396">
        <f>Receitas!S82</f>
        <v>0.82863383810374625</v>
      </c>
    </row>
    <row r="17" spans="1:2" ht="18" customHeight="1" x14ac:dyDescent="0.2">
      <c r="A17" s="124" t="str">
        <f>Educação!R30</f>
        <v>APLICAÇÃO FUNDEB VAAT - DESPESA CAPITAL - MÍNIMO DE 15%</v>
      </c>
      <c r="B17" s="241">
        <f>Receitas!S84</f>
        <v>0.15494519978086169</v>
      </c>
    </row>
    <row r="18" spans="1:2" ht="18" customHeight="1" x14ac:dyDescent="0.2">
      <c r="A18" s="124" t="str">
        <f>Educação!R32</f>
        <v>APLICAÇÃO MDE FONTE 01 - (PERCENTUAL DA APLICAÇÃO PRÓPRIA)</v>
      </c>
      <c r="B18" s="241">
        <f>Receitas!S86</f>
        <v>1.1815439240768013</v>
      </c>
    </row>
    <row r="19" spans="1:2" ht="18" customHeight="1" x14ac:dyDescent="0.25">
      <c r="A19" s="380" t="str">
        <f>Educação!R34</f>
        <v>APLICAÇÃO MDE 25% (TOTAL)</v>
      </c>
      <c r="B19" s="384">
        <f>Receitas!S88</f>
        <v>0.26281860168429905</v>
      </c>
    </row>
    <row r="20" spans="1:2" ht="7.5" customHeight="1" x14ac:dyDescent="0.2">
      <c r="B20" s="177"/>
    </row>
    <row r="21" spans="1:2" ht="18" customHeight="1" x14ac:dyDescent="0.2">
      <c r="A21" s="490" t="s">
        <v>259</v>
      </c>
      <c r="B21" s="490"/>
    </row>
    <row r="22" spans="1:2" ht="18" customHeight="1" x14ac:dyDescent="0.2">
      <c r="A22" s="124" t="str">
        <f>'Saúde 15%'!A4</f>
        <v>RECEITA DE IMPOSTOS LÍQUIDA (I)</v>
      </c>
      <c r="B22" s="169">
        <f>Receitas!D97</f>
        <v>1770444.1800000002</v>
      </c>
    </row>
    <row r="23" spans="1:2" ht="18" customHeight="1" x14ac:dyDescent="0.2">
      <c r="A23" s="124" t="str">
        <f>'Saúde 15%'!A14</f>
        <v>RECEITA DE TRANSFERÊNCIAS CONSTITUCIONAIS E LEGAIS (II)</v>
      </c>
      <c r="B23" s="169">
        <f>Receitas!D107</f>
        <v>39479694.630000003</v>
      </c>
    </row>
    <row r="24" spans="1:2" ht="18" customHeight="1" x14ac:dyDescent="0.2">
      <c r="A24" s="124" t="str">
        <f>'Saúde 15%'!A22</f>
        <v>TOTAL DAS RECEITAS PARA APURAÇÃO EM AÇÕES E SERVIÇOS PÚBLICOS DE SAÚDE (III) = I + II</v>
      </c>
      <c r="B24" s="169">
        <f>Receitas!D115</f>
        <v>41250138.810000002</v>
      </c>
    </row>
    <row r="25" spans="1:2" ht="18" customHeight="1" x14ac:dyDescent="0.2">
      <c r="A25" s="124" t="str">
        <f>'Saúde 15%'!A37</f>
        <v>TOTAL DAS DESPESA COM AÇÕES E SEVIÇOS PÚBLICOS EM SAÚDE (VI) = (IV) -(V)</v>
      </c>
      <c r="B25" s="169">
        <f>Despesas!D33</f>
        <v>8615037.2599999998</v>
      </c>
    </row>
    <row r="26" spans="1:2" ht="9" customHeight="1" x14ac:dyDescent="0.2"/>
    <row r="27" spans="1:2" ht="18" customHeight="1" x14ac:dyDescent="0.25">
      <c r="A27" s="382" t="str">
        <f>'Saúde 15%'!A39</f>
        <v>PERCENTUAL DE APLICAÇÃO EM AÇÕES E SERVIÇOS PÚBLICOS DE SAÚDE SOBRE AS RECEITAS (VII%) = (VIh/IIIb x 100)</v>
      </c>
      <c r="B27" s="383">
        <f>'Saúde 15%'!E39</f>
        <v>0.20884868532639975</v>
      </c>
    </row>
    <row r="28" spans="1:2" ht="18" customHeight="1" x14ac:dyDescent="0.2">
      <c r="A28" s="124" t="s">
        <v>312</v>
      </c>
      <c r="B28" s="169">
        <f>Despesas!E37</f>
        <v>-2427516.4384999992</v>
      </c>
    </row>
    <row r="29" spans="1:2" ht="8.25" customHeight="1" x14ac:dyDescent="0.2"/>
    <row r="30" spans="1:2" ht="18" customHeight="1" x14ac:dyDescent="0.2">
      <c r="A30" s="490" t="s">
        <v>261</v>
      </c>
      <c r="B30" s="490"/>
    </row>
    <row r="31" spans="1:2" ht="18" customHeight="1" x14ac:dyDescent="0.2">
      <c r="A31" s="240" t="str">
        <f>Receitas!A37</f>
        <v>RECEITA CORRENTE LÍQUIDA</v>
      </c>
      <c r="B31" s="173">
        <f>Receitas!N141</f>
        <v>67649475.860000014</v>
      </c>
    </row>
    <row r="32" spans="1:2" ht="18" customHeight="1" x14ac:dyDescent="0.2">
      <c r="A32" s="243" t="s">
        <v>311</v>
      </c>
      <c r="B32" s="244">
        <f>Receitas!N135</f>
        <v>39800750.600000001</v>
      </c>
    </row>
    <row r="33" spans="1:6" ht="18" customHeight="1" x14ac:dyDescent="0.2">
      <c r="A33" s="380" t="s">
        <v>310</v>
      </c>
      <c r="B33" s="381">
        <f>B32/B31</f>
        <v>0.58833790053846535</v>
      </c>
      <c r="F33" s="289"/>
    </row>
    <row r="34" spans="1:6" ht="18" customHeight="1" x14ac:dyDescent="0.2"/>
    <row r="35" spans="1:6" ht="18" customHeight="1" x14ac:dyDescent="0.2">
      <c r="F35" s="177"/>
    </row>
    <row r="36" spans="1:6" ht="18" customHeight="1" x14ac:dyDescent="0.2">
      <c r="A36" s="119" t="s">
        <v>372</v>
      </c>
      <c r="F36" s="168"/>
    </row>
    <row r="45" spans="1:6" ht="14.25" x14ac:dyDescent="0.2">
      <c r="A45" s="493" t="s">
        <v>184</v>
      </c>
      <c r="B45" s="493"/>
    </row>
    <row r="46" spans="1:6" ht="15" x14ac:dyDescent="0.25">
      <c r="A46" s="487" t="s">
        <v>185</v>
      </c>
      <c r="B46" s="487"/>
    </row>
    <row r="70" spans="1:2" x14ac:dyDescent="0.2">
      <c r="A70" s="248"/>
      <c r="B70" s="249"/>
    </row>
    <row r="71" spans="1:2" x14ac:dyDescent="0.2">
      <c r="A71" s="248"/>
      <c r="B71" s="249"/>
    </row>
    <row r="72" spans="1:2" x14ac:dyDescent="0.2">
      <c r="A72" s="250"/>
      <c r="B72" s="249"/>
    </row>
    <row r="73" spans="1:2" x14ac:dyDescent="0.2">
      <c r="A73" s="250"/>
      <c r="B73" s="251"/>
    </row>
    <row r="74" spans="1:2" x14ac:dyDescent="0.2">
      <c r="A74" s="250"/>
      <c r="B74" s="250"/>
    </row>
    <row r="75" spans="1:2" x14ac:dyDescent="0.2">
      <c r="A75" s="250"/>
    </row>
    <row r="76" spans="1:2" x14ac:dyDescent="0.2">
      <c r="A76" s="250"/>
      <c r="B76" s="250"/>
    </row>
    <row r="77" spans="1:2" x14ac:dyDescent="0.2">
      <c r="A77" s="248"/>
      <c r="B77" s="252"/>
    </row>
    <row r="78" spans="1:2" x14ac:dyDescent="0.2">
      <c r="A78" s="253"/>
    </row>
    <row r="79" spans="1:2" x14ac:dyDescent="0.2">
      <c r="A79" s="250"/>
    </row>
  </sheetData>
  <mergeCells count="7">
    <mergeCell ref="A46:B46"/>
    <mergeCell ref="A3:A4"/>
    <mergeCell ref="A21:B21"/>
    <mergeCell ref="A14:B14"/>
    <mergeCell ref="A30:B30"/>
    <mergeCell ref="A45:B45"/>
    <mergeCell ref="A9:B9"/>
  </mergeCells>
  <conditionalFormatting sqref="A76 A79">
    <cfRule type="cellIs" dxfId="1" priority="1" stopIfTrue="1" operator="equal">
      <formula>"Déficit"</formula>
    </cfRule>
  </conditionalFormatting>
  <conditionalFormatting sqref="F9">
    <cfRule type="cellIs" dxfId="0" priority="3" stopIfTrue="1" operator="equal">
      <formula>"Déficit_Até Mês"</formula>
    </cfRule>
  </conditionalFormatting>
  <pageMargins left="0.511811024" right="0.511811024" top="0.78740157499999996" bottom="0.78740157499999996" header="0.31496062000000002" footer="0.31496062000000002"/>
  <pageSetup paperSize="9" scale="77" fitToHeight="0" orientation="portrait" r:id="rId1"/>
  <rowBreaks count="1" manualBreakCount="1">
    <brk id="68" max="1" man="1"/>
  </rowBreaks>
  <colBreaks count="1" manualBreakCount="1">
    <brk id="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P90"/>
  <sheetViews>
    <sheetView zoomScale="67" zoomScaleNormal="67" workbookViewId="0">
      <selection activeCell="I23" sqref="I23"/>
    </sheetView>
  </sheetViews>
  <sheetFormatPr defaultRowHeight="15.75" x14ac:dyDescent="0.25"/>
  <cols>
    <col min="1" max="1" width="56" style="133" customWidth="1"/>
    <col min="2" max="2" width="17" style="133" bestFit="1" customWidth="1"/>
    <col min="3" max="3" width="18" style="133" bestFit="1" customWidth="1"/>
    <col min="4" max="4" width="17" style="133" bestFit="1" customWidth="1"/>
    <col min="5" max="5" width="18.28515625" style="133" bestFit="1" customWidth="1"/>
    <col min="6" max="6" width="17" style="133" bestFit="1" customWidth="1"/>
    <col min="7" max="8" width="18.28515625" style="133" bestFit="1" customWidth="1"/>
    <col min="9" max="9" width="19.7109375" style="133" bestFit="1" customWidth="1"/>
    <col min="10" max="13" width="18.28515625" style="133" bestFit="1" customWidth="1"/>
    <col min="14" max="14" width="18" style="133" bestFit="1" customWidth="1"/>
    <col min="15" max="15" width="25.85546875" style="133" customWidth="1"/>
    <col min="16" max="16" width="21" style="133" customWidth="1"/>
    <col min="17" max="255" width="9.140625" style="133"/>
    <col min="256" max="256" width="33" style="133" customWidth="1"/>
    <col min="257" max="257" width="17.42578125" style="133" customWidth="1"/>
    <col min="258" max="258" width="17.140625" style="133" customWidth="1"/>
    <col min="259" max="259" width="16" style="133" customWidth="1"/>
    <col min="260" max="260" width="16.5703125" style="133" customWidth="1"/>
    <col min="261" max="261" width="16.28515625" style="133" customWidth="1"/>
    <col min="262" max="262" width="18.28515625" style="133" customWidth="1"/>
    <col min="263" max="263" width="17.42578125" style="133" customWidth="1"/>
    <col min="264" max="264" width="15.85546875" style="133" customWidth="1"/>
    <col min="265" max="265" width="17" style="133" customWidth="1"/>
    <col min="266" max="266" width="19.7109375" style="133" customWidth="1"/>
    <col min="267" max="267" width="17.28515625" style="133" customWidth="1"/>
    <col min="268" max="268" width="18.140625" style="133" customWidth="1"/>
    <col min="269" max="269" width="21.7109375" style="133" customWidth="1"/>
    <col min="270" max="270" width="0.42578125" style="133" customWidth="1"/>
    <col min="271" max="271" width="16.140625" style="133" bestFit="1" customWidth="1"/>
    <col min="272" max="272" width="11.5703125" style="133" bestFit="1" customWidth="1"/>
    <col min="273" max="511" width="9.140625" style="133"/>
    <col min="512" max="512" width="33" style="133" customWidth="1"/>
    <col min="513" max="513" width="17.42578125" style="133" customWidth="1"/>
    <col min="514" max="514" width="17.140625" style="133" customWidth="1"/>
    <col min="515" max="515" width="16" style="133" customWidth="1"/>
    <col min="516" max="516" width="16.5703125" style="133" customWidth="1"/>
    <col min="517" max="517" width="16.28515625" style="133" customWidth="1"/>
    <col min="518" max="518" width="18.28515625" style="133" customWidth="1"/>
    <col min="519" max="519" width="17.42578125" style="133" customWidth="1"/>
    <col min="520" max="520" width="15.85546875" style="133" customWidth="1"/>
    <col min="521" max="521" width="17" style="133" customWidth="1"/>
    <col min="522" max="522" width="19.7109375" style="133" customWidth="1"/>
    <col min="523" max="523" width="17.28515625" style="133" customWidth="1"/>
    <col min="524" max="524" width="18.140625" style="133" customWidth="1"/>
    <col min="525" max="525" width="21.7109375" style="133" customWidth="1"/>
    <col min="526" max="526" width="0.42578125" style="133" customWidth="1"/>
    <col min="527" max="527" width="16.140625" style="133" bestFit="1" customWidth="1"/>
    <col min="528" max="528" width="11.5703125" style="133" bestFit="1" customWidth="1"/>
    <col min="529" max="767" width="9.140625" style="133"/>
    <col min="768" max="768" width="33" style="133" customWidth="1"/>
    <col min="769" max="769" width="17.42578125" style="133" customWidth="1"/>
    <col min="770" max="770" width="17.140625" style="133" customWidth="1"/>
    <col min="771" max="771" width="16" style="133" customWidth="1"/>
    <col min="772" max="772" width="16.5703125" style="133" customWidth="1"/>
    <col min="773" max="773" width="16.28515625" style="133" customWidth="1"/>
    <col min="774" max="774" width="18.28515625" style="133" customWidth="1"/>
    <col min="775" max="775" width="17.42578125" style="133" customWidth="1"/>
    <col min="776" max="776" width="15.85546875" style="133" customWidth="1"/>
    <col min="777" max="777" width="17" style="133" customWidth="1"/>
    <col min="778" max="778" width="19.7109375" style="133" customWidth="1"/>
    <col min="779" max="779" width="17.28515625" style="133" customWidth="1"/>
    <col min="780" max="780" width="18.140625" style="133" customWidth="1"/>
    <col min="781" max="781" width="21.7109375" style="133" customWidth="1"/>
    <col min="782" max="782" width="0.42578125" style="133" customWidth="1"/>
    <col min="783" max="783" width="16.140625" style="133" bestFit="1" customWidth="1"/>
    <col min="784" max="784" width="11.5703125" style="133" bestFit="1" customWidth="1"/>
    <col min="785" max="1023" width="9.140625" style="133"/>
    <col min="1024" max="1024" width="33" style="133" customWidth="1"/>
    <col min="1025" max="1025" width="17.42578125" style="133" customWidth="1"/>
    <col min="1026" max="1026" width="17.140625" style="133" customWidth="1"/>
    <col min="1027" max="1027" width="16" style="133" customWidth="1"/>
    <col min="1028" max="1028" width="16.5703125" style="133" customWidth="1"/>
    <col min="1029" max="1029" width="16.28515625" style="133" customWidth="1"/>
    <col min="1030" max="1030" width="18.28515625" style="133" customWidth="1"/>
    <col min="1031" max="1031" width="17.42578125" style="133" customWidth="1"/>
    <col min="1032" max="1032" width="15.85546875" style="133" customWidth="1"/>
    <col min="1033" max="1033" width="17" style="133" customWidth="1"/>
    <col min="1034" max="1034" width="19.7109375" style="133" customWidth="1"/>
    <col min="1035" max="1035" width="17.28515625" style="133" customWidth="1"/>
    <col min="1036" max="1036" width="18.140625" style="133" customWidth="1"/>
    <col min="1037" max="1037" width="21.7109375" style="133" customWidth="1"/>
    <col min="1038" max="1038" width="0.42578125" style="133" customWidth="1"/>
    <col min="1039" max="1039" width="16.140625" style="133" bestFit="1" customWidth="1"/>
    <col min="1040" max="1040" width="11.5703125" style="133" bestFit="1" customWidth="1"/>
    <col min="1041" max="1279" width="9.140625" style="133"/>
    <col min="1280" max="1280" width="33" style="133" customWidth="1"/>
    <col min="1281" max="1281" width="17.42578125" style="133" customWidth="1"/>
    <col min="1282" max="1282" width="17.140625" style="133" customWidth="1"/>
    <col min="1283" max="1283" width="16" style="133" customWidth="1"/>
    <col min="1284" max="1284" width="16.5703125" style="133" customWidth="1"/>
    <col min="1285" max="1285" width="16.28515625" style="133" customWidth="1"/>
    <col min="1286" max="1286" width="18.28515625" style="133" customWidth="1"/>
    <col min="1287" max="1287" width="17.42578125" style="133" customWidth="1"/>
    <col min="1288" max="1288" width="15.85546875" style="133" customWidth="1"/>
    <col min="1289" max="1289" width="17" style="133" customWidth="1"/>
    <col min="1290" max="1290" width="19.7109375" style="133" customWidth="1"/>
    <col min="1291" max="1291" width="17.28515625" style="133" customWidth="1"/>
    <col min="1292" max="1292" width="18.140625" style="133" customWidth="1"/>
    <col min="1293" max="1293" width="21.7109375" style="133" customWidth="1"/>
    <col min="1294" max="1294" width="0.42578125" style="133" customWidth="1"/>
    <col min="1295" max="1295" width="16.140625" style="133" bestFit="1" customWidth="1"/>
    <col min="1296" max="1296" width="11.5703125" style="133" bestFit="1" customWidth="1"/>
    <col min="1297" max="1535" width="9.140625" style="133"/>
    <col min="1536" max="1536" width="33" style="133" customWidth="1"/>
    <col min="1537" max="1537" width="17.42578125" style="133" customWidth="1"/>
    <col min="1538" max="1538" width="17.140625" style="133" customWidth="1"/>
    <col min="1539" max="1539" width="16" style="133" customWidth="1"/>
    <col min="1540" max="1540" width="16.5703125" style="133" customWidth="1"/>
    <col min="1541" max="1541" width="16.28515625" style="133" customWidth="1"/>
    <col min="1542" max="1542" width="18.28515625" style="133" customWidth="1"/>
    <col min="1543" max="1543" width="17.42578125" style="133" customWidth="1"/>
    <col min="1544" max="1544" width="15.85546875" style="133" customWidth="1"/>
    <col min="1545" max="1545" width="17" style="133" customWidth="1"/>
    <col min="1546" max="1546" width="19.7109375" style="133" customWidth="1"/>
    <col min="1547" max="1547" width="17.28515625" style="133" customWidth="1"/>
    <col min="1548" max="1548" width="18.140625" style="133" customWidth="1"/>
    <col min="1549" max="1549" width="21.7109375" style="133" customWidth="1"/>
    <col min="1550" max="1550" width="0.42578125" style="133" customWidth="1"/>
    <col min="1551" max="1551" width="16.140625" style="133" bestFit="1" customWidth="1"/>
    <col min="1552" max="1552" width="11.5703125" style="133" bestFit="1" customWidth="1"/>
    <col min="1553" max="1791" width="9.140625" style="133"/>
    <col min="1792" max="1792" width="33" style="133" customWidth="1"/>
    <col min="1793" max="1793" width="17.42578125" style="133" customWidth="1"/>
    <col min="1794" max="1794" width="17.140625" style="133" customWidth="1"/>
    <col min="1795" max="1795" width="16" style="133" customWidth="1"/>
    <col min="1796" max="1796" width="16.5703125" style="133" customWidth="1"/>
    <col min="1797" max="1797" width="16.28515625" style="133" customWidth="1"/>
    <col min="1798" max="1798" width="18.28515625" style="133" customWidth="1"/>
    <col min="1799" max="1799" width="17.42578125" style="133" customWidth="1"/>
    <col min="1800" max="1800" width="15.85546875" style="133" customWidth="1"/>
    <col min="1801" max="1801" width="17" style="133" customWidth="1"/>
    <col min="1802" max="1802" width="19.7109375" style="133" customWidth="1"/>
    <col min="1803" max="1803" width="17.28515625" style="133" customWidth="1"/>
    <col min="1804" max="1804" width="18.140625" style="133" customWidth="1"/>
    <col min="1805" max="1805" width="21.7109375" style="133" customWidth="1"/>
    <col min="1806" max="1806" width="0.42578125" style="133" customWidth="1"/>
    <col min="1807" max="1807" width="16.140625" style="133" bestFit="1" customWidth="1"/>
    <col min="1808" max="1808" width="11.5703125" style="133" bestFit="1" customWidth="1"/>
    <col min="1809" max="2047" width="9.140625" style="133"/>
    <col min="2048" max="2048" width="33" style="133" customWidth="1"/>
    <col min="2049" max="2049" width="17.42578125" style="133" customWidth="1"/>
    <col min="2050" max="2050" width="17.140625" style="133" customWidth="1"/>
    <col min="2051" max="2051" width="16" style="133" customWidth="1"/>
    <col min="2052" max="2052" width="16.5703125" style="133" customWidth="1"/>
    <col min="2053" max="2053" width="16.28515625" style="133" customWidth="1"/>
    <col min="2054" max="2054" width="18.28515625" style="133" customWidth="1"/>
    <col min="2055" max="2055" width="17.42578125" style="133" customWidth="1"/>
    <col min="2056" max="2056" width="15.85546875" style="133" customWidth="1"/>
    <col min="2057" max="2057" width="17" style="133" customWidth="1"/>
    <col min="2058" max="2058" width="19.7109375" style="133" customWidth="1"/>
    <col min="2059" max="2059" width="17.28515625" style="133" customWidth="1"/>
    <col min="2060" max="2060" width="18.140625" style="133" customWidth="1"/>
    <col min="2061" max="2061" width="21.7109375" style="133" customWidth="1"/>
    <col min="2062" max="2062" width="0.42578125" style="133" customWidth="1"/>
    <col min="2063" max="2063" width="16.140625" style="133" bestFit="1" customWidth="1"/>
    <col min="2064" max="2064" width="11.5703125" style="133" bestFit="1" customWidth="1"/>
    <col min="2065" max="2303" width="9.140625" style="133"/>
    <col min="2304" max="2304" width="33" style="133" customWidth="1"/>
    <col min="2305" max="2305" width="17.42578125" style="133" customWidth="1"/>
    <col min="2306" max="2306" width="17.140625" style="133" customWidth="1"/>
    <col min="2307" max="2307" width="16" style="133" customWidth="1"/>
    <col min="2308" max="2308" width="16.5703125" style="133" customWidth="1"/>
    <col min="2309" max="2309" width="16.28515625" style="133" customWidth="1"/>
    <col min="2310" max="2310" width="18.28515625" style="133" customWidth="1"/>
    <col min="2311" max="2311" width="17.42578125" style="133" customWidth="1"/>
    <col min="2312" max="2312" width="15.85546875" style="133" customWidth="1"/>
    <col min="2313" max="2313" width="17" style="133" customWidth="1"/>
    <col min="2314" max="2314" width="19.7109375" style="133" customWidth="1"/>
    <col min="2315" max="2315" width="17.28515625" style="133" customWidth="1"/>
    <col min="2316" max="2316" width="18.140625" style="133" customWidth="1"/>
    <col min="2317" max="2317" width="21.7109375" style="133" customWidth="1"/>
    <col min="2318" max="2318" width="0.42578125" style="133" customWidth="1"/>
    <col min="2319" max="2319" width="16.140625" style="133" bestFit="1" customWidth="1"/>
    <col min="2320" max="2320" width="11.5703125" style="133" bestFit="1" customWidth="1"/>
    <col min="2321" max="2559" width="9.140625" style="133"/>
    <col min="2560" max="2560" width="33" style="133" customWidth="1"/>
    <col min="2561" max="2561" width="17.42578125" style="133" customWidth="1"/>
    <col min="2562" max="2562" width="17.140625" style="133" customWidth="1"/>
    <col min="2563" max="2563" width="16" style="133" customWidth="1"/>
    <col min="2564" max="2564" width="16.5703125" style="133" customWidth="1"/>
    <col min="2565" max="2565" width="16.28515625" style="133" customWidth="1"/>
    <col min="2566" max="2566" width="18.28515625" style="133" customWidth="1"/>
    <col min="2567" max="2567" width="17.42578125" style="133" customWidth="1"/>
    <col min="2568" max="2568" width="15.85546875" style="133" customWidth="1"/>
    <col min="2569" max="2569" width="17" style="133" customWidth="1"/>
    <col min="2570" max="2570" width="19.7109375" style="133" customWidth="1"/>
    <col min="2571" max="2571" width="17.28515625" style="133" customWidth="1"/>
    <col min="2572" max="2572" width="18.140625" style="133" customWidth="1"/>
    <col min="2573" max="2573" width="21.7109375" style="133" customWidth="1"/>
    <col min="2574" max="2574" width="0.42578125" style="133" customWidth="1"/>
    <col min="2575" max="2575" width="16.140625" style="133" bestFit="1" customWidth="1"/>
    <col min="2576" max="2576" width="11.5703125" style="133" bestFit="1" customWidth="1"/>
    <col min="2577" max="2815" width="9.140625" style="133"/>
    <col min="2816" max="2816" width="33" style="133" customWidth="1"/>
    <col min="2817" max="2817" width="17.42578125" style="133" customWidth="1"/>
    <col min="2818" max="2818" width="17.140625" style="133" customWidth="1"/>
    <col min="2819" max="2819" width="16" style="133" customWidth="1"/>
    <col min="2820" max="2820" width="16.5703125" style="133" customWidth="1"/>
    <col min="2821" max="2821" width="16.28515625" style="133" customWidth="1"/>
    <col min="2822" max="2822" width="18.28515625" style="133" customWidth="1"/>
    <col min="2823" max="2823" width="17.42578125" style="133" customWidth="1"/>
    <col min="2824" max="2824" width="15.85546875" style="133" customWidth="1"/>
    <col min="2825" max="2825" width="17" style="133" customWidth="1"/>
    <col min="2826" max="2826" width="19.7109375" style="133" customWidth="1"/>
    <col min="2827" max="2827" width="17.28515625" style="133" customWidth="1"/>
    <col min="2828" max="2828" width="18.140625" style="133" customWidth="1"/>
    <col min="2829" max="2829" width="21.7109375" style="133" customWidth="1"/>
    <col min="2830" max="2830" width="0.42578125" style="133" customWidth="1"/>
    <col min="2831" max="2831" width="16.140625" style="133" bestFit="1" customWidth="1"/>
    <col min="2832" max="2832" width="11.5703125" style="133" bestFit="1" customWidth="1"/>
    <col min="2833" max="3071" width="9.140625" style="133"/>
    <col min="3072" max="3072" width="33" style="133" customWidth="1"/>
    <col min="3073" max="3073" width="17.42578125" style="133" customWidth="1"/>
    <col min="3074" max="3074" width="17.140625" style="133" customWidth="1"/>
    <col min="3075" max="3075" width="16" style="133" customWidth="1"/>
    <col min="3076" max="3076" width="16.5703125" style="133" customWidth="1"/>
    <col min="3077" max="3077" width="16.28515625" style="133" customWidth="1"/>
    <col min="3078" max="3078" width="18.28515625" style="133" customWidth="1"/>
    <col min="3079" max="3079" width="17.42578125" style="133" customWidth="1"/>
    <col min="3080" max="3080" width="15.85546875" style="133" customWidth="1"/>
    <col min="3081" max="3081" width="17" style="133" customWidth="1"/>
    <col min="3082" max="3082" width="19.7109375" style="133" customWidth="1"/>
    <col min="3083" max="3083" width="17.28515625" style="133" customWidth="1"/>
    <col min="3084" max="3084" width="18.140625" style="133" customWidth="1"/>
    <col min="3085" max="3085" width="21.7109375" style="133" customWidth="1"/>
    <col min="3086" max="3086" width="0.42578125" style="133" customWidth="1"/>
    <col min="3087" max="3087" width="16.140625" style="133" bestFit="1" customWidth="1"/>
    <col min="3088" max="3088" width="11.5703125" style="133" bestFit="1" customWidth="1"/>
    <col min="3089" max="3327" width="9.140625" style="133"/>
    <col min="3328" max="3328" width="33" style="133" customWidth="1"/>
    <col min="3329" max="3329" width="17.42578125" style="133" customWidth="1"/>
    <col min="3330" max="3330" width="17.140625" style="133" customWidth="1"/>
    <col min="3331" max="3331" width="16" style="133" customWidth="1"/>
    <col min="3332" max="3332" width="16.5703125" style="133" customWidth="1"/>
    <col min="3333" max="3333" width="16.28515625" style="133" customWidth="1"/>
    <col min="3334" max="3334" width="18.28515625" style="133" customWidth="1"/>
    <col min="3335" max="3335" width="17.42578125" style="133" customWidth="1"/>
    <col min="3336" max="3336" width="15.85546875" style="133" customWidth="1"/>
    <col min="3337" max="3337" width="17" style="133" customWidth="1"/>
    <col min="3338" max="3338" width="19.7109375" style="133" customWidth="1"/>
    <col min="3339" max="3339" width="17.28515625" style="133" customWidth="1"/>
    <col min="3340" max="3340" width="18.140625" style="133" customWidth="1"/>
    <col min="3341" max="3341" width="21.7109375" style="133" customWidth="1"/>
    <col min="3342" max="3342" width="0.42578125" style="133" customWidth="1"/>
    <col min="3343" max="3343" width="16.140625" style="133" bestFit="1" customWidth="1"/>
    <col min="3344" max="3344" width="11.5703125" style="133" bestFit="1" customWidth="1"/>
    <col min="3345" max="3583" width="9.140625" style="133"/>
    <col min="3584" max="3584" width="33" style="133" customWidth="1"/>
    <col min="3585" max="3585" width="17.42578125" style="133" customWidth="1"/>
    <col min="3586" max="3586" width="17.140625" style="133" customWidth="1"/>
    <col min="3587" max="3587" width="16" style="133" customWidth="1"/>
    <col min="3588" max="3588" width="16.5703125" style="133" customWidth="1"/>
    <col min="3589" max="3589" width="16.28515625" style="133" customWidth="1"/>
    <col min="3590" max="3590" width="18.28515625" style="133" customWidth="1"/>
    <col min="3591" max="3591" width="17.42578125" style="133" customWidth="1"/>
    <col min="3592" max="3592" width="15.85546875" style="133" customWidth="1"/>
    <col min="3593" max="3593" width="17" style="133" customWidth="1"/>
    <col min="3594" max="3594" width="19.7109375" style="133" customWidth="1"/>
    <col min="3595" max="3595" width="17.28515625" style="133" customWidth="1"/>
    <col min="3596" max="3596" width="18.140625" style="133" customWidth="1"/>
    <col min="3597" max="3597" width="21.7109375" style="133" customWidth="1"/>
    <col min="3598" max="3598" width="0.42578125" style="133" customWidth="1"/>
    <col min="3599" max="3599" width="16.140625" style="133" bestFit="1" customWidth="1"/>
    <col min="3600" max="3600" width="11.5703125" style="133" bestFit="1" customWidth="1"/>
    <col min="3601" max="3839" width="9.140625" style="133"/>
    <col min="3840" max="3840" width="33" style="133" customWidth="1"/>
    <col min="3841" max="3841" width="17.42578125" style="133" customWidth="1"/>
    <col min="3842" max="3842" width="17.140625" style="133" customWidth="1"/>
    <col min="3843" max="3843" width="16" style="133" customWidth="1"/>
    <col min="3844" max="3844" width="16.5703125" style="133" customWidth="1"/>
    <col min="3845" max="3845" width="16.28515625" style="133" customWidth="1"/>
    <col min="3846" max="3846" width="18.28515625" style="133" customWidth="1"/>
    <col min="3847" max="3847" width="17.42578125" style="133" customWidth="1"/>
    <col min="3848" max="3848" width="15.85546875" style="133" customWidth="1"/>
    <col min="3849" max="3849" width="17" style="133" customWidth="1"/>
    <col min="3850" max="3850" width="19.7109375" style="133" customWidth="1"/>
    <col min="3851" max="3851" width="17.28515625" style="133" customWidth="1"/>
    <col min="3852" max="3852" width="18.140625" style="133" customWidth="1"/>
    <col min="3853" max="3853" width="21.7109375" style="133" customWidth="1"/>
    <col min="3854" max="3854" width="0.42578125" style="133" customWidth="1"/>
    <col min="3855" max="3855" width="16.140625" style="133" bestFit="1" customWidth="1"/>
    <col min="3856" max="3856" width="11.5703125" style="133" bestFit="1" customWidth="1"/>
    <col min="3857" max="4095" width="9.140625" style="133"/>
    <col min="4096" max="4096" width="33" style="133" customWidth="1"/>
    <col min="4097" max="4097" width="17.42578125" style="133" customWidth="1"/>
    <col min="4098" max="4098" width="17.140625" style="133" customWidth="1"/>
    <col min="4099" max="4099" width="16" style="133" customWidth="1"/>
    <col min="4100" max="4100" width="16.5703125" style="133" customWidth="1"/>
    <col min="4101" max="4101" width="16.28515625" style="133" customWidth="1"/>
    <col min="4102" max="4102" width="18.28515625" style="133" customWidth="1"/>
    <col min="4103" max="4103" width="17.42578125" style="133" customWidth="1"/>
    <col min="4104" max="4104" width="15.85546875" style="133" customWidth="1"/>
    <col min="4105" max="4105" width="17" style="133" customWidth="1"/>
    <col min="4106" max="4106" width="19.7109375" style="133" customWidth="1"/>
    <col min="4107" max="4107" width="17.28515625" style="133" customWidth="1"/>
    <col min="4108" max="4108" width="18.140625" style="133" customWidth="1"/>
    <col min="4109" max="4109" width="21.7109375" style="133" customWidth="1"/>
    <col min="4110" max="4110" width="0.42578125" style="133" customWidth="1"/>
    <col min="4111" max="4111" width="16.140625" style="133" bestFit="1" customWidth="1"/>
    <col min="4112" max="4112" width="11.5703125" style="133" bestFit="1" customWidth="1"/>
    <col min="4113" max="4351" width="9.140625" style="133"/>
    <col min="4352" max="4352" width="33" style="133" customWidth="1"/>
    <col min="4353" max="4353" width="17.42578125" style="133" customWidth="1"/>
    <col min="4354" max="4354" width="17.140625" style="133" customWidth="1"/>
    <col min="4355" max="4355" width="16" style="133" customWidth="1"/>
    <col min="4356" max="4356" width="16.5703125" style="133" customWidth="1"/>
    <col min="4357" max="4357" width="16.28515625" style="133" customWidth="1"/>
    <col min="4358" max="4358" width="18.28515625" style="133" customWidth="1"/>
    <col min="4359" max="4359" width="17.42578125" style="133" customWidth="1"/>
    <col min="4360" max="4360" width="15.85546875" style="133" customWidth="1"/>
    <col min="4361" max="4361" width="17" style="133" customWidth="1"/>
    <col min="4362" max="4362" width="19.7109375" style="133" customWidth="1"/>
    <col min="4363" max="4363" width="17.28515625" style="133" customWidth="1"/>
    <col min="4364" max="4364" width="18.140625" style="133" customWidth="1"/>
    <col min="4365" max="4365" width="21.7109375" style="133" customWidth="1"/>
    <col min="4366" max="4366" width="0.42578125" style="133" customWidth="1"/>
    <col min="4367" max="4367" width="16.140625" style="133" bestFit="1" customWidth="1"/>
    <col min="4368" max="4368" width="11.5703125" style="133" bestFit="1" customWidth="1"/>
    <col min="4369" max="4607" width="9.140625" style="133"/>
    <col min="4608" max="4608" width="33" style="133" customWidth="1"/>
    <col min="4609" max="4609" width="17.42578125" style="133" customWidth="1"/>
    <col min="4610" max="4610" width="17.140625" style="133" customWidth="1"/>
    <col min="4611" max="4611" width="16" style="133" customWidth="1"/>
    <col min="4612" max="4612" width="16.5703125" style="133" customWidth="1"/>
    <col min="4613" max="4613" width="16.28515625" style="133" customWidth="1"/>
    <col min="4614" max="4614" width="18.28515625" style="133" customWidth="1"/>
    <col min="4615" max="4615" width="17.42578125" style="133" customWidth="1"/>
    <col min="4616" max="4616" width="15.85546875" style="133" customWidth="1"/>
    <col min="4617" max="4617" width="17" style="133" customWidth="1"/>
    <col min="4618" max="4618" width="19.7109375" style="133" customWidth="1"/>
    <col min="4619" max="4619" width="17.28515625" style="133" customWidth="1"/>
    <col min="4620" max="4620" width="18.140625" style="133" customWidth="1"/>
    <col min="4621" max="4621" width="21.7109375" style="133" customWidth="1"/>
    <col min="4622" max="4622" width="0.42578125" style="133" customWidth="1"/>
    <col min="4623" max="4623" width="16.140625" style="133" bestFit="1" customWidth="1"/>
    <col min="4624" max="4624" width="11.5703125" style="133" bestFit="1" customWidth="1"/>
    <col min="4625" max="4863" width="9.140625" style="133"/>
    <col min="4864" max="4864" width="33" style="133" customWidth="1"/>
    <col min="4865" max="4865" width="17.42578125" style="133" customWidth="1"/>
    <col min="4866" max="4866" width="17.140625" style="133" customWidth="1"/>
    <col min="4867" max="4867" width="16" style="133" customWidth="1"/>
    <col min="4868" max="4868" width="16.5703125" style="133" customWidth="1"/>
    <col min="4869" max="4869" width="16.28515625" style="133" customWidth="1"/>
    <col min="4870" max="4870" width="18.28515625" style="133" customWidth="1"/>
    <col min="4871" max="4871" width="17.42578125" style="133" customWidth="1"/>
    <col min="4872" max="4872" width="15.85546875" style="133" customWidth="1"/>
    <col min="4873" max="4873" width="17" style="133" customWidth="1"/>
    <col min="4874" max="4874" width="19.7109375" style="133" customWidth="1"/>
    <col min="4875" max="4875" width="17.28515625" style="133" customWidth="1"/>
    <col min="4876" max="4876" width="18.140625" style="133" customWidth="1"/>
    <col min="4877" max="4877" width="21.7109375" style="133" customWidth="1"/>
    <col min="4878" max="4878" width="0.42578125" style="133" customWidth="1"/>
    <col min="4879" max="4879" width="16.140625" style="133" bestFit="1" customWidth="1"/>
    <col min="4880" max="4880" width="11.5703125" style="133" bestFit="1" customWidth="1"/>
    <col min="4881" max="5119" width="9.140625" style="133"/>
    <col min="5120" max="5120" width="33" style="133" customWidth="1"/>
    <col min="5121" max="5121" width="17.42578125" style="133" customWidth="1"/>
    <col min="5122" max="5122" width="17.140625" style="133" customWidth="1"/>
    <col min="5123" max="5123" width="16" style="133" customWidth="1"/>
    <col min="5124" max="5124" width="16.5703125" style="133" customWidth="1"/>
    <col min="5125" max="5125" width="16.28515625" style="133" customWidth="1"/>
    <col min="5126" max="5126" width="18.28515625" style="133" customWidth="1"/>
    <col min="5127" max="5127" width="17.42578125" style="133" customWidth="1"/>
    <col min="5128" max="5128" width="15.85546875" style="133" customWidth="1"/>
    <col min="5129" max="5129" width="17" style="133" customWidth="1"/>
    <col min="5130" max="5130" width="19.7109375" style="133" customWidth="1"/>
    <col min="5131" max="5131" width="17.28515625" style="133" customWidth="1"/>
    <col min="5132" max="5132" width="18.140625" style="133" customWidth="1"/>
    <col min="5133" max="5133" width="21.7109375" style="133" customWidth="1"/>
    <col min="5134" max="5134" width="0.42578125" style="133" customWidth="1"/>
    <col min="5135" max="5135" width="16.140625" style="133" bestFit="1" customWidth="1"/>
    <col min="5136" max="5136" width="11.5703125" style="133" bestFit="1" customWidth="1"/>
    <col min="5137" max="5375" width="9.140625" style="133"/>
    <col min="5376" max="5376" width="33" style="133" customWidth="1"/>
    <col min="5377" max="5377" width="17.42578125" style="133" customWidth="1"/>
    <col min="5378" max="5378" width="17.140625" style="133" customWidth="1"/>
    <col min="5379" max="5379" width="16" style="133" customWidth="1"/>
    <col min="5380" max="5380" width="16.5703125" style="133" customWidth="1"/>
    <col min="5381" max="5381" width="16.28515625" style="133" customWidth="1"/>
    <col min="5382" max="5382" width="18.28515625" style="133" customWidth="1"/>
    <col min="5383" max="5383" width="17.42578125" style="133" customWidth="1"/>
    <col min="5384" max="5384" width="15.85546875" style="133" customWidth="1"/>
    <col min="5385" max="5385" width="17" style="133" customWidth="1"/>
    <col min="5386" max="5386" width="19.7109375" style="133" customWidth="1"/>
    <col min="5387" max="5387" width="17.28515625" style="133" customWidth="1"/>
    <col min="5388" max="5388" width="18.140625" style="133" customWidth="1"/>
    <col min="5389" max="5389" width="21.7109375" style="133" customWidth="1"/>
    <col min="5390" max="5390" width="0.42578125" style="133" customWidth="1"/>
    <col min="5391" max="5391" width="16.140625" style="133" bestFit="1" customWidth="1"/>
    <col min="5392" max="5392" width="11.5703125" style="133" bestFit="1" customWidth="1"/>
    <col min="5393" max="5631" width="9.140625" style="133"/>
    <col min="5632" max="5632" width="33" style="133" customWidth="1"/>
    <col min="5633" max="5633" width="17.42578125" style="133" customWidth="1"/>
    <col min="5634" max="5634" width="17.140625" style="133" customWidth="1"/>
    <col min="5635" max="5635" width="16" style="133" customWidth="1"/>
    <col min="5636" max="5636" width="16.5703125" style="133" customWidth="1"/>
    <col min="5637" max="5637" width="16.28515625" style="133" customWidth="1"/>
    <col min="5638" max="5638" width="18.28515625" style="133" customWidth="1"/>
    <col min="5639" max="5639" width="17.42578125" style="133" customWidth="1"/>
    <col min="5640" max="5640" width="15.85546875" style="133" customWidth="1"/>
    <col min="5641" max="5641" width="17" style="133" customWidth="1"/>
    <col min="5642" max="5642" width="19.7109375" style="133" customWidth="1"/>
    <col min="5643" max="5643" width="17.28515625" style="133" customWidth="1"/>
    <col min="5644" max="5644" width="18.140625" style="133" customWidth="1"/>
    <col min="5645" max="5645" width="21.7109375" style="133" customWidth="1"/>
    <col min="5646" max="5646" width="0.42578125" style="133" customWidth="1"/>
    <col min="5647" max="5647" width="16.140625" style="133" bestFit="1" customWidth="1"/>
    <col min="5648" max="5648" width="11.5703125" style="133" bestFit="1" customWidth="1"/>
    <col min="5649" max="5887" width="9.140625" style="133"/>
    <col min="5888" max="5888" width="33" style="133" customWidth="1"/>
    <col min="5889" max="5889" width="17.42578125" style="133" customWidth="1"/>
    <col min="5890" max="5890" width="17.140625" style="133" customWidth="1"/>
    <col min="5891" max="5891" width="16" style="133" customWidth="1"/>
    <col min="5892" max="5892" width="16.5703125" style="133" customWidth="1"/>
    <col min="5893" max="5893" width="16.28515625" style="133" customWidth="1"/>
    <col min="5894" max="5894" width="18.28515625" style="133" customWidth="1"/>
    <col min="5895" max="5895" width="17.42578125" style="133" customWidth="1"/>
    <col min="5896" max="5896" width="15.85546875" style="133" customWidth="1"/>
    <col min="5897" max="5897" width="17" style="133" customWidth="1"/>
    <col min="5898" max="5898" width="19.7109375" style="133" customWidth="1"/>
    <col min="5899" max="5899" width="17.28515625" style="133" customWidth="1"/>
    <col min="5900" max="5900" width="18.140625" style="133" customWidth="1"/>
    <col min="5901" max="5901" width="21.7109375" style="133" customWidth="1"/>
    <col min="5902" max="5902" width="0.42578125" style="133" customWidth="1"/>
    <col min="5903" max="5903" width="16.140625" style="133" bestFit="1" customWidth="1"/>
    <col min="5904" max="5904" width="11.5703125" style="133" bestFit="1" customWidth="1"/>
    <col min="5905" max="6143" width="9.140625" style="133"/>
    <col min="6144" max="6144" width="33" style="133" customWidth="1"/>
    <col min="6145" max="6145" width="17.42578125" style="133" customWidth="1"/>
    <col min="6146" max="6146" width="17.140625" style="133" customWidth="1"/>
    <col min="6147" max="6147" width="16" style="133" customWidth="1"/>
    <col min="6148" max="6148" width="16.5703125" style="133" customWidth="1"/>
    <col min="6149" max="6149" width="16.28515625" style="133" customWidth="1"/>
    <col min="6150" max="6150" width="18.28515625" style="133" customWidth="1"/>
    <col min="6151" max="6151" width="17.42578125" style="133" customWidth="1"/>
    <col min="6152" max="6152" width="15.85546875" style="133" customWidth="1"/>
    <col min="6153" max="6153" width="17" style="133" customWidth="1"/>
    <col min="6154" max="6154" width="19.7109375" style="133" customWidth="1"/>
    <col min="6155" max="6155" width="17.28515625" style="133" customWidth="1"/>
    <col min="6156" max="6156" width="18.140625" style="133" customWidth="1"/>
    <col min="6157" max="6157" width="21.7109375" style="133" customWidth="1"/>
    <col min="6158" max="6158" width="0.42578125" style="133" customWidth="1"/>
    <col min="6159" max="6159" width="16.140625" style="133" bestFit="1" customWidth="1"/>
    <col min="6160" max="6160" width="11.5703125" style="133" bestFit="1" customWidth="1"/>
    <col min="6161" max="6399" width="9.140625" style="133"/>
    <col min="6400" max="6400" width="33" style="133" customWidth="1"/>
    <col min="6401" max="6401" width="17.42578125" style="133" customWidth="1"/>
    <col min="6402" max="6402" width="17.140625" style="133" customWidth="1"/>
    <col min="6403" max="6403" width="16" style="133" customWidth="1"/>
    <col min="6404" max="6404" width="16.5703125" style="133" customWidth="1"/>
    <col min="6405" max="6405" width="16.28515625" style="133" customWidth="1"/>
    <col min="6406" max="6406" width="18.28515625" style="133" customWidth="1"/>
    <col min="6407" max="6407" width="17.42578125" style="133" customWidth="1"/>
    <col min="6408" max="6408" width="15.85546875" style="133" customWidth="1"/>
    <col min="6409" max="6409" width="17" style="133" customWidth="1"/>
    <col min="6410" max="6410" width="19.7109375" style="133" customWidth="1"/>
    <col min="6411" max="6411" width="17.28515625" style="133" customWidth="1"/>
    <col min="6412" max="6412" width="18.140625" style="133" customWidth="1"/>
    <col min="6413" max="6413" width="21.7109375" style="133" customWidth="1"/>
    <col min="6414" max="6414" width="0.42578125" style="133" customWidth="1"/>
    <col min="6415" max="6415" width="16.140625" style="133" bestFit="1" customWidth="1"/>
    <col min="6416" max="6416" width="11.5703125" style="133" bestFit="1" customWidth="1"/>
    <col min="6417" max="6655" width="9.140625" style="133"/>
    <col min="6656" max="6656" width="33" style="133" customWidth="1"/>
    <col min="6657" max="6657" width="17.42578125" style="133" customWidth="1"/>
    <col min="6658" max="6658" width="17.140625" style="133" customWidth="1"/>
    <col min="6659" max="6659" width="16" style="133" customWidth="1"/>
    <col min="6660" max="6660" width="16.5703125" style="133" customWidth="1"/>
    <col min="6661" max="6661" width="16.28515625" style="133" customWidth="1"/>
    <col min="6662" max="6662" width="18.28515625" style="133" customWidth="1"/>
    <col min="6663" max="6663" width="17.42578125" style="133" customWidth="1"/>
    <col min="6664" max="6664" width="15.85546875" style="133" customWidth="1"/>
    <col min="6665" max="6665" width="17" style="133" customWidth="1"/>
    <col min="6666" max="6666" width="19.7109375" style="133" customWidth="1"/>
    <col min="6667" max="6667" width="17.28515625" style="133" customWidth="1"/>
    <col min="6668" max="6668" width="18.140625" style="133" customWidth="1"/>
    <col min="6669" max="6669" width="21.7109375" style="133" customWidth="1"/>
    <col min="6670" max="6670" width="0.42578125" style="133" customWidth="1"/>
    <col min="6671" max="6671" width="16.140625" style="133" bestFit="1" customWidth="1"/>
    <col min="6672" max="6672" width="11.5703125" style="133" bestFit="1" customWidth="1"/>
    <col min="6673" max="6911" width="9.140625" style="133"/>
    <col min="6912" max="6912" width="33" style="133" customWidth="1"/>
    <col min="6913" max="6913" width="17.42578125" style="133" customWidth="1"/>
    <col min="6914" max="6914" width="17.140625" style="133" customWidth="1"/>
    <col min="6915" max="6915" width="16" style="133" customWidth="1"/>
    <col min="6916" max="6916" width="16.5703125" style="133" customWidth="1"/>
    <col min="6917" max="6917" width="16.28515625" style="133" customWidth="1"/>
    <col min="6918" max="6918" width="18.28515625" style="133" customWidth="1"/>
    <col min="6919" max="6919" width="17.42578125" style="133" customWidth="1"/>
    <col min="6920" max="6920" width="15.85546875" style="133" customWidth="1"/>
    <col min="6921" max="6921" width="17" style="133" customWidth="1"/>
    <col min="6922" max="6922" width="19.7109375" style="133" customWidth="1"/>
    <col min="6923" max="6923" width="17.28515625" style="133" customWidth="1"/>
    <col min="6924" max="6924" width="18.140625" style="133" customWidth="1"/>
    <col min="6925" max="6925" width="21.7109375" style="133" customWidth="1"/>
    <col min="6926" max="6926" width="0.42578125" style="133" customWidth="1"/>
    <col min="6927" max="6927" width="16.140625" style="133" bestFit="1" customWidth="1"/>
    <col min="6928" max="6928" width="11.5703125" style="133" bestFit="1" customWidth="1"/>
    <col min="6929" max="7167" width="9.140625" style="133"/>
    <col min="7168" max="7168" width="33" style="133" customWidth="1"/>
    <col min="7169" max="7169" width="17.42578125" style="133" customWidth="1"/>
    <col min="7170" max="7170" width="17.140625" style="133" customWidth="1"/>
    <col min="7171" max="7171" width="16" style="133" customWidth="1"/>
    <col min="7172" max="7172" width="16.5703125" style="133" customWidth="1"/>
    <col min="7173" max="7173" width="16.28515625" style="133" customWidth="1"/>
    <col min="7174" max="7174" width="18.28515625" style="133" customWidth="1"/>
    <col min="7175" max="7175" width="17.42578125" style="133" customWidth="1"/>
    <col min="7176" max="7176" width="15.85546875" style="133" customWidth="1"/>
    <col min="7177" max="7177" width="17" style="133" customWidth="1"/>
    <col min="7178" max="7178" width="19.7109375" style="133" customWidth="1"/>
    <col min="7179" max="7179" width="17.28515625" style="133" customWidth="1"/>
    <col min="7180" max="7180" width="18.140625" style="133" customWidth="1"/>
    <col min="7181" max="7181" width="21.7109375" style="133" customWidth="1"/>
    <col min="7182" max="7182" width="0.42578125" style="133" customWidth="1"/>
    <col min="7183" max="7183" width="16.140625" style="133" bestFit="1" customWidth="1"/>
    <col min="7184" max="7184" width="11.5703125" style="133" bestFit="1" customWidth="1"/>
    <col min="7185" max="7423" width="9.140625" style="133"/>
    <col min="7424" max="7424" width="33" style="133" customWidth="1"/>
    <col min="7425" max="7425" width="17.42578125" style="133" customWidth="1"/>
    <col min="7426" max="7426" width="17.140625" style="133" customWidth="1"/>
    <col min="7427" max="7427" width="16" style="133" customWidth="1"/>
    <col min="7428" max="7428" width="16.5703125" style="133" customWidth="1"/>
    <col min="7429" max="7429" width="16.28515625" style="133" customWidth="1"/>
    <col min="7430" max="7430" width="18.28515625" style="133" customWidth="1"/>
    <col min="7431" max="7431" width="17.42578125" style="133" customWidth="1"/>
    <col min="7432" max="7432" width="15.85546875" style="133" customWidth="1"/>
    <col min="7433" max="7433" width="17" style="133" customWidth="1"/>
    <col min="7434" max="7434" width="19.7109375" style="133" customWidth="1"/>
    <col min="7435" max="7435" width="17.28515625" style="133" customWidth="1"/>
    <col min="7436" max="7436" width="18.140625" style="133" customWidth="1"/>
    <col min="7437" max="7437" width="21.7109375" style="133" customWidth="1"/>
    <col min="7438" max="7438" width="0.42578125" style="133" customWidth="1"/>
    <col min="7439" max="7439" width="16.140625" style="133" bestFit="1" customWidth="1"/>
    <col min="7440" max="7440" width="11.5703125" style="133" bestFit="1" customWidth="1"/>
    <col min="7441" max="7679" width="9.140625" style="133"/>
    <col min="7680" max="7680" width="33" style="133" customWidth="1"/>
    <col min="7681" max="7681" width="17.42578125" style="133" customWidth="1"/>
    <col min="7682" max="7682" width="17.140625" style="133" customWidth="1"/>
    <col min="7683" max="7683" width="16" style="133" customWidth="1"/>
    <col min="7684" max="7684" width="16.5703125" style="133" customWidth="1"/>
    <col min="7685" max="7685" width="16.28515625" style="133" customWidth="1"/>
    <col min="7686" max="7686" width="18.28515625" style="133" customWidth="1"/>
    <col min="7687" max="7687" width="17.42578125" style="133" customWidth="1"/>
    <col min="7688" max="7688" width="15.85546875" style="133" customWidth="1"/>
    <col min="7689" max="7689" width="17" style="133" customWidth="1"/>
    <col min="7690" max="7690" width="19.7109375" style="133" customWidth="1"/>
    <col min="7691" max="7691" width="17.28515625" style="133" customWidth="1"/>
    <col min="7692" max="7692" width="18.140625" style="133" customWidth="1"/>
    <col min="7693" max="7693" width="21.7109375" style="133" customWidth="1"/>
    <col min="7694" max="7694" width="0.42578125" style="133" customWidth="1"/>
    <col min="7695" max="7695" width="16.140625" style="133" bestFit="1" customWidth="1"/>
    <col min="7696" max="7696" width="11.5703125" style="133" bestFit="1" customWidth="1"/>
    <col min="7697" max="7935" width="9.140625" style="133"/>
    <col min="7936" max="7936" width="33" style="133" customWidth="1"/>
    <col min="7937" max="7937" width="17.42578125" style="133" customWidth="1"/>
    <col min="7938" max="7938" width="17.140625" style="133" customWidth="1"/>
    <col min="7939" max="7939" width="16" style="133" customWidth="1"/>
    <col min="7940" max="7940" width="16.5703125" style="133" customWidth="1"/>
    <col min="7941" max="7941" width="16.28515625" style="133" customWidth="1"/>
    <col min="7942" max="7942" width="18.28515625" style="133" customWidth="1"/>
    <col min="7943" max="7943" width="17.42578125" style="133" customWidth="1"/>
    <col min="7944" max="7944" width="15.85546875" style="133" customWidth="1"/>
    <col min="7945" max="7945" width="17" style="133" customWidth="1"/>
    <col min="7946" max="7946" width="19.7109375" style="133" customWidth="1"/>
    <col min="7947" max="7947" width="17.28515625" style="133" customWidth="1"/>
    <col min="7948" max="7948" width="18.140625" style="133" customWidth="1"/>
    <col min="7949" max="7949" width="21.7109375" style="133" customWidth="1"/>
    <col min="7950" max="7950" width="0.42578125" style="133" customWidth="1"/>
    <col min="7951" max="7951" width="16.140625" style="133" bestFit="1" customWidth="1"/>
    <col min="7952" max="7952" width="11.5703125" style="133" bestFit="1" customWidth="1"/>
    <col min="7953" max="8191" width="9.140625" style="133"/>
    <col min="8192" max="8192" width="33" style="133" customWidth="1"/>
    <col min="8193" max="8193" width="17.42578125" style="133" customWidth="1"/>
    <col min="8194" max="8194" width="17.140625" style="133" customWidth="1"/>
    <col min="8195" max="8195" width="16" style="133" customWidth="1"/>
    <col min="8196" max="8196" width="16.5703125" style="133" customWidth="1"/>
    <col min="8197" max="8197" width="16.28515625" style="133" customWidth="1"/>
    <col min="8198" max="8198" width="18.28515625" style="133" customWidth="1"/>
    <col min="8199" max="8199" width="17.42578125" style="133" customWidth="1"/>
    <col min="8200" max="8200" width="15.85546875" style="133" customWidth="1"/>
    <col min="8201" max="8201" width="17" style="133" customWidth="1"/>
    <col min="8202" max="8202" width="19.7109375" style="133" customWidth="1"/>
    <col min="8203" max="8203" width="17.28515625" style="133" customWidth="1"/>
    <col min="8204" max="8204" width="18.140625" style="133" customWidth="1"/>
    <col min="8205" max="8205" width="21.7109375" style="133" customWidth="1"/>
    <col min="8206" max="8206" width="0.42578125" style="133" customWidth="1"/>
    <col min="8207" max="8207" width="16.140625" style="133" bestFit="1" customWidth="1"/>
    <col min="8208" max="8208" width="11.5703125" style="133" bestFit="1" customWidth="1"/>
    <col min="8209" max="8447" width="9.140625" style="133"/>
    <col min="8448" max="8448" width="33" style="133" customWidth="1"/>
    <col min="8449" max="8449" width="17.42578125" style="133" customWidth="1"/>
    <col min="8450" max="8450" width="17.140625" style="133" customWidth="1"/>
    <col min="8451" max="8451" width="16" style="133" customWidth="1"/>
    <col min="8452" max="8452" width="16.5703125" style="133" customWidth="1"/>
    <col min="8453" max="8453" width="16.28515625" style="133" customWidth="1"/>
    <col min="8454" max="8454" width="18.28515625" style="133" customWidth="1"/>
    <col min="8455" max="8455" width="17.42578125" style="133" customWidth="1"/>
    <col min="8456" max="8456" width="15.85546875" style="133" customWidth="1"/>
    <col min="8457" max="8457" width="17" style="133" customWidth="1"/>
    <col min="8458" max="8458" width="19.7109375" style="133" customWidth="1"/>
    <col min="8459" max="8459" width="17.28515625" style="133" customWidth="1"/>
    <col min="8460" max="8460" width="18.140625" style="133" customWidth="1"/>
    <col min="8461" max="8461" width="21.7109375" style="133" customWidth="1"/>
    <col min="8462" max="8462" width="0.42578125" style="133" customWidth="1"/>
    <col min="8463" max="8463" width="16.140625" style="133" bestFit="1" customWidth="1"/>
    <col min="8464" max="8464" width="11.5703125" style="133" bestFit="1" customWidth="1"/>
    <col min="8465" max="8703" width="9.140625" style="133"/>
    <col min="8704" max="8704" width="33" style="133" customWidth="1"/>
    <col min="8705" max="8705" width="17.42578125" style="133" customWidth="1"/>
    <col min="8706" max="8706" width="17.140625" style="133" customWidth="1"/>
    <col min="8707" max="8707" width="16" style="133" customWidth="1"/>
    <col min="8708" max="8708" width="16.5703125" style="133" customWidth="1"/>
    <col min="8709" max="8709" width="16.28515625" style="133" customWidth="1"/>
    <col min="8710" max="8710" width="18.28515625" style="133" customWidth="1"/>
    <col min="8711" max="8711" width="17.42578125" style="133" customWidth="1"/>
    <col min="8712" max="8712" width="15.85546875" style="133" customWidth="1"/>
    <col min="8713" max="8713" width="17" style="133" customWidth="1"/>
    <col min="8714" max="8714" width="19.7109375" style="133" customWidth="1"/>
    <col min="8715" max="8715" width="17.28515625" style="133" customWidth="1"/>
    <col min="8716" max="8716" width="18.140625" style="133" customWidth="1"/>
    <col min="8717" max="8717" width="21.7109375" style="133" customWidth="1"/>
    <col min="8718" max="8718" width="0.42578125" style="133" customWidth="1"/>
    <col min="8719" max="8719" width="16.140625" style="133" bestFit="1" customWidth="1"/>
    <col min="8720" max="8720" width="11.5703125" style="133" bestFit="1" customWidth="1"/>
    <col min="8721" max="8959" width="9.140625" style="133"/>
    <col min="8960" max="8960" width="33" style="133" customWidth="1"/>
    <col min="8961" max="8961" width="17.42578125" style="133" customWidth="1"/>
    <col min="8962" max="8962" width="17.140625" style="133" customWidth="1"/>
    <col min="8963" max="8963" width="16" style="133" customWidth="1"/>
    <col min="8964" max="8964" width="16.5703125" style="133" customWidth="1"/>
    <col min="8965" max="8965" width="16.28515625" style="133" customWidth="1"/>
    <col min="8966" max="8966" width="18.28515625" style="133" customWidth="1"/>
    <col min="8967" max="8967" width="17.42578125" style="133" customWidth="1"/>
    <col min="8968" max="8968" width="15.85546875" style="133" customWidth="1"/>
    <col min="8969" max="8969" width="17" style="133" customWidth="1"/>
    <col min="8970" max="8970" width="19.7109375" style="133" customWidth="1"/>
    <col min="8971" max="8971" width="17.28515625" style="133" customWidth="1"/>
    <col min="8972" max="8972" width="18.140625" style="133" customWidth="1"/>
    <col min="8973" max="8973" width="21.7109375" style="133" customWidth="1"/>
    <col min="8974" max="8974" width="0.42578125" style="133" customWidth="1"/>
    <col min="8975" max="8975" width="16.140625" style="133" bestFit="1" customWidth="1"/>
    <col min="8976" max="8976" width="11.5703125" style="133" bestFit="1" customWidth="1"/>
    <col min="8977" max="9215" width="9.140625" style="133"/>
    <col min="9216" max="9216" width="33" style="133" customWidth="1"/>
    <col min="9217" max="9217" width="17.42578125" style="133" customWidth="1"/>
    <col min="9218" max="9218" width="17.140625" style="133" customWidth="1"/>
    <col min="9219" max="9219" width="16" style="133" customWidth="1"/>
    <col min="9220" max="9220" width="16.5703125" style="133" customWidth="1"/>
    <col min="9221" max="9221" width="16.28515625" style="133" customWidth="1"/>
    <col min="9222" max="9222" width="18.28515625" style="133" customWidth="1"/>
    <col min="9223" max="9223" width="17.42578125" style="133" customWidth="1"/>
    <col min="9224" max="9224" width="15.85546875" style="133" customWidth="1"/>
    <col min="9225" max="9225" width="17" style="133" customWidth="1"/>
    <col min="9226" max="9226" width="19.7109375" style="133" customWidth="1"/>
    <col min="9227" max="9227" width="17.28515625" style="133" customWidth="1"/>
    <col min="9228" max="9228" width="18.140625" style="133" customWidth="1"/>
    <col min="9229" max="9229" width="21.7109375" style="133" customWidth="1"/>
    <col min="9230" max="9230" width="0.42578125" style="133" customWidth="1"/>
    <col min="9231" max="9231" width="16.140625" style="133" bestFit="1" customWidth="1"/>
    <col min="9232" max="9232" width="11.5703125" style="133" bestFit="1" customWidth="1"/>
    <col min="9233" max="9471" width="9.140625" style="133"/>
    <col min="9472" max="9472" width="33" style="133" customWidth="1"/>
    <col min="9473" max="9473" width="17.42578125" style="133" customWidth="1"/>
    <col min="9474" max="9474" width="17.140625" style="133" customWidth="1"/>
    <col min="9475" max="9475" width="16" style="133" customWidth="1"/>
    <col min="9476" max="9476" width="16.5703125" style="133" customWidth="1"/>
    <col min="9477" max="9477" width="16.28515625" style="133" customWidth="1"/>
    <col min="9478" max="9478" width="18.28515625" style="133" customWidth="1"/>
    <col min="9479" max="9479" width="17.42578125" style="133" customWidth="1"/>
    <col min="9480" max="9480" width="15.85546875" style="133" customWidth="1"/>
    <col min="9481" max="9481" width="17" style="133" customWidth="1"/>
    <col min="9482" max="9482" width="19.7109375" style="133" customWidth="1"/>
    <col min="9483" max="9483" width="17.28515625" style="133" customWidth="1"/>
    <col min="9484" max="9484" width="18.140625" style="133" customWidth="1"/>
    <col min="9485" max="9485" width="21.7109375" style="133" customWidth="1"/>
    <col min="9486" max="9486" width="0.42578125" style="133" customWidth="1"/>
    <col min="9487" max="9487" width="16.140625" style="133" bestFit="1" customWidth="1"/>
    <col min="9488" max="9488" width="11.5703125" style="133" bestFit="1" customWidth="1"/>
    <col min="9489" max="9727" width="9.140625" style="133"/>
    <col min="9728" max="9728" width="33" style="133" customWidth="1"/>
    <col min="9729" max="9729" width="17.42578125" style="133" customWidth="1"/>
    <col min="9730" max="9730" width="17.140625" style="133" customWidth="1"/>
    <col min="9731" max="9731" width="16" style="133" customWidth="1"/>
    <col min="9732" max="9732" width="16.5703125" style="133" customWidth="1"/>
    <col min="9733" max="9733" width="16.28515625" style="133" customWidth="1"/>
    <col min="9734" max="9734" width="18.28515625" style="133" customWidth="1"/>
    <col min="9735" max="9735" width="17.42578125" style="133" customWidth="1"/>
    <col min="9736" max="9736" width="15.85546875" style="133" customWidth="1"/>
    <col min="9737" max="9737" width="17" style="133" customWidth="1"/>
    <col min="9738" max="9738" width="19.7109375" style="133" customWidth="1"/>
    <col min="9739" max="9739" width="17.28515625" style="133" customWidth="1"/>
    <col min="9740" max="9740" width="18.140625" style="133" customWidth="1"/>
    <col min="9741" max="9741" width="21.7109375" style="133" customWidth="1"/>
    <col min="9742" max="9742" width="0.42578125" style="133" customWidth="1"/>
    <col min="9743" max="9743" width="16.140625" style="133" bestFit="1" customWidth="1"/>
    <col min="9744" max="9744" width="11.5703125" style="133" bestFit="1" customWidth="1"/>
    <col min="9745" max="9983" width="9.140625" style="133"/>
    <col min="9984" max="9984" width="33" style="133" customWidth="1"/>
    <col min="9985" max="9985" width="17.42578125" style="133" customWidth="1"/>
    <col min="9986" max="9986" width="17.140625" style="133" customWidth="1"/>
    <col min="9987" max="9987" width="16" style="133" customWidth="1"/>
    <col min="9988" max="9988" width="16.5703125" style="133" customWidth="1"/>
    <col min="9989" max="9989" width="16.28515625" style="133" customWidth="1"/>
    <col min="9990" max="9990" width="18.28515625" style="133" customWidth="1"/>
    <col min="9991" max="9991" width="17.42578125" style="133" customWidth="1"/>
    <col min="9992" max="9992" width="15.85546875" style="133" customWidth="1"/>
    <col min="9993" max="9993" width="17" style="133" customWidth="1"/>
    <col min="9994" max="9994" width="19.7109375" style="133" customWidth="1"/>
    <col min="9995" max="9995" width="17.28515625" style="133" customWidth="1"/>
    <col min="9996" max="9996" width="18.140625" style="133" customWidth="1"/>
    <col min="9997" max="9997" width="21.7109375" style="133" customWidth="1"/>
    <col min="9998" max="9998" width="0.42578125" style="133" customWidth="1"/>
    <col min="9999" max="9999" width="16.140625" style="133" bestFit="1" customWidth="1"/>
    <col min="10000" max="10000" width="11.5703125" style="133" bestFit="1" customWidth="1"/>
    <col min="10001" max="10239" width="9.140625" style="133"/>
    <col min="10240" max="10240" width="33" style="133" customWidth="1"/>
    <col min="10241" max="10241" width="17.42578125" style="133" customWidth="1"/>
    <col min="10242" max="10242" width="17.140625" style="133" customWidth="1"/>
    <col min="10243" max="10243" width="16" style="133" customWidth="1"/>
    <col min="10244" max="10244" width="16.5703125" style="133" customWidth="1"/>
    <col min="10245" max="10245" width="16.28515625" style="133" customWidth="1"/>
    <col min="10246" max="10246" width="18.28515625" style="133" customWidth="1"/>
    <col min="10247" max="10247" width="17.42578125" style="133" customWidth="1"/>
    <col min="10248" max="10248" width="15.85546875" style="133" customWidth="1"/>
    <col min="10249" max="10249" width="17" style="133" customWidth="1"/>
    <col min="10250" max="10250" width="19.7109375" style="133" customWidth="1"/>
    <col min="10251" max="10251" width="17.28515625" style="133" customWidth="1"/>
    <col min="10252" max="10252" width="18.140625" style="133" customWidth="1"/>
    <col min="10253" max="10253" width="21.7109375" style="133" customWidth="1"/>
    <col min="10254" max="10254" width="0.42578125" style="133" customWidth="1"/>
    <col min="10255" max="10255" width="16.140625" style="133" bestFit="1" customWidth="1"/>
    <col min="10256" max="10256" width="11.5703125" style="133" bestFit="1" customWidth="1"/>
    <col min="10257" max="10495" width="9.140625" style="133"/>
    <col min="10496" max="10496" width="33" style="133" customWidth="1"/>
    <col min="10497" max="10497" width="17.42578125" style="133" customWidth="1"/>
    <col min="10498" max="10498" width="17.140625" style="133" customWidth="1"/>
    <col min="10499" max="10499" width="16" style="133" customWidth="1"/>
    <col min="10500" max="10500" width="16.5703125" style="133" customWidth="1"/>
    <col min="10501" max="10501" width="16.28515625" style="133" customWidth="1"/>
    <col min="10502" max="10502" width="18.28515625" style="133" customWidth="1"/>
    <col min="10503" max="10503" width="17.42578125" style="133" customWidth="1"/>
    <col min="10504" max="10504" width="15.85546875" style="133" customWidth="1"/>
    <col min="10505" max="10505" width="17" style="133" customWidth="1"/>
    <col min="10506" max="10506" width="19.7109375" style="133" customWidth="1"/>
    <col min="10507" max="10507" width="17.28515625" style="133" customWidth="1"/>
    <col min="10508" max="10508" width="18.140625" style="133" customWidth="1"/>
    <col min="10509" max="10509" width="21.7109375" style="133" customWidth="1"/>
    <col min="10510" max="10510" width="0.42578125" style="133" customWidth="1"/>
    <col min="10511" max="10511" width="16.140625" style="133" bestFit="1" customWidth="1"/>
    <col min="10512" max="10512" width="11.5703125" style="133" bestFit="1" customWidth="1"/>
    <col min="10513" max="10751" width="9.140625" style="133"/>
    <col min="10752" max="10752" width="33" style="133" customWidth="1"/>
    <col min="10753" max="10753" width="17.42578125" style="133" customWidth="1"/>
    <col min="10754" max="10754" width="17.140625" style="133" customWidth="1"/>
    <col min="10755" max="10755" width="16" style="133" customWidth="1"/>
    <col min="10756" max="10756" width="16.5703125" style="133" customWidth="1"/>
    <col min="10757" max="10757" width="16.28515625" style="133" customWidth="1"/>
    <col min="10758" max="10758" width="18.28515625" style="133" customWidth="1"/>
    <col min="10759" max="10759" width="17.42578125" style="133" customWidth="1"/>
    <col min="10760" max="10760" width="15.85546875" style="133" customWidth="1"/>
    <col min="10761" max="10761" width="17" style="133" customWidth="1"/>
    <col min="10762" max="10762" width="19.7109375" style="133" customWidth="1"/>
    <col min="10763" max="10763" width="17.28515625" style="133" customWidth="1"/>
    <col min="10764" max="10764" width="18.140625" style="133" customWidth="1"/>
    <col min="10765" max="10765" width="21.7109375" style="133" customWidth="1"/>
    <col min="10766" max="10766" width="0.42578125" style="133" customWidth="1"/>
    <col min="10767" max="10767" width="16.140625" style="133" bestFit="1" customWidth="1"/>
    <col min="10768" max="10768" width="11.5703125" style="133" bestFit="1" customWidth="1"/>
    <col min="10769" max="11007" width="9.140625" style="133"/>
    <col min="11008" max="11008" width="33" style="133" customWidth="1"/>
    <col min="11009" max="11009" width="17.42578125" style="133" customWidth="1"/>
    <col min="11010" max="11010" width="17.140625" style="133" customWidth="1"/>
    <col min="11011" max="11011" width="16" style="133" customWidth="1"/>
    <col min="11012" max="11012" width="16.5703125" style="133" customWidth="1"/>
    <col min="11013" max="11013" width="16.28515625" style="133" customWidth="1"/>
    <col min="11014" max="11014" width="18.28515625" style="133" customWidth="1"/>
    <col min="11015" max="11015" width="17.42578125" style="133" customWidth="1"/>
    <col min="11016" max="11016" width="15.85546875" style="133" customWidth="1"/>
    <col min="11017" max="11017" width="17" style="133" customWidth="1"/>
    <col min="11018" max="11018" width="19.7109375" style="133" customWidth="1"/>
    <col min="11019" max="11019" width="17.28515625" style="133" customWidth="1"/>
    <col min="11020" max="11020" width="18.140625" style="133" customWidth="1"/>
    <col min="11021" max="11021" width="21.7109375" style="133" customWidth="1"/>
    <col min="11022" max="11022" width="0.42578125" style="133" customWidth="1"/>
    <col min="11023" max="11023" width="16.140625" style="133" bestFit="1" customWidth="1"/>
    <col min="11024" max="11024" width="11.5703125" style="133" bestFit="1" customWidth="1"/>
    <col min="11025" max="11263" width="9.140625" style="133"/>
    <col min="11264" max="11264" width="33" style="133" customWidth="1"/>
    <col min="11265" max="11265" width="17.42578125" style="133" customWidth="1"/>
    <col min="11266" max="11266" width="17.140625" style="133" customWidth="1"/>
    <col min="11267" max="11267" width="16" style="133" customWidth="1"/>
    <col min="11268" max="11268" width="16.5703125" style="133" customWidth="1"/>
    <col min="11269" max="11269" width="16.28515625" style="133" customWidth="1"/>
    <col min="11270" max="11270" width="18.28515625" style="133" customWidth="1"/>
    <col min="11271" max="11271" width="17.42578125" style="133" customWidth="1"/>
    <col min="11272" max="11272" width="15.85546875" style="133" customWidth="1"/>
    <col min="11273" max="11273" width="17" style="133" customWidth="1"/>
    <col min="11274" max="11274" width="19.7109375" style="133" customWidth="1"/>
    <col min="11275" max="11275" width="17.28515625" style="133" customWidth="1"/>
    <col min="11276" max="11276" width="18.140625" style="133" customWidth="1"/>
    <col min="11277" max="11277" width="21.7109375" style="133" customWidth="1"/>
    <col min="11278" max="11278" width="0.42578125" style="133" customWidth="1"/>
    <col min="11279" max="11279" width="16.140625" style="133" bestFit="1" customWidth="1"/>
    <col min="11280" max="11280" width="11.5703125" style="133" bestFit="1" customWidth="1"/>
    <col min="11281" max="11519" width="9.140625" style="133"/>
    <col min="11520" max="11520" width="33" style="133" customWidth="1"/>
    <col min="11521" max="11521" width="17.42578125" style="133" customWidth="1"/>
    <col min="11522" max="11522" width="17.140625" style="133" customWidth="1"/>
    <col min="11523" max="11523" width="16" style="133" customWidth="1"/>
    <col min="11524" max="11524" width="16.5703125" style="133" customWidth="1"/>
    <col min="11525" max="11525" width="16.28515625" style="133" customWidth="1"/>
    <col min="11526" max="11526" width="18.28515625" style="133" customWidth="1"/>
    <col min="11527" max="11527" width="17.42578125" style="133" customWidth="1"/>
    <col min="11528" max="11528" width="15.85546875" style="133" customWidth="1"/>
    <col min="11529" max="11529" width="17" style="133" customWidth="1"/>
    <col min="11530" max="11530" width="19.7109375" style="133" customWidth="1"/>
    <col min="11531" max="11531" width="17.28515625" style="133" customWidth="1"/>
    <col min="11532" max="11532" width="18.140625" style="133" customWidth="1"/>
    <col min="11533" max="11533" width="21.7109375" style="133" customWidth="1"/>
    <col min="11534" max="11534" width="0.42578125" style="133" customWidth="1"/>
    <col min="11535" max="11535" width="16.140625" style="133" bestFit="1" customWidth="1"/>
    <col min="11536" max="11536" width="11.5703125" style="133" bestFit="1" customWidth="1"/>
    <col min="11537" max="11775" width="9.140625" style="133"/>
    <col min="11776" max="11776" width="33" style="133" customWidth="1"/>
    <col min="11777" max="11777" width="17.42578125" style="133" customWidth="1"/>
    <col min="11778" max="11778" width="17.140625" style="133" customWidth="1"/>
    <col min="11779" max="11779" width="16" style="133" customWidth="1"/>
    <col min="11780" max="11780" width="16.5703125" style="133" customWidth="1"/>
    <col min="11781" max="11781" width="16.28515625" style="133" customWidth="1"/>
    <col min="11782" max="11782" width="18.28515625" style="133" customWidth="1"/>
    <col min="11783" max="11783" width="17.42578125" style="133" customWidth="1"/>
    <col min="11784" max="11784" width="15.85546875" style="133" customWidth="1"/>
    <col min="11785" max="11785" width="17" style="133" customWidth="1"/>
    <col min="11786" max="11786" width="19.7109375" style="133" customWidth="1"/>
    <col min="11787" max="11787" width="17.28515625" style="133" customWidth="1"/>
    <col min="11788" max="11788" width="18.140625" style="133" customWidth="1"/>
    <col min="11789" max="11789" width="21.7109375" style="133" customWidth="1"/>
    <col min="11790" max="11790" width="0.42578125" style="133" customWidth="1"/>
    <col min="11791" max="11791" width="16.140625" style="133" bestFit="1" customWidth="1"/>
    <col min="11792" max="11792" width="11.5703125" style="133" bestFit="1" customWidth="1"/>
    <col min="11793" max="12031" width="9.140625" style="133"/>
    <col min="12032" max="12032" width="33" style="133" customWidth="1"/>
    <col min="12033" max="12033" width="17.42578125" style="133" customWidth="1"/>
    <col min="12034" max="12034" width="17.140625" style="133" customWidth="1"/>
    <col min="12035" max="12035" width="16" style="133" customWidth="1"/>
    <col min="12036" max="12036" width="16.5703125" style="133" customWidth="1"/>
    <col min="12037" max="12037" width="16.28515625" style="133" customWidth="1"/>
    <col min="12038" max="12038" width="18.28515625" style="133" customWidth="1"/>
    <col min="12039" max="12039" width="17.42578125" style="133" customWidth="1"/>
    <col min="12040" max="12040" width="15.85546875" style="133" customWidth="1"/>
    <col min="12041" max="12041" width="17" style="133" customWidth="1"/>
    <col min="12042" max="12042" width="19.7109375" style="133" customWidth="1"/>
    <col min="12043" max="12043" width="17.28515625" style="133" customWidth="1"/>
    <col min="12044" max="12044" width="18.140625" style="133" customWidth="1"/>
    <col min="12045" max="12045" width="21.7109375" style="133" customWidth="1"/>
    <col min="12046" max="12046" width="0.42578125" style="133" customWidth="1"/>
    <col min="12047" max="12047" width="16.140625" style="133" bestFit="1" customWidth="1"/>
    <col min="12048" max="12048" width="11.5703125" style="133" bestFit="1" customWidth="1"/>
    <col min="12049" max="12287" width="9.140625" style="133"/>
    <col min="12288" max="12288" width="33" style="133" customWidth="1"/>
    <col min="12289" max="12289" width="17.42578125" style="133" customWidth="1"/>
    <col min="12290" max="12290" width="17.140625" style="133" customWidth="1"/>
    <col min="12291" max="12291" width="16" style="133" customWidth="1"/>
    <col min="12292" max="12292" width="16.5703125" style="133" customWidth="1"/>
    <col min="12293" max="12293" width="16.28515625" style="133" customWidth="1"/>
    <col min="12294" max="12294" width="18.28515625" style="133" customWidth="1"/>
    <col min="12295" max="12295" width="17.42578125" style="133" customWidth="1"/>
    <col min="12296" max="12296" width="15.85546875" style="133" customWidth="1"/>
    <col min="12297" max="12297" width="17" style="133" customWidth="1"/>
    <col min="12298" max="12298" width="19.7109375" style="133" customWidth="1"/>
    <col min="12299" max="12299" width="17.28515625" style="133" customWidth="1"/>
    <col min="12300" max="12300" width="18.140625" style="133" customWidth="1"/>
    <col min="12301" max="12301" width="21.7109375" style="133" customWidth="1"/>
    <col min="12302" max="12302" width="0.42578125" style="133" customWidth="1"/>
    <col min="12303" max="12303" width="16.140625" style="133" bestFit="1" customWidth="1"/>
    <col min="12304" max="12304" width="11.5703125" style="133" bestFit="1" customWidth="1"/>
    <col min="12305" max="12543" width="9.140625" style="133"/>
    <col min="12544" max="12544" width="33" style="133" customWidth="1"/>
    <col min="12545" max="12545" width="17.42578125" style="133" customWidth="1"/>
    <col min="12546" max="12546" width="17.140625" style="133" customWidth="1"/>
    <col min="12547" max="12547" width="16" style="133" customWidth="1"/>
    <col min="12548" max="12548" width="16.5703125" style="133" customWidth="1"/>
    <col min="12549" max="12549" width="16.28515625" style="133" customWidth="1"/>
    <col min="12550" max="12550" width="18.28515625" style="133" customWidth="1"/>
    <col min="12551" max="12551" width="17.42578125" style="133" customWidth="1"/>
    <col min="12552" max="12552" width="15.85546875" style="133" customWidth="1"/>
    <col min="12553" max="12553" width="17" style="133" customWidth="1"/>
    <col min="12554" max="12554" width="19.7109375" style="133" customWidth="1"/>
    <col min="12555" max="12555" width="17.28515625" style="133" customWidth="1"/>
    <col min="12556" max="12556" width="18.140625" style="133" customWidth="1"/>
    <col min="12557" max="12557" width="21.7109375" style="133" customWidth="1"/>
    <col min="12558" max="12558" width="0.42578125" style="133" customWidth="1"/>
    <col min="12559" max="12559" width="16.140625" style="133" bestFit="1" customWidth="1"/>
    <col min="12560" max="12560" width="11.5703125" style="133" bestFit="1" customWidth="1"/>
    <col min="12561" max="12799" width="9.140625" style="133"/>
    <col min="12800" max="12800" width="33" style="133" customWidth="1"/>
    <col min="12801" max="12801" width="17.42578125" style="133" customWidth="1"/>
    <col min="12802" max="12802" width="17.140625" style="133" customWidth="1"/>
    <col min="12803" max="12803" width="16" style="133" customWidth="1"/>
    <col min="12804" max="12804" width="16.5703125" style="133" customWidth="1"/>
    <col min="12805" max="12805" width="16.28515625" style="133" customWidth="1"/>
    <col min="12806" max="12806" width="18.28515625" style="133" customWidth="1"/>
    <col min="12807" max="12807" width="17.42578125" style="133" customWidth="1"/>
    <col min="12808" max="12808" width="15.85546875" style="133" customWidth="1"/>
    <col min="12809" max="12809" width="17" style="133" customWidth="1"/>
    <col min="12810" max="12810" width="19.7109375" style="133" customWidth="1"/>
    <col min="12811" max="12811" width="17.28515625" style="133" customWidth="1"/>
    <col min="12812" max="12812" width="18.140625" style="133" customWidth="1"/>
    <col min="12813" max="12813" width="21.7109375" style="133" customWidth="1"/>
    <col min="12814" max="12814" width="0.42578125" style="133" customWidth="1"/>
    <col min="12815" max="12815" width="16.140625" style="133" bestFit="1" customWidth="1"/>
    <col min="12816" max="12816" width="11.5703125" style="133" bestFit="1" customWidth="1"/>
    <col min="12817" max="13055" width="9.140625" style="133"/>
    <col min="13056" max="13056" width="33" style="133" customWidth="1"/>
    <col min="13057" max="13057" width="17.42578125" style="133" customWidth="1"/>
    <col min="13058" max="13058" width="17.140625" style="133" customWidth="1"/>
    <col min="13059" max="13059" width="16" style="133" customWidth="1"/>
    <col min="13060" max="13060" width="16.5703125" style="133" customWidth="1"/>
    <col min="13061" max="13061" width="16.28515625" style="133" customWidth="1"/>
    <col min="13062" max="13062" width="18.28515625" style="133" customWidth="1"/>
    <col min="13063" max="13063" width="17.42578125" style="133" customWidth="1"/>
    <col min="13064" max="13064" width="15.85546875" style="133" customWidth="1"/>
    <col min="13065" max="13065" width="17" style="133" customWidth="1"/>
    <col min="13066" max="13066" width="19.7109375" style="133" customWidth="1"/>
    <col min="13067" max="13067" width="17.28515625" style="133" customWidth="1"/>
    <col min="13068" max="13068" width="18.140625" style="133" customWidth="1"/>
    <col min="13069" max="13069" width="21.7109375" style="133" customWidth="1"/>
    <col min="13070" max="13070" width="0.42578125" style="133" customWidth="1"/>
    <col min="13071" max="13071" width="16.140625" style="133" bestFit="1" customWidth="1"/>
    <col min="13072" max="13072" width="11.5703125" style="133" bestFit="1" customWidth="1"/>
    <col min="13073" max="13311" width="9.140625" style="133"/>
    <col min="13312" max="13312" width="33" style="133" customWidth="1"/>
    <col min="13313" max="13313" width="17.42578125" style="133" customWidth="1"/>
    <col min="13314" max="13314" width="17.140625" style="133" customWidth="1"/>
    <col min="13315" max="13315" width="16" style="133" customWidth="1"/>
    <col min="13316" max="13316" width="16.5703125" style="133" customWidth="1"/>
    <col min="13317" max="13317" width="16.28515625" style="133" customWidth="1"/>
    <col min="13318" max="13318" width="18.28515625" style="133" customWidth="1"/>
    <col min="13319" max="13319" width="17.42578125" style="133" customWidth="1"/>
    <col min="13320" max="13320" width="15.85546875" style="133" customWidth="1"/>
    <col min="13321" max="13321" width="17" style="133" customWidth="1"/>
    <col min="13322" max="13322" width="19.7109375" style="133" customWidth="1"/>
    <col min="13323" max="13323" width="17.28515625" style="133" customWidth="1"/>
    <col min="13324" max="13324" width="18.140625" style="133" customWidth="1"/>
    <col min="13325" max="13325" width="21.7109375" style="133" customWidth="1"/>
    <col min="13326" max="13326" width="0.42578125" style="133" customWidth="1"/>
    <col min="13327" max="13327" width="16.140625" style="133" bestFit="1" customWidth="1"/>
    <col min="13328" max="13328" width="11.5703125" style="133" bestFit="1" customWidth="1"/>
    <col min="13329" max="13567" width="9.140625" style="133"/>
    <col min="13568" max="13568" width="33" style="133" customWidth="1"/>
    <col min="13569" max="13569" width="17.42578125" style="133" customWidth="1"/>
    <col min="13570" max="13570" width="17.140625" style="133" customWidth="1"/>
    <col min="13571" max="13571" width="16" style="133" customWidth="1"/>
    <col min="13572" max="13572" width="16.5703125" style="133" customWidth="1"/>
    <col min="13573" max="13573" width="16.28515625" style="133" customWidth="1"/>
    <col min="13574" max="13574" width="18.28515625" style="133" customWidth="1"/>
    <col min="13575" max="13575" width="17.42578125" style="133" customWidth="1"/>
    <col min="13576" max="13576" width="15.85546875" style="133" customWidth="1"/>
    <col min="13577" max="13577" width="17" style="133" customWidth="1"/>
    <col min="13578" max="13578" width="19.7109375" style="133" customWidth="1"/>
    <col min="13579" max="13579" width="17.28515625" style="133" customWidth="1"/>
    <col min="13580" max="13580" width="18.140625" style="133" customWidth="1"/>
    <col min="13581" max="13581" width="21.7109375" style="133" customWidth="1"/>
    <col min="13582" max="13582" width="0.42578125" style="133" customWidth="1"/>
    <col min="13583" max="13583" width="16.140625" style="133" bestFit="1" customWidth="1"/>
    <col min="13584" max="13584" width="11.5703125" style="133" bestFit="1" customWidth="1"/>
    <col min="13585" max="13823" width="9.140625" style="133"/>
    <col min="13824" max="13824" width="33" style="133" customWidth="1"/>
    <col min="13825" max="13825" width="17.42578125" style="133" customWidth="1"/>
    <col min="13826" max="13826" width="17.140625" style="133" customWidth="1"/>
    <col min="13827" max="13827" width="16" style="133" customWidth="1"/>
    <col min="13828" max="13828" width="16.5703125" style="133" customWidth="1"/>
    <col min="13829" max="13829" width="16.28515625" style="133" customWidth="1"/>
    <col min="13830" max="13830" width="18.28515625" style="133" customWidth="1"/>
    <col min="13831" max="13831" width="17.42578125" style="133" customWidth="1"/>
    <col min="13832" max="13832" width="15.85546875" style="133" customWidth="1"/>
    <col min="13833" max="13833" width="17" style="133" customWidth="1"/>
    <col min="13834" max="13834" width="19.7109375" style="133" customWidth="1"/>
    <col min="13835" max="13835" width="17.28515625" style="133" customWidth="1"/>
    <col min="13836" max="13836" width="18.140625" style="133" customWidth="1"/>
    <col min="13837" max="13837" width="21.7109375" style="133" customWidth="1"/>
    <col min="13838" max="13838" width="0.42578125" style="133" customWidth="1"/>
    <col min="13839" max="13839" width="16.140625" style="133" bestFit="1" customWidth="1"/>
    <col min="13840" max="13840" width="11.5703125" style="133" bestFit="1" customWidth="1"/>
    <col min="13841" max="14079" width="9.140625" style="133"/>
    <col min="14080" max="14080" width="33" style="133" customWidth="1"/>
    <col min="14081" max="14081" width="17.42578125" style="133" customWidth="1"/>
    <col min="14082" max="14082" width="17.140625" style="133" customWidth="1"/>
    <col min="14083" max="14083" width="16" style="133" customWidth="1"/>
    <col min="14084" max="14084" width="16.5703125" style="133" customWidth="1"/>
    <col min="14085" max="14085" width="16.28515625" style="133" customWidth="1"/>
    <col min="14086" max="14086" width="18.28515625" style="133" customWidth="1"/>
    <col min="14087" max="14087" width="17.42578125" style="133" customWidth="1"/>
    <col min="14088" max="14088" width="15.85546875" style="133" customWidth="1"/>
    <col min="14089" max="14089" width="17" style="133" customWidth="1"/>
    <col min="14090" max="14090" width="19.7109375" style="133" customWidth="1"/>
    <col min="14091" max="14091" width="17.28515625" style="133" customWidth="1"/>
    <col min="14092" max="14092" width="18.140625" style="133" customWidth="1"/>
    <col min="14093" max="14093" width="21.7109375" style="133" customWidth="1"/>
    <col min="14094" max="14094" width="0.42578125" style="133" customWidth="1"/>
    <col min="14095" max="14095" width="16.140625" style="133" bestFit="1" customWidth="1"/>
    <col min="14096" max="14096" width="11.5703125" style="133" bestFit="1" customWidth="1"/>
    <col min="14097" max="14335" width="9.140625" style="133"/>
    <col min="14336" max="14336" width="33" style="133" customWidth="1"/>
    <col min="14337" max="14337" width="17.42578125" style="133" customWidth="1"/>
    <col min="14338" max="14338" width="17.140625" style="133" customWidth="1"/>
    <col min="14339" max="14339" width="16" style="133" customWidth="1"/>
    <col min="14340" max="14340" width="16.5703125" style="133" customWidth="1"/>
    <col min="14341" max="14341" width="16.28515625" style="133" customWidth="1"/>
    <col min="14342" max="14342" width="18.28515625" style="133" customWidth="1"/>
    <col min="14343" max="14343" width="17.42578125" style="133" customWidth="1"/>
    <col min="14344" max="14344" width="15.85546875" style="133" customWidth="1"/>
    <col min="14345" max="14345" width="17" style="133" customWidth="1"/>
    <col min="14346" max="14346" width="19.7109375" style="133" customWidth="1"/>
    <col min="14347" max="14347" width="17.28515625" style="133" customWidth="1"/>
    <col min="14348" max="14348" width="18.140625" style="133" customWidth="1"/>
    <col min="14349" max="14349" width="21.7109375" style="133" customWidth="1"/>
    <col min="14350" max="14350" width="0.42578125" style="133" customWidth="1"/>
    <col min="14351" max="14351" width="16.140625" style="133" bestFit="1" customWidth="1"/>
    <col min="14352" max="14352" width="11.5703125" style="133" bestFit="1" customWidth="1"/>
    <col min="14353" max="14591" width="9.140625" style="133"/>
    <col min="14592" max="14592" width="33" style="133" customWidth="1"/>
    <col min="14593" max="14593" width="17.42578125" style="133" customWidth="1"/>
    <col min="14594" max="14594" width="17.140625" style="133" customWidth="1"/>
    <col min="14595" max="14595" width="16" style="133" customWidth="1"/>
    <col min="14596" max="14596" width="16.5703125" style="133" customWidth="1"/>
    <col min="14597" max="14597" width="16.28515625" style="133" customWidth="1"/>
    <col min="14598" max="14598" width="18.28515625" style="133" customWidth="1"/>
    <col min="14599" max="14599" width="17.42578125" style="133" customWidth="1"/>
    <col min="14600" max="14600" width="15.85546875" style="133" customWidth="1"/>
    <col min="14601" max="14601" width="17" style="133" customWidth="1"/>
    <col min="14602" max="14602" width="19.7109375" style="133" customWidth="1"/>
    <col min="14603" max="14603" width="17.28515625" style="133" customWidth="1"/>
    <col min="14604" max="14604" width="18.140625" style="133" customWidth="1"/>
    <col min="14605" max="14605" width="21.7109375" style="133" customWidth="1"/>
    <col min="14606" max="14606" width="0.42578125" style="133" customWidth="1"/>
    <col min="14607" max="14607" width="16.140625" style="133" bestFit="1" customWidth="1"/>
    <col min="14608" max="14608" width="11.5703125" style="133" bestFit="1" customWidth="1"/>
    <col min="14609" max="14847" width="9.140625" style="133"/>
    <col min="14848" max="14848" width="33" style="133" customWidth="1"/>
    <col min="14849" max="14849" width="17.42578125" style="133" customWidth="1"/>
    <col min="14850" max="14850" width="17.140625" style="133" customWidth="1"/>
    <col min="14851" max="14851" width="16" style="133" customWidth="1"/>
    <col min="14852" max="14852" width="16.5703125" style="133" customWidth="1"/>
    <col min="14853" max="14853" width="16.28515625" style="133" customWidth="1"/>
    <col min="14854" max="14854" width="18.28515625" style="133" customWidth="1"/>
    <col min="14855" max="14855" width="17.42578125" style="133" customWidth="1"/>
    <col min="14856" max="14856" width="15.85546875" style="133" customWidth="1"/>
    <col min="14857" max="14857" width="17" style="133" customWidth="1"/>
    <col min="14858" max="14858" width="19.7109375" style="133" customWidth="1"/>
    <col min="14859" max="14859" width="17.28515625" style="133" customWidth="1"/>
    <col min="14860" max="14860" width="18.140625" style="133" customWidth="1"/>
    <col min="14861" max="14861" width="21.7109375" style="133" customWidth="1"/>
    <col min="14862" max="14862" width="0.42578125" style="133" customWidth="1"/>
    <col min="14863" max="14863" width="16.140625" style="133" bestFit="1" customWidth="1"/>
    <col min="14864" max="14864" width="11.5703125" style="133" bestFit="1" customWidth="1"/>
    <col min="14865" max="15103" width="9.140625" style="133"/>
    <col min="15104" max="15104" width="33" style="133" customWidth="1"/>
    <col min="15105" max="15105" width="17.42578125" style="133" customWidth="1"/>
    <col min="15106" max="15106" width="17.140625" style="133" customWidth="1"/>
    <col min="15107" max="15107" width="16" style="133" customWidth="1"/>
    <col min="15108" max="15108" width="16.5703125" style="133" customWidth="1"/>
    <col min="15109" max="15109" width="16.28515625" style="133" customWidth="1"/>
    <col min="15110" max="15110" width="18.28515625" style="133" customWidth="1"/>
    <col min="15111" max="15111" width="17.42578125" style="133" customWidth="1"/>
    <col min="15112" max="15112" width="15.85546875" style="133" customWidth="1"/>
    <col min="15113" max="15113" width="17" style="133" customWidth="1"/>
    <col min="15114" max="15114" width="19.7109375" style="133" customWidth="1"/>
    <col min="15115" max="15115" width="17.28515625" style="133" customWidth="1"/>
    <col min="15116" max="15116" width="18.140625" style="133" customWidth="1"/>
    <col min="15117" max="15117" width="21.7109375" style="133" customWidth="1"/>
    <col min="15118" max="15118" width="0.42578125" style="133" customWidth="1"/>
    <col min="15119" max="15119" width="16.140625" style="133" bestFit="1" customWidth="1"/>
    <col min="15120" max="15120" width="11.5703125" style="133" bestFit="1" customWidth="1"/>
    <col min="15121" max="15359" width="9.140625" style="133"/>
    <col min="15360" max="15360" width="33" style="133" customWidth="1"/>
    <col min="15361" max="15361" width="17.42578125" style="133" customWidth="1"/>
    <col min="15362" max="15362" width="17.140625" style="133" customWidth="1"/>
    <col min="15363" max="15363" width="16" style="133" customWidth="1"/>
    <col min="15364" max="15364" width="16.5703125" style="133" customWidth="1"/>
    <col min="15365" max="15365" width="16.28515625" style="133" customWidth="1"/>
    <col min="15366" max="15366" width="18.28515625" style="133" customWidth="1"/>
    <col min="15367" max="15367" width="17.42578125" style="133" customWidth="1"/>
    <col min="15368" max="15368" width="15.85546875" style="133" customWidth="1"/>
    <col min="15369" max="15369" width="17" style="133" customWidth="1"/>
    <col min="15370" max="15370" width="19.7109375" style="133" customWidth="1"/>
    <col min="15371" max="15371" width="17.28515625" style="133" customWidth="1"/>
    <col min="15372" max="15372" width="18.140625" style="133" customWidth="1"/>
    <col min="15373" max="15373" width="21.7109375" style="133" customWidth="1"/>
    <col min="15374" max="15374" width="0.42578125" style="133" customWidth="1"/>
    <col min="15375" max="15375" width="16.140625" style="133" bestFit="1" customWidth="1"/>
    <col min="15376" max="15376" width="11.5703125" style="133" bestFit="1" customWidth="1"/>
    <col min="15377" max="15615" width="9.140625" style="133"/>
    <col min="15616" max="15616" width="33" style="133" customWidth="1"/>
    <col min="15617" max="15617" width="17.42578125" style="133" customWidth="1"/>
    <col min="15618" max="15618" width="17.140625" style="133" customWidth="1"/>
    <col min="15619" max="15619" width="16" style="133" customWidth="1"/>
    <col min="15620" max="15620" width="16.5703125" style="133" customWidth="1"/>
    <col min="15621" max="15621" width="16.28515625" style="133" customWidth="1"/>
    <col min="15622" max="15622" width="18.28515625" style="133" customWidth="1"/>
    <col min="15623" max="15623" width="17.42578125" style="133" customWidth="1"/>
    <col min="15624" max="15624" width="15.85546875" style="133" customWidth="1"/>
    <col min="15625" max="15625" width="17" style="133" customWidth="1"/>
    <col min="15626" max="15626" width="19.7109375" style="133" customWidth="1"/>
    <col min="15627" max="15627" width="17.28515625" style="133" customWidth="1"/>
    <col min="15628" max="15628" width="18.140625" style="133" customWidth="1"/>
    <col min="15629" max="15629" width="21.7109375" style="133" customWidth="1"/>
    <col min="15630" max="15630" width="0.42578125" style="133" customWidth="1"/>
    <col min="15631" max="15631" width="16.140625" style="133" bestFit="1" customWidth="1"/>
    <col min="15632" max="15632" width="11.5703125" style="133" bestFit="1" customWidth="1"/>
    <col min="15633" max="15871" width="9.140625" style="133"/>
    <col min="15872" max="15872" width="33" style="133" customWidth="1"/>
    <col min="15873" max="15873" width="17.42578125" style="133" customWidth="1"/>
    <col min="15874" max="15874" width="17.140625" style="133" customWidth="1"/>
    <col min="15875" max="15875" width="16" style="133" customWidth="1"/>
    <col min="15876" max="15876" width="16.5703125" style="133" customWidth="1"/>
    <col min="15877" max="15877" width="16.28515625" style="133" customWidth="1"/>
    <col min="15878" max="15878" width="18.28515625" style="133" customWidth="1"/>
    <col min="15879" max="15879" width="17.42578125" style="133" customWidth="1"/>
    <col min="15880" max="15880" width="15.85546875" style="133" customWidth="1"/>
    <col min="15881" max="15881" width="17" style="133" customWidth="1"/>
    <col min="15882" max="15882" width="19.7109375" style="133" customWidth="1"/>
    <col min="15883" max="15883" width="17.28515625" style="133" customWidth="1"/>
    <col min="15884" max="15884" width="18.140625" style="133" customWidth="1"/>
    <col min="15885" max="15885" width="21.7109375" style="133" customWidth="1"/>
    <col min="15886" max="15886" width="0.42578125" style="133" customWidth="1"/>
    <col min="15887" max="15887" width="16.140625" style="133" bestFit="1" customWidth="1"/>
    <col min="15888" max="15888" width="11.5703125" style="133" bestFit="1" customWidth="1"/>
    <col min="15889" max="16127" width="9.140625" style="133"/>
    <col min="16128" max="16128" width="33" style="133" customWidth="1"/>
    <col min="16129" max="16129" width="17.42578125" style="133" customWidth="1"/>
    <col min="16130" max="16130" width="17.140625" style="133" customWidth="1"/>
    <col min="16131" max="16131" width="16" style="133" customWidth="1"/>
    <col min="16132" max="16132" width="16.5703125" style="133" customWidth="1"/>
    <col min="16133" max="16133" width="16.28515625" style="133" customWidth="1"/>
    <col min="16134" max="16134" width="18.28515625" style="133" customWidth="1"/>
    <col min="16135" max="16135" width="17.42578125" style="133" customWidth="1"/>
    <col min="16136" max="16136" width="15.85546875" style="133" customWidth="1"/>
    <col min="16137" max="16137" width="17" style="133" customWidth="1"/>
    <col min="16138" max="16138" width="19.7109375" style="133" customWidth="1"/>
    <col min="16139" max="16139" width="17.28515625" style="133" customWidth="1"/>
    <col min="16140" max="16140" width="18.140625" style="133" customWidth="1"/>
    <col min="16141" max="16141" width="21.7109375" style="133" customWidth="1"/>
    <col min="16142" max="16142" width="0.42578125" style="133" customWidth="1"/>
    <col min="16143" max="16143" width="16.140625" style="133" bestFit="1" customWidth="1"/>
    <col min="16144" max="16144" width="11.5703125" style="133" bestFit="1" customWidth="1"/>
    <col min="16145" max="16384" width="9.140625" style="133"/>
  </cols>
  <sheetData>
    <row r="1" spans="1:16" ht="120" customHeight="1" x14ac:dyDescent="0.25">
      <c r="B1" s="39"/>
    </row>
    <row r="2" spans="1:16" ht="25.5" customHeight="1" x14ac:dyDescent="0.25">
      <c r="A2" s="482"/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  <c r="M2" s="482"/>
      <c r="N2" s="482"/>
    </row>
    <row r="3" spans="1:16" x14ac:dyDescent="0.25">
      <c r="A3" s="483" t="s">
        <v>216</v>
      </c>
      <c r="B3" s="484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5"/>
    </row>
    <row r="4" spans="1:16" x14ac:dyDescent="0.25">
      <c r="A4" s="135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</row>
    <row r="5" spans="1:16" ht="20.100000000000001" customHeight="1" x14ac:dyDescent="0.25">
      <c r="A5" s="136" t="s">
        <v>179</v>
      </c>
      <c r="B5" s="352"/>
      <c r="C5" s="352"/>
      <c r="D5" s="352"/>
      <c r="E5" s="352"/>
      <c r="F5" s="352"/>
      <c r="G5" s="352"/>
      <c r="H5" s="352"/>
      <c r="I5" s="352">
        <v>44774</v>
      </c>
      <c r="J5" s="42">
        <v>44805</v>
      </c>
      <c r="K5" s="42">
        <v>44835</v>
      </c>
      <c r="L5" s="42">
        <v>44866</v>
      </c>
      <c r="M5" s="42">
        <v>44896</v>
      </c>
      <c r="N5" s="43" t="s">
        <v>1</v>
      </c>
    </row>
    <row r="6" spans="1:16" ht="20.100000000000001" customHeight="1" x14ac:dyDescent="0.25">
      <c r="A6" s="132" t="s">
        <v>162</v>
      </c>
      <c r="B6" s="45"/>
      <c r="C6" s="45"/>
      <c r="D6" s="45"/>
      <c r="E6" s="45"/>
      <c r="F6" s="45"/>
      <c r="G6" s="45"/>
      <c r="H6" s="45"/>
      <c r="I6" s="45">
        <v>22181819.359999999</v>
      </c>
      <c r="J6" s="45">
        <v>2825019.31</v>
      </c>
      <c r="K6" s="45">
        <v>2741536.49</v>
      </c>
      <c r="L6" s="45">
        <v>2757498.89</v>
      </c>
      <c r="M6" s="45">
        <v>4483792.13</v>
      </c>
      <c r="N6" s="46">
        <f>SUM(B6:M6)</f>
        <v>34989666.18</v>
      </c>
      <c r="O6" s="139"/>
      <c r="P6" s="137"/>
    </row>
    <row r="7" spans="1:16" ht="20.100000000000001" customHeight="1" x14ac:dyDescent="0.25">
      <c r="A7" s="132" t="s">
        <v>163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6">
        <f t="shared" ref="N7:N9" si="0">SUM(B7:M7)</f>
        <v>0</v>
      </c>
      <c r="O7" s="47"/>
      <c r="P7" s="139"/>
    </row>
    <row r="8" spans="1:16" ht="20.100000000000001" customHeight="1" x14ac:dyDescent="0.25">
      <c r="A8" s="132" t="s">
        <v>166</v>
      </c>
      <c r="B8" s="45"/>
      <c r="C8" s="45"/>
      <c r="D8" s="45"/>
      <c r="E8" s="45"/>
      <c r="F8" s="45"/>
      <c r="G8" s="45"/>
      <c r="H8" s="45"/>
      <c r="I8" s="45">
        <v>1680839.06</v>
      </c>
      <c r="J8" s="45">
        <v>252613.77</v>
      </c>
      <c r="K8" s="45">
        <v>287637.42</v>
      </c>
      <c r="L8" s="45">
        <v>557828.21</v>
      </c>
      <c r="M8" s="36">
        <v>662661.87</v>
      </c>
      <c r="N8" s="46">
        <f>SUM(B8:M8)</f>
        <v>3441580.33</v>
      </c>
      <c r="O8" s="114"/>
      <c r="P8" s="139"/>
    </row>
    <row r="9" spans="1:16" ht="20.100000000000001" customHeight="1" x14ac:dyDescent="0.25">
      <c r="A9" s="132" t="s">
        <v>164</v>
      </c>
      <c r="B9" s="45"/>
      <c r="C9" s="45"/>
      <c r="D9" s="45"/>
      <c r="E9" s="45"/>
      <c r="F9" s="45"/>
      <c r="G9" s="45"/>
      <c r="H9" s="45"/>
      <c r="I9" s="45"/>
      <c r="J9" s="45"/>
      <c r="K9" s="45">
        <f>14448.53+5993.86</f>
        <v>20442.39</v>
      </c>
      <c r="L9" s="45"/>
      <c r="M9" s="45"/>
      <c r="N9" s="46">
        <f t="shared" si="0"/>
        <v>20442.39</v>
      </c>
      <c r="O9" s="114"/>
      <c r="P9" s="139"/>
    </row>
    <row r="10" spans="1:16" ht="20.100000000000001" customHeight="1" x14ac:dyDescent="0.25">
      <c r="A10" s="132" t="s">
        <v>168</v>
      </c>
      <c r="B10" s="45"/>
      <c r="C10" s="45"/>
      <c r="D10" s="45"/>
      <c r="E10" s="45"/>
      <c r="F10" s="45"/>
      <c r="G10" s="45"/>
      <c r="H10" s="45"/>
      <c r="I10" s="36">
        <v>90659.6</v>
      </c>
      <c r="J10" s="45">
        <v>13102.06</v>
      </c>
      <c r="K10" s="45">
        <v>13102.06</v>
      </c>
      <c r="L10" s="45">
        <v>13102.06</v>
      </c>
      <c r="M10" s="45">
        <v>13102.06</v>
      </c>
      <c r="N10" s="46">
        <f>SUM(B10:M10)</f>
        <v>143067.84</v>
      </c>
      <c r="O10" s="114"/>
    </row>
    <row r="11" spans="1:16" ht="19.5" customHeight="1" x14ac:dyDescent="0.25">
      <c r="A11" s="132" t="s">
        <v>165</v>
      </c>
      <c r="B11" s="45"/>
      <c r="C11" s="45"/>
      <c r="D11" s="45"/>
      <c r="E11" s="45"/>
      <c r="F11" s="45"/>
      <c r="G11" s="45"/>
      <c r="H11" s="45"/>
      <c r="I11" s="45">
        <f>5993.86+800000</f>
        <v>805993.86</v>
      </c>
      <c r="J11" s="45">
        <v>100000</v>
      </c>
      <c r="K11" s="45">
        <v>100000</v>
      </c>
      <c r="L11" s="45">
        <v>100000</v>
      </c>
      <c r="M11" s="45">
        <v>100000</v>
      </c>
      <c r="N11" s="46">
        <f>SUM(B11:M11)</f>
        <v>1205993.8599999999</v>
      </c>
      <c r="O11" s="114"/>
    </row>
    <row r="12" spans="1:16" ht="9.75" customHeight="1" x14ac:dyDescent="0.25">
      <c r="A12" s="44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6"/>
      <c r="O12" s="114"/>
    </row>
    <row r="13" spans="1:16" s="156" customFormat="1" ht="19.5" customHeight="1" x14ac:dyDescent="0.25">
      <c r="A13" s="44" t="s">
        <v>167</v>
      </c>
      <c r="B13" s="46">
        <f>SUM(B6:B11)</f>
        <v>0</v>
      </c>
      <c r="C13" s="46">
        <f>SUM(C6:C11)</f>
        <v>0</v>
      </c>
      <c r="D13" s="46">
        <f>SUM(D6:D11)</f>
        <v>0</v>
      </c>
      <c r="E13" s="46">
        <f>SUM(E6:E11)</f>
        <v>0</v>
      </c>
      <c r="F13" s="46">
        <f t="shared" ref="F13:L13" si="1">SUM(F6:F11)</f>
        <v>0</v>
      </c>
      <c r="G13" s="46">
        <f t="shared" si="1"/>
        <v>0</v>
      </c>
      <c r="H13" s="46">
        <f t="shared" si="1"/>
        <v>0</v>
      </c>
      <c r="I13" s="46">
        <f>SUM(I6:I11)</f>
        <v>24759311.879999999</v>
      </c>
      <c r="J13" s="46">
        <f t="shared" si="1"/>
        <v>3190735.14</v>
      </c>
      <c r="K13" s="46">
        <f t="shared" si="1"/>
        <v>3162718.3600000003</v>
      </c>
      <c r="L13" s="46">
        <f t="shared" si="1"/>
        <v>3428429.16</v>
      </c>
      <c r="M13" s="46">
        <f>SUM(M6:M11)</f>
        <v>5259556.0599999996</v>
      </c>
      <c r="N13" s="46">
        <f>SUM(N6:N11)</f>
        <v>39800750.600000001</v>
      </c>
      <c r="O13" s="155">
        <f>N13-1100000</f>
        <v>38700750.600000001</v>
      </c>
    </row>
    <row r="14" spans="1:16" ht="10.5" customHeight="1" x14ac:dyDescent="0.25">
      <c r="A14" s="4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6"/>
      <c r="O14" s="114"/>
    </row>
    <row r="15" spans="1:16" ht="20.100000000000001" customHeight="1" x14ac:dyDescent="0.25">
      <c r="A15" s="55" t="s">
        <v>101</v>
      </c>
      <c r="B15" s="131">
        <v>0</v>
      </c>
      <c r="C15" s="131">
        <v>0</v>
      </c>
      <c r="D15" s="131">
        <v>0</v>
      </c>
      <c r="E15" s="131">
        <v>0</v>
      </c>
      <c r="F15" s="56"/>
      <c r="G15" s="56"/>
      <c r="H15" s="56"/>
      <c r="I15" s="56"/>
      <c r="J15" s="56"/>
      <c r="K15" s="56"/>
      <c r="L15" s="56"/>
      <c r="M15" s="56"/>
      <c r="N15" s="46">
        <f>SUM(B15:M15)</f>
        <v>0</v>
      </c>
    </row>
    <row r="16" spans="1:16" ht="10.5" customHeight="1" x14ac:dyDescent="0.25">
      <c r="A16" s="55"/>
      <c r="B16" s="131"/>
      <c r="C16" s="131"/>
      <c r="D16" s="131"/>
      <c r="E16" s="131"/>
      <c r="F16" s="56"/>
      <c r="G16" s="56"/>
      <c r="H16" s="56"/>
      <c r="I16" s="56"/>
      <c r="J16" s="56"/>
      <c r="K16" s="56"/>
      <c r="L16" s="56"/>
      <c r="M16" s="56"/>
      <c r="N16" s="46"/>
    </row>
    <row r="17" spans="1:16" ht="21" customHeight="1" x14ac:dyDescent="0.25">
      <c r="A17" s="350" t="s">
        <v>274</v>
      </c>
      <c r="B17" s="350"/>
      <c r="C17" s="350"/>
      <c r="D17" s="350"/>
      <c r="E17" s="350"/>
      <c r="F17" s="351"/>
      <c r="G17" s="351"/>
      <c r="H17" s="351"/>
      <c r="I17" s="351">
        <f>I13-I15</f>
        <v>24759311.879999999</v>
      </c>
      <c r="J17" s="351">
        <f t="shared" ref="J17:M17" si="2">J13-J15</f>
        <v>3190735.14</v>
      </c>
      <c r="K17" s="351">
        <f t="shared" si="2"/>
        <v>3162718.3600000003</v>
      </c>
      <c r="L17" s="351">
        <f t="shared" si="2"/>
        <v>3428429.16</v>
      </c>
      <c r="M17" s="351">
        <f t="shared" si="2"/>
        <v>5259556.0599999996</v>
      </c>
      <c r="N17" s="45">
        <f>SUM(B17:M17)</f>
        <v>39800750.600000001</v>
      </c>
    </row>
    <row r="18" spans="1:16" ht="6.75" customHeight="1" x14ac:dyDescent="0.25">
      <c r="A18" s="55"/>
      <c r="B18" s="131"/>
      <c r="C18" s="131"/>
      <c r="D18" s="131"/>
      <c r="E18" s="131"/>
      <c r="F18" s="56"/>
      <c r="G18" s="56"/>
      <c r="H18" s="56"/>
      <c r="I18" s="56"/>
      <c r="J18" s="56"/>
      <c r="K18" s="56"/>
      <c r="L18" s="56"/>
      <c r="M18" s="56"/>
      <c r="N18" s="46">
        <f t="shared" ref="N18:N20" si="3">SUM(B18:M18)</f>
        <v>0</v>
      </c>
    </row>
    <row r="19" spans="1:16" ht="20.100000000000001" customHeight="1" x14ac:dyDescent="0.25">
      <c r="A19" s="49" t="s">
        <v>273</v>
      </c>
      <c r="B19" s="49">
        <f>B13-B15</f>
        <v>0</v>
      </c>
      <c r="C19" s="49">
        <f>C13-C15</f>
        <v>0</v>
      </c>
      <c r="D19" s="49">
        <f>D13-D15</f>
        <v>0</v>
      </c>
      <c r="E19" s="49">
        <f>E13-E15</f>
        <v>0</v>
      </c>
      <c r="F19" s="49">
        <f t="shared" ref="F19:H19" si="4">F13-F15</f>
        <v>0</v>
      </c>
      <c r="G19" s="49">
        <f t="shared" si="4"/>
        <v>0</v>
      </c>
      <c r="H19" s="49">
        <f t="shared" si="4"/>
        <v>0</v>
      </c>
      <c r="I19" s="49"/>
      <c r="J19" s="49"/>
      <c r="K19" s="49"/>
      <c r="L19" s="49"/>
      <c r="M19" s="49"/>
      <c r="N19" s="46">
        <f>SUM(B19:M19)</f>
        <v>0</v>
      </c>
      <c r="P19" s="137"/>
    </row>
    <row r="20" spans="1:16" ht="9" customHeight="1" x14ac:dyDescent="0.2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6">
        <f t="shared" si="3"/>
        <v>0</v>
      </c>
      <c r="P20" s="137"/>
    </row>
    <row r="21" spans="1:16" ht="24" customHeight="1" x14ac:dyDescent="0.25">
      <c r="A21" s="377" t="s">
        <v>307</v>
      </c>
      <c r="B21" s="377"/>
      <c r="C21" s="377"/>
      <c r="D21" s="377"/>
      <c r="E21" s="377"/>
      <c r="F21" s="377"/>
      <c r="G21" s="377"/>
      <c r="H21" s="377"/>
      <c r="I21" s="378">
        <f>SUM(I17:I20)</f>
        <v>24759311.879999999</v>
      </c>
      <c r="J21" s="378">
        <f>SUM(J17:J20)</f>
        <v>3190735.14</v>
      </c>
      <c r="K21" s="378">
        <f>SUM(K17:K20)</f>
        <v>3162718.3600000003</v>
      </c>
      <c r="L21" s="378">
        <f>SUM(L17:L20)</f>
        <v>3428429.16</v>
      </c>
      <c r="M21" s="378">
        <f>SUM(M17:M20)</f>
        <v>5259556.0599999996</v>
      </c>
      <c r="N21" s="379">
        <f>SUM(B21:M21)</f>
        <v>39800750.600000001</v>
      </c>
      <c r="P21" s="137"/>
    </row>
    <row r="22" spans="1:16" ht="9" customHeight="1" x14ac:dyDescent="0.2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6"/>
      <c r="P22" s="137"/>
    </row>
    <row r="23" spans="1:16" ht="18.75" customHeight="1" x14ac:dyDescent="0.25">
      <c r="A23" s="350" t="s">
        <v>276</v>
      </c>
      <c r="B23" s="350"/>
      <c r="C23" s="350"/>
      <c r="D23" s="350"/>
      <c r="E23" s="350"/>
      <c r="F23" s="350"/>
      <c r="G23" s="350"/>
      <c r="H23" s="350"/>
      <c r="I23" s="350">
        <f>Receitas!I39</f>
        <v>45596238.520000011</v>
      </c>
      <c r="J23" s="350">
        <f>Receitas!J39</f>
        <v>4511144.4300000025</v>
      </c>
      <c r="K23" s="350">
        <f>Receitas!K39</f>
        <v>4674556.2300000004</v>
      </c>
      <c r="L23" s="350">
        <f>Receitas!L39</f>
        <v>5267501.660000002</v>
      </c>
      <c r="M23" s="350">
        <f>Receitas!M39</f>
        <v>7600035.0199999996</v>
      </c>
      <c r="N23" s="45">
        <f>SUM(B23:M23)</f>
        <v>67649475.860000014</v>
      </c>
      <c r="P23" s="137"/>
    </row>
    <row r="24" spans="1:16" ht="9" customHeight="1" x14ac:dyDescent="0.25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P24" s="137"/>
    </row>
    <row r="25" spans="1:16" ht="20.100000000000001" customHeight="1" x14ac:dyDescent="0.25">
      <c r="A25" s="49" t="s">
        <v>275</v>
      </c>
      <c r="B25" s="49">
        <f>Receitas!B37</f>
        <v>0</v>
      </c>
      <c r="C25" s="49">
        <f>Receitas!C37</f>
        <v>0</v>
      </c>
      <c r="D25" s="49">
        <f>Receitas!D37</f>
        <v>0</v>
      </c>
      <c r="E25" s="49">
        <f>Receitas!E37</f>
        <v>0</v>
      </c>
      <c r="F25" s="49">
        <f>Receitas!F37</f>
        <v>0</v>
      </c>
      <c r="G25" s="49">
        <f>Receitas!G37</f>
        <v>0</v>
      </c>
      <c r="H25" s="49">
        <f>Receitas!H37</f>
        <v>0</v>
      </c>
      <c r="I25" s="49"/>
      <c r="J25" s="49"/>
      <c r="K25" s="49"/>
      <c r="L25" s="49"/>
      <c r="M25" s="49"/>
      <c r="N25" s="157">
        <f>SUM(B25:M25)</f>
        <v>0</v>
      </c>
      <c r="O25" s="138"/>
    </row>
    <row r="26" spans="1:16" ht="12" customHeight="1" x14ac:dyDescent="0.2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157"/>
      <c r="O26" s="138"/>
    </row>
    <row r="27" spans="1:16" ht="20.100000000000001" customHeight="1" x14ac:dyDescent="0.25">
      <c r="A27" s="377" t="s">
        <v>308</v>
      </c>
      <c r="B27" s="377"/>
      <c r="C27" s="377"/>
      <c r="D27" s="377"/>
      <c r="E27" s="377"/>
      <c r="F27" s="377"/>
      <c r="G27" s="377"/>
      <c r="H27" s="377"/>
      <c r="I27" s="377">
        <f>SUM(I23:I25)</f>
        <v>45596238.520000011</v>
      </c>
      <c r="J27" s="377">
        <f>SUM(J23:J25)</f>
        <v>4511144.4300000025</v>
      </c>
      <c r="K27" s="377">
        <f t="shared" ref="K27:M27" si="5">SUM(K23:K25)</f>
        <v>4674556.2300000004</v>
      </c>
      <c r="L27" s="377">
        <f t="shared" si="5"/>
        <v>5267501.660000002</v>
      </c>
      <c r="M27" s="377">
        <f t="shared" si="5"/>
        <v>7600035.0199999996</v>
      </c>
      <c r="N27" s="377">
        <f>SUM(B27:M27)</f>
        <v>67649475.860000014</v>
      </c>
      <c r="O27" s="138"/>
    </row>
    <row r="28" spans="1:16" ht="9.75" customHeight="1" x14ac:dyDescent="0.2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50"/>
      <c r="O28" s="138"/>
    </row>
    <row r="29" spans="1:16" ht="20.100000000000001" customHeight="1" x14ac:dyDescent="0.25">
      <c r="A29" s="48" t="s">
        <v>86</v>
      </c>
      <c r="B29" s="53" t="e">
        <f>B19/B25</f>
        <v>#DIV/0!</v>
      </c>
      <c r="C29" s="53" t="e">
        <f>C19/C25</f>
        <v>#DIV/0!</v>
      </c>
      <c r="D29" s="53" t="e">
        <f>D19/D25</f>
        <v>#DIV/0!</v>
      </c>
      <c r="E29" s="53" t="e">
        <f>E19/E25</f>
        <v>#DIV/0!</v>
      </c>
      <c r="F29" s="53" t="e">
        <f t="shared" ref="F29:H29" si="6">F19/F25</f>
        <v>#DIV/0!</v>
      </c>
      <c r="G29" s="53" t="e">
        <f t="shared" si="6"/>
        <v>#DIV/0!</v>
      </c>
      <c r="H29" s="53" t="e">
        <f t="shared" si="6"/>
        <v>#DIV/0!</v>
      </c>
      <c r="I29" s="53">
        <f t="shared" ref="I29:M29" si="7">I21/I27</f>
        <v>0.54301215810027292</v>
      </c>
      <c r="J29" s="53">
        <f t="shared" si="7"/>
        <v>0.70730059511750065</v>
      </c>
      <c r="K29" s="53">
        <f t="shared" si="7"/>
        <v>0.67658152012431783</v>
      </c>
      <c r="L29" s="53">
        <f t="shared" si="7"/>
        <v>0.65086437201046821</v>
      </c>
      <c r="M29" s="53">
        <f t="shared" si="7"/>
        <v>0.69204366113565619</v>
      </c>
      <c r="N29" s="53">
        <f>N21/N27</f>
        <v>0.58833790053846535</v>
      </c>
    </row>
    <row r="30" spans="1:16" x14ac:dyDescent="0.25">
      <c r="D30" s="115"/>
      <c r="M30" s="138"/>
    </row>
    <row r="31" spans="1:16" ht="21" customHeight="1" x14ac:dyDescent="0.3">
      <c r="B31" s="138"/>
      <c r="C31" s="138"/>
      <c r="D31" s="138"/>
      <c r="E31" s="138"/>
      <c r="K31" s="486" t="s">
        <v>309</v>
      </c>
      <c r="L31" s="486"/>
      <c r="M31" s="486"/>
      <c r="N31" s="160">
        <f>N29</f>
        <v>0.58833790053846535</v>
      </c>
    </row>
    <row r="32" spans="1:16" x14ac:dyDescent="0.25">
      <c r="B32" s="312"/>
      <c r="C32" s="312"/>
      <c r="D32" s="312"/>
      <c r="E32" s="312"/>
      <c r="F32" s="312"/>
      <c r="G32" s="312"/>
      <c r="H32" s="312"/>
      <c r="I32" s="311"/>
      <c r="J32" s="51"/>
      <c r="K32" s="139"/>
      <c r="L32" s="51"/>
      <c r="M32" s="51"/>
      <c r="N32" s="51"/>
    </row>
    <row r="33" spans="1:14" x14ac:dyDescent="0.25">
      <c r="B33" s="311"/>
      <c r="C33" s="139"/>
      <c r="D33" s="311"/>
      <c r="E33" s="311"/>
      <c r="F33" s="311"/>
      <c r="G33" s="311"/>
      <c r="H33" s="311"/>
      <c r="I33" s="311"/>
      <c r="J33" s="51"/>
      <c r="K33" s="139"/>
      <c r="L33" s="139"/>
      <c r="M33" s="139"/>
      <c r="N33" s="139"/>
    </row>
    <row r="34" spans="1:14" ht="16.5" customHeight="1" x14ac:dyDescent="0.25">
      <c r="B34" s="313"/>
      <c r="C34" s="313"/>
      <c r="D34" s="313"/>
      <c r="E34" s="313"/>
      <c r="F34" s="313"/>
      <c r="G34" s="313"/>
      <c r="H34" s="313"/>
      <c r="I34" s="314"/>
      <c r="K34" s="139"/>
      <c r="L34" s="139"/>
      <c r="M34" s="139"/>
      <c r="N34" s="139"/>
    </row>
    <row r="35" spans="1:14" ht="16.5" customHeight="1" x14ac:dyDescent="0.25">
      <c r="B35" s="315"/>
      <c r="C35" s="313"/>
      <c r="D35" s="313"/>
      <c r="E35" s="313"/>
      <c r="F35" s="313"/>
      <c r="G35" s="313"/>
      <c r="H35" s="313"/>
      <c r="K35" s="139"/>
      <c r="L35" s="139"/>
      <c r="M35" s="139"/>
      <c r="N35" s="36"/>
    </row>
    <row r="36" spans="1:14" x14ac:dyDescent="0.25">
      <c r="A36" s="39"/>
      <c r="B36" s="134"/>
      <c r="C36" s="134"/>
      <c r="D36" s="134"/>
      <c r="E36" s="134"/>
      <c r="F36" s="134"/>
      <c r="G36" s="317"/>
      <c r="H36" s="317"/>
      <c r="I36" s="316"/>
      <c r="K36" s="139"/>
      <c r="L36" s="139"/>
      <c r="M36" s="139"/>
      <c r="N36" s="139"/>
    </row>
    <row r="37" spans="1:14" x14ac:dyDescent="0.25">
      <c r="A37" s="134"/>
      <c r="B37" s="51"/>
      <c r="C37" s="51"/>
      <c r="D37" s="51"/>
      <c r="E37" s="51"/>
      <c r="F37" s="51"/>
      <c r="G37" s="51" t="s">
        <v>66</v>
      </c>
      <c r="H37" s="51"/>
      <c r="K37" s="139"/>
      <c r="L37" s="139"/>
      <c r="M37" s="139"/>
      <c r="N37" s="139"/>
    </row>
    <row r="38" spans="1:14" ht="20.25" customHeight="1" x14ac:dyDescent="0.25">
      <c r="A38" s="134"/>
      <c r="B38" s="51"/>
      <c r="C38" s="51"/>
      <c r="D38" s="51"/>
      <c r="E38" s="51"/>
      <c r="F38" s="51"/>
      <c r="G38" s="134"/>
      <c r="H38" s="134"/>
      <c r="J38" s="139"/>
      <c r="K38" s="139"/>
      <c r="L38" s="139"/>
      <c r="M38" s="139"/>
      <c r="N38" s="139"/>
    </row>
    <row r="39" spans="1:14" x14ac:dyDescent="0.25">
      <c r="A39" s="134"/>
      <c r="B39" s="51"/>
      <c r="C39" s="51"/>
      <c r="D39" s="51"/>
      <c r="E39" s="51"/>
      <c r="F39" s="51"/>
      <c r="G39" s="39"/>
      <c r="H39" s="134"/>
    </row>
    <row r="40" spans="1:14" x14ac:dyDescent="0.25">
      <c r="A40" s="134"/>
      <c r="B40" s="51"/>
      <c r="C40" s="51"/>
      <c r="D40" s="51"/>
      <c r="E40" s="51"/>
      <c r="F40" s="51"/>
      <c r="G40" s="39"/>
      <c r="H40" s="134"/>
      <c r="J40" s="133">
        <f>J38/12</f>
        <v>0</v>
      </c>
    </row>
    <row r="41" spans="1:14" x14ac:dyDescent="0.25">
      <c r="A41" s="134"/>
      <c r="B41" s="141"/>
      <c r="C41" s="141"/>
      <c r="D41" s="141"/>
      <c r="E41" s="141"/>
      <c r="F41" s="141"/>
      <c r="G41" s="134"/>
      <c r="H41" s="134"/>
    </row>
    <row r="42" spans="1:14" x14ac:dyDescent="0.25">
      <c r="A42" s="134"/>
      <c r="B42" s="39"/>
      <c r="C42" s="39"/>
      <c r="D42" s="39"/>
      <c r="E42" s="39"/>
      <c r="F42" s="39"/>
      <c r="G42" s="135"/>
      <c r="H42" s="135"/>
    </row>
    <row r="43" spans="1:14" x14ac:dyDescent="0.25"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142"/>
    </row>
    <row r="44" spans="1:14" x14ac:dyDescent="0.25">
      <c r="B44" s="52"/>
      <c r="C44" s="52"/>
      <c r="D44" s="52"/>
      <c r="E44" s="52"/>
      <c r="F44" s="52"/>
      <c r="G44" s="52"/>
      <c r="H44" s="51"/>
      <c r="I44" s="52"/>
      <c r="J44" s="52"/>
      <c r="K44" s="52"/>
      <c r="L44" s="52"/>
      <c r="M44" s="52"/>
      <c r="N44" s="142"/>
    </row>
    <row r="45" spans="1:14" x14ac:dyDescent="0.25">
      <c r="A45" s="39" t="s">
        <v>87</v>
      </c>
      <c r="B45" s="52"/>
      <c r="C45" s="52"/>
      <c r="D45" s="52"/>
      <c r="E45" s="143"/>
      <c r="F45" s="52"/>
      <c r="G45" s="52"/>
      <c r="H45" s="52"/>
      <c r="I45" s="52"/>
      <c r="J45" s="52"/>
      <c r="K45" s="52"/>
      <c r="L45" s="52"/>
      <c r="M45" s="52"/>
      <c r="N45" s="142"/>
    </row>
    <row r="46" spans="1:14" x14ac:dyDescent="0.25">
      <c r="B46" s="52"/>
      <c r="C46" s="52"/>
      <c r="D46" s="52"/>
      <c r="E46" s="52"/>
      <c r="F46" s="52"/>
      <c r="G46" s="52"/>
      <c r="H46" s="51"/>
      <c r="I46" s="52"/>
      <c r="J46" s="52"/>
      <c r="K46" s="52"/>
      <c r="L46" s="52"/>
      <c r="M46" s="52"/>
      <c r="N46" s="142"/>
    </row>
    <row r="47" spans="1:14" x14ac:dyDescent="0.25">
      <c r="A47" s="134"/>
      <c r="B47" s="52"/>
      <c r="C47" s="142"/>
      <c r="D47" s="142"/>
      <c r="E47" s="144"/>
      <c r="F47" s="142"/>
      <c r="G47" s="142"/>
      <c r="H47" s="142"/>
      <c r="I47" s="142"/>
      <c r="J47" s="142"/>
      <c r="K47" s="142"/>
      <c r="L47" s="142"/>
      <c r="M47" s="142"/>
      <c r="N47" s="142"/>
    </row>
    <row r="48" spans="1:14" x14ac:dyDescent="0.25">
      <c r="A48" s="134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142"/>
    </row>
    <row r="49" spans="1:14" ht="47.25" x14ac:dyDescent="0.25">
      <c r="A49" s="54" t="s">
        <v>87</v>
      </c>
      <c r="B49" s="58">
        <v>43831</v>
      </c>
      <c r="C49" s="58">
        <v>43862</v>
      </c>
      <c r="D49" s="58">
        <v>43525</v>
      </c>
      <c r="E49" s="58">
        <v>43556</v>
      </c>
      <c r="F49" s="58">
        <v>43586</v>
      </c>
      <c r="G49" s="58">
        <v>43617</v>
      </c>
      <c r="H49" s="58">
        <v>43647</v>
      </c>
      <c r="I49" s="58">
        <v>43678</v>
      </c>
      <c r="J49" s="58">
        <v>43709</v>
      </c>
      <c r="K49" s="59">
        <v>43739</v>
      </c>
      <c r="L49" s="58">
        <v>43770</v>
      </c>
      <c r="M49" s="58">
        <v>43800</v>
      </c>
      <c r="N49" s="60" t="s">
        <v>1</v>
      </c>
    </row>
    <row r="50" spans="1:14" ht="21.75" customHeight="1" x14ac:dyDescent="0.25">
      <c r="A50" s="78" t="s">
        <v>98</v>
      </c>
      <c r="B50" s="37">
        <v>13416.82</v>
      </c>
      <c r="C50" s="37">
        <f>13077.75+829.79</f>
        <v>13907.54</v>
      </c>
      <c r="D50" s="37">
        <v>13077.75</v>
      </c>
      <c r="E50" s="37">
        <v>15569.66</v>
      </c>
      <c r="F50" s="37">
        <v>17569.66</v>
      </c>
      <c r="G50" s="37">
        <v>22279.01</v>
      </c>
      <c r="H50" s="37">
        <v>21938.58</v>
      </c>
      <c r="I50" s="37">
        <v>30544.84</v>
      </c>
      <c r="J50" s="37">
        <v>33372.120000000003</v>
      </c>
      <c r="K50" s="37">
        <v>31756</v>
      </c>
      <c r="L50" s="37">
        <v>33884.42</v>
      </c>
      <c r="M50" s="37">
        <v>47995.07</v>
      </c>
      <c r="N50" s="145"/>
    </row>
    <row r="51" spans="1:14" ht="19.5" customHeight="1" x14ac:dyDescent="0.25">
      <c r="A51" s="146" t="s">
        <v>99</v>
      </c>
      <c r="B51" s="57">
        <f>3747.9+829.79</f>
        <v>4577.6900000000005</v>
      </c>
      <c r="C51" s="57">
        <f>3747.9+829.79</f>
        <v>4577.6900000000005</v>
      </c>
      <c r="D51" s="57">
        <v>4344.1000000000004</v>
      </c>
      <c r="E51" s="57">
        <v>3926.78</v>
      </c>
      <c r="F51" s="57">
        <v>3944.24</v>
      </c>
      <c r="G51" s="57">
        <v>5916.37</v>
      </c>
      <c r="H51" s="57">
        <v>4144.24</v>
      </c>
      <c r="I51" s="57">
        <v>4114.24</v>
      </c>
      <c r="J51" s="57">
        <v>4144.24</v>
      </c>
      <c r="K51" s="37">
        <v>4144.24</v>
      </c>
      <c r="L51" s="37">
        <v>4144.24</v>
      </c>
      <c r="M51" s="37">
        <v>6942.36</v>
      </c>
      <c r="N51" s="145"/>
    </row>
    <row r="52" spans="1:14" x14ac:dyDescent="0.25">
      <c r="A52" s="132" t="s">
        <v>95</v>
      </c>
      <c r="B52" s="37">
        <f>59414.36+4765.73</f>
        <v>64180.09</v>
      </c>
      <c r="C52" s="37">
        <f>23658.66+5238.05</f>
        <v>28896.71</v>
      </c>
      <c r="D52" s="37">
        <v>95737.37</v>
      </c>
      <c r="E52" s="37">
        <v>105173.41</v>
      </c>
      <c r="F52" s="37">
        <f>76995+19033.13</f>
        <v>96028.13</v>
      </c>
      <c r="G52" s="37">
        <v>131842.4</v>
      </c>
      <c r="H52" s="37">
        <v>102419.16</v>
      </c>
      <c r="I52" s="37">
        <v>103452.65</v>
      </c>
      <c r="J52" s="37">
        <v>103252.65</v>
      </c>
      <c r="K52" s="37">
        <v>123805.99</v>
      </c>
      <c r="L52" s="37">
        <v>120929.04</v>
      </c>
      <c r="M52" s="37">
        <v>182167.32</v>
      </c>
      <c r="N52" s="98"/>
    </row>
    <row r="53" spans="1:14" x14ac:dyDescent="0.25">
      <c r="A53" s="132" t="s">
        <v>96</v>
      </c>
      <c r="B53" s="37"/>
      <c r="C53" s="37"/>
      <c r="D53" s="37"/>
      <c r="E53" s="37"/>
      <c r="F53" s="98"/>
      <c r="G53" s="98"/>
      <c r="H53" s="98"/>
      <c r="I53" s="98"/>
      <c r="J53" s="98"/>
      <c r="K53" s="37"/>
      <c r="L53" s="98"/>
      <c r="M53" s="98"/>
      <c r="N53" s="98"/>
    </row>
    <row r="54" spans="1:14" x14ac:dyDescent="0.25">
      <c r="A54" s="132" t="s">
        <v>97</v>
      </c>
      <c r="B54" s="37">
        <f>9089.08+2012.32</f>
        <v>11101.4</v>
      </c>
      <c r="C54" s="37">
        <f>9089.08+2012.32</f>
        <v>11101.4</v>
      </c>
      <c r="D54" s="37">
        <v>34600</v>
      </c>
      <c r="E54" s="37">
        <v>34600</v>
      </c>
      <c r="F54" s="37">
        <f>30600+9820.28</f>
        <v>40420.28</v>
      </c>
      <c r="G54" s="37">
        <v>58902.06</v>
      </c>
      <c r="H54" s="37">
        <v>44230.73</v>
      </c>
      <c r="I54" s="37">
        <v>50308.49</v>
      </c>
      <c r="J54" s="37">
        <v>48994</v>
      </c>
      <c r="K54" s="37">
        <v>50578.49</v>
      </c>
      <c r="L54" s="37">
        <v>176246.28</v>
      </c>
      <c r="M54" s="98">
        <v>258219.84</v>
      </c>
      <c r="N54" s="98"/>
    </row>
    <row r="55" spans="1:14" x14ac:dyDescent="0.25">
      <c r="A55" s="132" t="s">
        <v>100</v>
      </c>
      <c r="B55" s="37">
        <f>3577.54+792.07</f>
        <v>4369.6099999999997</v>
      </c>
      <c r="C55" s="37">
        <f>3577.54+792.07</f>
        <v>4369.6099999999997</v>
      </c>
      <c r="D55" s="37">
        <v>4173.74</v>
      </c>
      <c r="E55" s="37">
        <v>3756.42</v>
      </c>
      <c r="F55" s="37">
        <v>3756.42</v>
      </c>
      <c r="G55" s="37">
        <v>5634.64</v>
      </c>
      <c r="H55" s="37">
        <v>3956.42</v>
      </c>
      <c r="I55" s="37">
        <v>3956.42</v>
      </c>
      <c r="J55" s="37">
        <v>3956.42</v>
      </c>
      <c r="K55" s="37">
        <v>3856.42</v>
      </c>
      <c r="L55" s="37">
        <v>3956.42</v>
      </c>
      <c r="M55" s="98">
        <v>6034.62</v>
      </c>
      <c r="N55" s="98"/>
    </row>
    <row r="56" spans="1:14" x14ac:dyDescent="0.25">
      <c r="A56" s="158" t="s">
        <v>1</v>
      </c>
      <c r="B56" s="61">
        <f>SUM(B50:B55)</f>
        <v>97645.61</v>
      </c>
      <c r="C56" s="61">
        <f>SUM(C50:C55)</f>
        <v>62852.950000000004</v>
      </c>
      <c r="D56" s="61">
        <f t="shared" ref="D56:N56" si="8">SUM(D50:D55)</f>
        <v>151932.96</v>
      </c>
      <c r="E56" s="61">
        <f t="shared" si="8"/>
        <v>163026.27000000002</v>
      </c>
      <c r="F56" s="61">
        <f t="shared" si="8"/>
        <v>161718.73000000001</v>
      </c>
      <c r="G56" s="61">
        <f t="shared" si="8"/>
        <v>224574.48</v>
      </c>
      <c r="H56" s="61">
        <f t="shared" si="8"/>
        <v>176689.13000000003</v>
      </c>
      <c r="I56" s="61">
        <f t="shared" si="8"/>
        <v>192376.63999999998</v>
      </c>
      <c r="J56" s="61">
        <f t="shared" si="8"/>
        <v>193719.43000000002</v>
      </c>
      <c r="K56" s="61">
        <f t="shared" si="8"/>
        <v>214141.14</v>
      </c>
      <c r="L56" s="61">
        <f t="shared" si="8"/>
        <v>339160.39999999997</v>
      </c>
      <c r="M56" s="61">
        <f t="shared" si="8"/>
        <v>501359.20999999996</v>
      </c>
      <c r="N56" s="61">
        <f t="shared" si="8"/>
        <v>0</v>
      </c>
    </row>
    <row r="57" spans="1:14" x14ac:dyDescent="0.25"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40"/>
    </row>
    <row r="58" spans="1:14" x14ac:dyDescent="0.25">
      <c r="B58" s="41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</row>
    <row r="59" spans="1:14" x14ac:dyDescent="0.25"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48">
        <v>20934.79</v>
      </c>
      <c r="M59" s="134"/>
      <c r="N59" s="134"/>
    </row>
    <row r="60" spans="1:14" x14ac:dyDescent="0.25">
      <c r="A60" s="133" t="s">
        <v>89</v>
      </c>
      <c r="B60" s="39"/>
      <c r="C60" s="134"/>
      <c r="D60" s="134"/>
      <c r="E60" s="134"/>
      <c r="F60" s="134" t="s">
        <v>130</v>
      </c>
      <c r="G60" s="135" t="s">
        <v>125</v>
      </c>
      <c r="H60" s="135" t="s">
        <v>126</v>
      </c>
      <c r="I60" s="135" t="s">
        <v>127</v>
      </c>
      <c r="J60" s="135" t="s">
        <v>128</v>
      </c>
      <c r="K60" s="134" t="s">
        <v>129</v>
      </c>
      <c r="L60" s="149">
        <v>12949.63</v>
      </c>
      <c r="M60" s="134"/>
      <c r="N60" s="134"/>
    </row>
    <row r="61" spans="1:14" x14ac:dyDescent="0.25">
      <c r="A61" s="133" t="s">
        <v>90</v>
      </c>
      <c r="B61" s="134"/>
      <c r="C61" s="134"/>
      <c r="D61" s="134"/>
      <c r="E61" s="134"/>
      <c r="F61" s="134">
        <v>29806.25</v>
      </c>
      <c r="G61" s="149">
        <v>2172.11</v>
      </c>
      <c r="H61" s="149">
        <v>2078.1999999999998</v>
      </c>
      <c r="I61" s="149">
        <v>12459.57</v>
      </c>
      <c r="J61" s="149">
        <v>5184.45</v>
      </c>
      <c r="K61" s="134">
        <v>63659.61</v>
      </c>
      <c r="L61" s="150">
        <f>SUM(L59:L60)</f>
        <v>33884.42</v>
      </c>
      <c r="M61" s="134"/>
      <c r="N61" s="134"/>
    </row>
    <row r="62" spans="1:14" x14ac:dyDescent="0.25">
      <c r="A62" s="133" t="s">
        <v>91</v>
      </c>
      <c r="B62" s="151"/>
      <c r="C62" s="151"/>
      <c r="D62" s="151"/>
      <c r="E62" s="151"/>
      <c r="F62" s="134">
        <v>18188.82</v>
      </c>
      <c r="G62" s="134">
        <v>4770.25</v>
      </c>
      <c r="H62" s="149">
        <v>3956.42</v>
      </c>
      <c r="I62" s="149">
        <v>24621.48</v>
      </c>
      <c r="J62" s="149">
        <v>21950.04</v>
      </c>
      <c r="K62" s="134">
        <v>116737.12</v>
      </c>
      <c r="L62" s="134"/>
      <c r="M62" s="39"/>
      <c r="N62" s="39"/>
    </row>
    <row r="63" spans="1:14" x14ac:dyDescent="0.25">
      <c r="A63" s="133" t="s">
        <v>92</v>
      </c>
      <c r="B63" s="133">
        <v>21427.02</v>
      </c>
      <c r="F63" s="152"/>
      <c r="G63" s="152"/>
      <c r="H63" s="152"/>
      <c r="I63" s="153">
        <v>47656.6</v>
      </c>
      <c r="J63" s="153">
        <v>11188.62</v>
      </c>
      <c r="K63" s="153"/>
      <c r="L63" s="152"/>
    </row>
    <row r="64" spans="1:14" x14ac:dyDescent="0.25">
      <c r="A64" s="133" t="s">
        <v>93</v>
      </c>
      <c r="F64" s="152"/>
      <c r="G64" s="152"/>
      <c r="H64" s="152"/>
      <c r="I64" s="152">
        <v>97426.67</v>
      </c>
      <c r="J64" s="152">
        <v>39500</v>
      </c>
      <c r="K64" s="152"/>
      <c r="L64" s="152"/>
    </row>
    <row r="65" spans="1:11" x14ac:dyDescent="0.25">
      <c r="A65" s="133" t="s">
        <v>94</v>
      </c>
    </row>
    <row r="66" spans="1:11" x14ac:dyDescent="0.25">
      <c r="A66" s="133" t="s">
        <v>103</v>
      </c>
      <c r="B66" s="133">
        <v>37987.339999999997</v>
      </c>
      <c r="F66" s="154">
        <f t="shared" ref="F66:K66" si="9">SUM(F61:F65)</f>
        <v>47995.07</v>
      </c>
      <c r="G66" s="154">
        <f t="shared" si="9"/>
        <v>6942.3600000000006</v>
      </c>
      <c r="H66" s="154">
        <f t="shared" si="9"/>
        <v>6034.62</v>
      </c>
      <c r="I66" s="154">
        <f t="shared" si="9"/>
        <v>182164.32</v>
      </c>
      <c r="J66" s="154">
        <f t="shared" si="9"/>
        <v>77823.11</v>
      </c>
      <c r="K66" s="154">
        <f t="shared" si="9"/>
        <v>180396.72999999998</v>
      </c>
    </row>
    <row r="67" spans="1:11" x14ac:dyDescent="0.25">
      <c r="B67" s="133">
        <v>21427.02</v>
      </c>
    </row>
    <row r="68" spans="1:11" x14ac:dyDescent="0.25">
      <c r="B68" s="133">
        <f>SUM(B66:B67)</f>
        <v>59414.36</v>
      </c>
    </row>
    <row r="70" spans="1:11" x14ac:dyDescent="0.25">
      <c r="G70" s="133">
        <v>29806.25</v>
      </c>
    </row>
    <row r="71" spans="1:11" x14ac:dyDescent="0.25">
      <c r="G71" s="133">
        <v>18</v>
      </c>
    </row>
    <row r="79" spans="1:11" x14ac:dyDescent="0.25">
      <c r="F79" s="133">
        <v>8450.1200000000008</v>
      </c>
    </row>
    <row r="80" spans="1:11" x14ac:dyDescent="0.25">
      <c r="F80" s="133">
        <v>142723.28</v>
      </c>
    </row>
    <row r="81" spans="3:6" x14ac:dyDescent="0.25">
      <c r="F81" s="133">
        <f>SUM(F79:F80)</f>
        <v>151173.4</v>
      </c>
    </row>
    <row r="88" spans="3:6" x14ac:dyDescent="0.25">
      <c r="C88" s="138"/>
      <c r="D88" s="137"/>
    </row>
    <row r="89" spans="3:6" x14ac:dyDescent="0.25">
      <c r="D89" s="137"/>
    </row>
    <row r="90" spans="3:6" x14ac:dyDescent="0.25">
      <c r="D90" s="137"/>
    </row>
  </sheetData>
  <mergeCells count="3">
    <mergeCell ref="A2:N2"/>
    <mergeCell ref="A3:N3"/>
    <mergeCell ref="K31:M31"/>
  </mergeCells>
  <pageMargins left="0.511811024" right="0.511811024" top="0.78740157499999996" bottom="0.78740157499999996" header="0.31496062000000002" footer="0.31496062000000002"/>
  <pageSetup paperSize="9" scale="47" fitToHeight="0" orientation="landscape" r:id="rId1"/>
  <colBreaks count="1" manualBreakCount="1">
    <brk id="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69"/>
  <sheetViews>
    <sheetView topLeftCell="A27" zoomScaleNormal="100" workbookViewId="0">
      <selection activeCell="E41" sqref="E41"/>
    </sheetView>
  </sheetViews>
  <sheetFormatPr defaultRowHeight="15" x14ac:dyDescent="0.25"/>
  <cols>
    <col min="1" max="1" width="71" customWidth="1"/>
    <col min="2" max="2" width="18.85546875" customWidth="1"/>
    <col min="3" max="3" width="16.7109375" customWidth="1"/>
    <col min="4" max="4" width="16.85546875" bestFit="1" customWidth="1"/>
    <col min="5" max="5" width="15.85546875" bestFit="1" customWidth="1"/>
    <col min="8" max="8" width="14.28515625" bestFit="1" customWidth="1"/>
  </cols>
  <sheetData>
    <row r="1" spans="1:5" ht="18.75" thickBot="1" x14ac:dyDescent="0.3">
      <c r="A1" s="460" t="s">
        <v>208</v>
      </c>
      <c r="B1" s="461"/>
      <c r="C1" s="461"/>
      <c r="D1" s="461"/>
      <c r="E1" s="462"/>
    </row>
    <row r="2" spans="1:5" x14ac:dyDescent="0.25">
      <c r="A2" s="463" t="s">
        <v>16</v>
      </c>
      <c r="B2" s="465" t="s">
        <v>7</v>
      </c>
      <c r="C2" s="467" t="s">
        <v>8</v>
      </c>
      <c r="D2" s="465" t="s">
        <v>9</v>
      </c>
      <c r="E2" s="469"/>
    </row>
    <row r="3" spans="1:5" ht="15.75" thickBot="1" x14ac:dyDescent="0.3">
      <c r="A3" s="464"/>
      <c r="B3" s="466"/>
      <c r="C3" s="468"/>
      <c r="D3" s="217" t="s">
        <v>2</v>
      </c>
      <c r="E3" s="218" t="s">
        <v>10</v>
      </c>
    </row>
    <row r="4" spans="1:5" x14ac:dyDescent="0.25">
      <c r="A4" s="219" t="s">
        <v>17</v>
      </c>
      <c r="B4" s="220">
        <f>SUM(B5:B12)</f>
        <v>3386000</v>
      </c>
      <c r="C4" s="220">
        <f>SUM(C5:C12)</f>
        <v>3386000</v>
      </c>
      <c r="D4" s="221">
        <f>SUM(D5:D13)</f>
        <v>1770444.1800000002</v>
      </c>
      <c r="E4" s="222">
        <f>D4/C4</f>
        <v>0.52287187832250448</v>
      </c>
    </row>
    <row r="5" spans="1:5" x14ac:dyDescent="0.25">
      <c r="A5" s="223" t="s">
        <v>18</v>
      </c>
      <c r="B5" s="224">
        <v>690000</v>
      </c>
      <c r="C5" s="224">
        <f>B5</f>
        <v>690000</v>
      </c>
      <c r="D5" s="225">
        <f>Receitas!N4</f>
        <v>247328.94</v>
      </c>
      <c r="E5" s="222">
        <f t="shared" ref="E5:E22" si="0">D5/C5</f>
        <v>0.35844773913043476</v>
      </c>
    </row>
    <row r="6" spans="1:5" x14ac:dyDescent="0.25">
      <c r="A6" s="223" t="s">
        <v>19</v>
      </c>
      <c r="B6" s="224">
        <v>1004000</v>
      </c>
      <c r="C6" s="224">
        <f>B6</f>
        <v>1004000</v>
      </c>
      <c r="D6" s="225">
        <f>Receitas!N6</f>
        <v>337676.82999999996</v>
      </c>
      <c r="E6" s="222">
        <f t="shared" si="0"/>
        <v>0.3363315039840637</v>
      </c>
    </row>
    <row r="7" spans="1:5" x14ac:dyDescent="0.25">
      <c r="A7" s="223" t="s">
        <v>20</v>
      </c>
      <c r="B7" s="224">
        <v>672000</v>
      </c>
      <c r="C7" s="224">
        <f>B7</f>
        <v>672000</v>
      </c>
      <c r="D7" s="225">
        <f>Receitas!N5</f>
        <v>346297.02</v>
      </c>
      <c r="E7" s="222">
        <f t="shared" si="0"/>
        <v>0.51532294642857146</v>
      </c>
    </row>
    <row r="8" spans="1:5" x14ac:dyDescent="0.25">
      <c r="A8" s="223" t="s">
        <v>21</v>
      </c>
      <c r="B8" s="224">
        <v>1020000</v>
      </c>
      <c r="C8" s="224">
        <f>B8</f>
        <v>1020000</v>
      </c>
      <c r="D8" s="225">
        <f>Receitas!N7</f>
        <v>839141.39</v>
      </c>
      <c r="E8" s="222">
        <f t="shared" si="0"/>
        <v>0.82268763725490202</v>
      </c>
    </row>
    <row r="9" spans="1:5" x14ac:dyDescent="0.25">
      <c r="A9" s="223" t="s">
        <v>22</v>
      </c>
      <c r="B9" s="224"/>
      <c r="C9" s="224"/>
      <c r="D9" s="225"/>
      <c r="E9" s="222"/>
    </row>
    <row r="10" spans="1:5" x14ac:dyDescent="0.25">
      <c r="A10" s="223" t="s">
        <v>205</v>
      </c>
      <c r="B10" s="224"/>
      <c r="C10" s="224"/>
      <c r="D10" s="119"/>
      <c r="E10" s="222"/>
    </row>
    <row r="11" spans="1:5" x14ac:dyDescent="0.25">
      <c r="A11" s="223" t="s">
        <v>23</v>
      </c>
      <c r="B11" s="224"/>
      <c r="C11" s="224"/>
      <c r="D11" s="225"/>
      <c r="E11" s="222"/>
    </row>
    <row r="12" spans="1:5" x14ac:dyDescent="0.25">
      <c r="A12" s="223" t="s">
        <v>24</v>
      </c>
      <c r="B12" s="224"/>
      <c r="C12" s="224"/>
      <c r="D12" s="225"/>
      <c r="E12" s="222"/>
    </row>
    <row r="13" spans="1:5" x14ac:dyDescent="0.25">
      <c r="A13" s="223" t="s">
        <v>169</v>
      </c>
      <c r="B13" s="224"/>
      <c r="C13" s="224"/>
      <c r="D13" s="225"/>
      <c r="E13" s="222"/>
    </row>
    <row r="14" spans="1:5" x14ac:dyDescent="0.25">
      <c r="A14" s="226" t="s">
        <v>206</v>
      </c>
      <c r="B14" s="220">
        <f>SUM(B15:B21)</f>
        <v>34623400</v>
      </c>
      <c r="C14" s="220">
        <f>SUM(C15:C21)</f>
        <v>34623400</v>
      </c>
      <c r="D14" s="221">
        <f>SUM(D15:D21)</f>
        <v>39479694.630000003</v>
      </c>
      <c r="E14" s="222">
        <f t="shared" si="0"/>
        <v>1.1402604778848988</v>
      </c>
    </row>
    <row r="15" spans="1:5" x14ac:dyDescent="0.25">
      <c r="A15" s="223" t="s">
        <v>25</v>
      </c>
      <c r="B15" s="224">
        <v>25712000</v>
      </c>
      <c r="C15" s="224">
        <f t="shared" ref="C15:C20" si="1">B15</f>
        <v>25712000</v>
      </c>
      <c r="D15" s="225">
        <f>Receitas!N14</f>
        <v>29330946.539999999</v>
      </c>
      <c r="E15" s="222">
        <v>0</v>
      </c>
    </row>
    <row r="16" spans="1:5" x14ac:dyDescent="0.25">
      <c r="A16" s="223" t="s">
        <v>26</v>
      </c>
      <c r="B16" s="224">
        <v>27500</v>
      </c>
      <c r="C16" s="224">
        <f t="shared" si="1"/>
        <v>27500</v>
      </c>
      <c r="D16" s="225">
        <f>Receitas!N16</f>
        <v>66238.880000000005</v>
      </c>
      <c r="E16" s="222">
        <f t="shared" si="0"/>
        <v>2.4086865454545454</v>
      </c>
    </row>
    <row r="17" spans="1:8" x14ac:dyDescent="0.25">
      <c r="A17" s="223" t="s">
        <v>27</v>
      </c>
      <c r="B17" s="224">
        <v>534000</v>
      </c>
      <c r="C17" s="224">
        <f t="shared" si="1"/>
        <v>534000</v>
      </c>
      <c r="D17" s="225">
        <f>Receitas!N18</f>
        <v>607842.70000000007</v>
      </c>
      <c r="E17" s="222">
        <f t="shared" si="0"/>
        <v>1.1382822097378278</v>
      </c>
    </row>
    <row r="18" spans="1:8" x14ac:dyDescent="0.25">
      <c r="A18" s="223" t="s">
        <v>28</v>
      </c>
      <c r="B18" s="224">
        <v>8260000</v>
      </c>
      <c r="C18" s="224">
        <f t="shared" si="1"/>
        <v>8260000</v>
      </c>
      <c r="D18" s="225">
        <f>Receitas!N17</f>
        <v>9425012.129999999</v>
      </c>
      <c r="E18" s="222">
        <f t="shared" si="0"/>
        <v>1.1410426307506052</v>
      </c>
    </row>
    <row r="19" spans="1:8" x14ac:dyDescent="0.25">
      <c r="A19" s="223" t="s">
        <v>29</v>
      </c>
      <c r="B19" s="224">
        <v>70000</v>
      </c>
      <c r="C19" s="224">
        <f t="shared" si="1"/>
        <v>70000</v>
      </c>
      <c r="D19" s="225">
        <f>Receitas!N20</f>
        <v>49654.380000000005</v>
      </c>
      <c r="E19" s="222">
        <f t="shared" si="0"/>
        <v>0.70934828571428576</v>
      </c>
    </row>
    <row r="20" spans="1:8" x14ac:dyDescent="0.25">
      <c r="A20" s="223" t="s">
        <v>30</v>
      </c>
      <c r="B20" s="224">
        <v>19900</v>
      </c>
      <c r="C20" s="224">
        <f t="shared" si="1"/>
        <v>19900</v>
      </c>
      <c r="D20" s="225"/>
      <c r="E20" s="222">
        <f t="shared" si="0"/>
        <v>0</v>
      </c>
    </row>
    <row r="21" spans="1:8" x14ac:dyDescent="0.25">
      <c r="A21" s="223" t="s">
        <v>31</v>
      </c>
      <c r="B21" s="224">
        <v>0</v>
      </c>
      <c r="C21" s="224">
        <v>0</v>
      </c>
      <c r="D21" s="225">
        <v>0</v>
      </c>
      <c r="E21" s="222">
        <v>0</v>
      </c>
    </row>
    <row r="22" spans="1:8" ht="15.75" thickBot="1" x14ac:dyDescent="0.3">
      <c r="A22" s="230" t="s">
        <v>32</v>
      </c>
      <c r="B22" s="227">
        <f>SUM(B4,B14)</f>
        <v>38009400</v>
      </c>
      <c r="C22" s="227">
        <f>SUM(C4,C14)</f>
        <v>38009400</v>
      </c>
      <c r="D22" s="228">
        <f>SUM(D4,D14)</f>
        <v>41250138.810000002</v>
      </c>
      <c r="E22" s="229">
        <f t="shared" si="0"/>
        <v>1.0852615092582363</v>
      </c>
    </row>
    <row r="24" spans="1:8" ht="15.75" thickBot="1" x14ac:dyDescent="0.3"/>
    <row r="25" spans="1:8" x14ac:dyDescent="0.25">
      <c r="A25" s="214" t="s">
        <v>42</v>
      </c>
      <c r="B25" s="454" t="s">
        <v>7</v>
      </c>
      <c r="C25" s="456" t="s">
        <v>8</v>
      </c>
      <c r="D25" s="458" t="s">
        <v>14</v>
      </c>
      <c r="E25" s="459"/>
      <c r="H25" s="36">
        <v>4340058.04</v>
      </c>
    </row>
    <row r="26" spans="1:8" ht="15.75" thickBot="1" x14ac:dyDescent="0.3">
      <c r="A26" s="215" t="s">
        <v>43</v>
      </c>
      <c r="B26" s="455"/>
      <c r="C26" s="457"/>
      <c r="D26" s="394" t="s">
        <v>2</v>
      </c>
      <c r="E26" s="216" t="s">
        <v>10</v>
      </c>
      <c r="H26" s="36">
        <v>4326522.6900000004</v>
      </c>
    </row>
    <row r="27" spans="1:8" x14ac:dyDescent="0.25">
      <c r="A27" s="13" t="s">
        <v>3</v>
      </c>
      <c r="B27" s="36">
        <v>7073074</v>
      </c>
      <c r="C27" s="395">
        <v>9290215.1300000008</v>
      </c>
      <c r="D27" s="395">
        <v>8431164.1899999995</v>
      </c>
      <c r="E27" s="14">
        <f>D27/C27</f>
        <v>0.90753164184261459</v>
      </c>
    </row>
    <row r="28" spans="1:8" x14ac:dyDescent="0.25">
      <c r="A28" s="15" t="s">
        <v>44</v>
      </c>
      <c r="B28" s="210"/>
      <c r="C28" s="210"/>
      <c r="D28" s="1"/>
      <c r="E28" s="14"/>
      <c r="H28" s="36">
        <f>SUM(H25:H27)</f>
        <v>8666580.7300000004</v>
      </c>
    </row>
    <row r="29" spans="1:8" x14ac:dyDescent="0.25">
      <c r="A29" s="15" t="s">
        <v>45</v>
      </c>
      <c r="B29" s="210"/>
      <c r="C29" s="210"/>
      <c r="D29" s="1"/>
      <c r="E29" s="14"/>
    </row>
    <row r="30" spans="1:8" x14ac:dyDescent="0.25">
      <c r="A30" s="15" t="s">
        <v>46</v>
      </c>
      <c r="B30" s="210"/>
      <c r="C30" s="210"/>
      <c r="D30" s="1"/>
      <c r="E30" s="14"/>
      <c r="H30" s="416">
        <f>H28/D22</f>
        <v>0.21009821978826937</v>
      </c>
    </row>
    <row r="31" spans="1:8" x14ac:dyDescent="0.25">
      <c r="A31" s="16" t="s">
        <v>4</v>
      </c>
      <c r="B31" s="36">
        <v>81000</v>
      </c>
      <c r="C31" s="395">
        <v>219100.51</v>
      </c>
      <c r="D31" s="395">
        <v>183873.07</v>
      </c>
      <c r="E31" s="14">
        <f>D31/C31</f>
        <v>0.83921790049689982</v>
      </c>
    </row>
    <row r="32" spans="1:8" x14ac:dyDescent="0.25">
      <c r="A32" s="15" t="s">
        <v>47</v>
      </c>
      <c r="B32" s="210"/>
      <c r="C32" s="210"/>
      <c r="D32" s="1"/>
      <c r="E32" s="14"/>
    </row>
    <row r="33" spans="1:8" x14ac:dyDescent="0.25">
      <c r="A33" s="15" t="s">
        <v>48</v>
      </c>
      <c r="B33" s="210"/>
      <c r="C33" s="210"/>
      <c r="D33" s="1"/>
      <c r="E33" s="14"/>
    </row>
    <row r="34" spans="1:8" x14ac:dyDescent="0.25">
      <c r="A34" s="15" t="s">
        <v>49</v>
      </c>
      <c r="B34" s="210"/>
      <c r="C34" s="210"/>
      <c r="D34" s="1"/>
      <c r="E34" s="14"/>
    </row>
    <row r="35" spans="1:8" x14ac:dyDescent="0.25">
      <c r="A35" s="212" t="s">
        <v>50</v>
      </c>
      <c r="B35" s="211">
        <f>SUM(B31,B27)</f>
        <v>7154074</v>
      </c>
      <c r="C35" s="211">
        <f>SUM(C31,C27)</f>
        <v>9509315.6400000006</v>
      </c>
      <c r="D35" s="211">
        <f>SUM(D27,D31)</f>
        <v>8615037.2599999998</v>
      </c>
      <c r="E35" s="213">
        <f>D35/C35</f>
        <v>0.9059576510176709</v>
      </c>
      <c r="H35" s="327"/>
    </row>
    <row r="36" spans="1:8" ht="15.75" thickBot="1" x14ac:dyDescent="0.3">
      <c r="H36" s="327"/>
    </row>
    <row r="37" spans="1:8" ht="15.75" thickBot="1" x14ac:dyDescent="0.3">
      <c r="A37" s="232" t="s">
        <v>62</v>
      </c>
      <c r="B37" s="233">
        <f>B35-B69</f>
        <v>7154074</v>
      </c>
      <c r="C37" s="233">
        <f>C35-C69</f>
        <v>9509315.6400000006</v>
      </c>
      <c r="D37" s="233">
        <f>D35-D69</f>
        <v>8615037.2599999998</v>
      </c>
      <c r="E37" s="234">
        <f>D37/C37</f>
        <v>0.9059576510176709</v>
      </c>
      <c r="H37" s="327"/>
    </row>
    <row r="38" spans="1:8" ht="15.75" thickBot="1" x14ac:dyDescent="0.3">
      <c r="D38" t="s">
        <v>66</v>
      </c>
      <c r="H38" s="348"/>
    </row>
    <row r="39" spans="1:8" ht="21.75" thickBot="1" x14ac:dyDescent="0.4">
      <c r="A39" s="450" t="s">
        <v>211</v>
      </c>
      <c r="B39" s="451"/>
      <c r="C39" s="451"/>
      <c r="D39" s="451"/>
      <c r="E39" s="231">
        <f>D37/D22</f>
        <v>0.20884868532639975</v>
      </c>
      <c r="H39" s="327"/>
    </row>
    <row r="40" spans="1:8" ht="15.75" thickBot="1" x14ac:dyDescent="0.3">
      <c r="H40" s="327"/>
    </row>
    <row r="41" spans="1:8" ht="15.75" thickBot="1" x14ac:dyDescent="0.3">
      <c r="A41" s="452" t="s">
        <v>212</v>
      </c>
      <c r="B41" s="453"/>
      <c r="C41" s="453"/>
      <c r="D41" s="453"/>
      <c r="E41" s="209">
        <f>(D22*15%)-D37</f>
        <v>-2427516.4384999992</v>
      </c>
    </row>
    <row r="45" spans="1:8" ht="15.75" thickBot="1" x14ac:dyDescent="0.3"/>
    <row r="46" spans="1:8" ht="15.75" thickBot="1" x14ac:dyDescent="0.3">
      <c r="A46" s="476" t="s">
        <v>33</v>
      </c>
      <c r="B46" s="478" t="s">
        <v>7</v>
      </c>
      <c r="C46" s="478" t="s">
        <v>8</v>
      </c>
      <c r="D46" s="480" t="s">
        <v>9</v>
      </c>
      <c r="E46" s="481"/>
    </row>
    <row r="47" spans="1:8" ht="15.75" thickBot="1" x14ac:dyDescent="0.3">
      <c r="A47" s="477"/>
      <c r="B47" s="479"/>
      <c r="C47" s="479"/>
      <c r="D47" s="2" t="s">
        <v>2</v>
      </c>
      <c r="E47" s="3" t="s">
        <v>10</v>
      </c>
    </row>
    <row r="48" spans="1:8" ht="15.75" thickBot="1" x14ac:dyDescent="0.3">
      <c r="A48" s="4" t="s">
        <v>207</v>
      </c>
      <c r="B48" s="201">
        <f>SUM(B49:B52)</f>
        <v>3267399.2</v>
      </c>
      <c r="C48" s="201">
        <f>SUM(C49:C52)</f>
        <v>3267399.2</v>
      </c>
      <c r="D48" s="5">
        <f>SUM(D49:D52)</f>
        <v>2898775.6599999997</v>
      </c>
      <c r="E48" s="6">
        <f>D48/C48</f>
        <v>0.8871813581884942</v>
      </c>
    </row>
    <row r="49" spans="1:5" ht="15.75" thickBot="1" x14ac:dyDescent="0.3">
      <c r="A49" s="7" t="s">
        <v>34</v>
      </c>
      <c r="B49" s="202">
        <v>3146399.2</v>
      </c>
      <c r="C49" s="202">
        <v>3146399.2</v>
      </c>
      <c r="D49" s="8">
        <v>2754577.51</v>
      </c>
      <c r="E49" s="6">
        <f>D49/C49</f>
        <v>0.87546981006097369</v>
      </c>
    </row>
    <row r="50" spans="1:5" ht="15.75" thickBot="1" x14ac:dyDescent="0.3">
      <c r="A50" s="7" t="s">
        <v>35</v>
      </c>
      <c r="B50" s="202">
        <v>121000</v>
      </c>
      <c r="C50" s="202">
        <v>121000</v>
      </c>
      <c r="D50" s="8">
        <v>144198.15</v>
      </c>
      <c r="E50" s="6">
        <f>D50/C50</f>
        <v>1.1917202479338842</v>
      </c>
    </row>
    <row r="51" spans="1:5" ht="15.75" thickBot="1" x14ac:dyDescent="0.3">
      <c r="A51" s="7" t="s">
        <v>36</v>
      </c>
      <c r="B51" s="202">
        <v>0</v>
      </c>
      <c r="C51" s="202"/>
      <c r="D51" s="8">
        <v>0</v>
      </c>
      <c r="E51" s="6">
        <v>0</v>
      </c>
    </row>
    <row r="52" spans="1:5" ht="15.75" thickBot="1" x14ac:dyDescent="0.3">
      <c r="A52" s="7" t="s">
        <v>37</v>
      </c>
      <c r="B52" s="202">
        <v>0</v>
      </c>
      <c r="C52" s="202"/>
      <c r="D52" s="8">
        <v>0</v>
      </c>
      <c r="E52" s="6">
        <v>0</v>
      </c>
    </row>
    <row r="53" spans="1:5" ht="15.75" thickBot="1" x14ac:dyDescent="0.3">
      <c r="A53" s="9" t="s">
        <v>38</v>
      </c>
      <c r="B53" s="202">
        <v>0</v>
      </c>
      <c r="C53" s="202">
        <v>0</v>
      </c>
      <c r="D53" s="8">
        <v>0</v>
      </c>
      <c r="E53" s="6" t="e">
        <f>D53/C53</f>
        <v>#DIV/0!</v>
      </c>
    </row>
    <row r="54" spans="1:5" ht="15.75" thickBot="1" x14ac:dyDescent="0.3">
      <c r="A54" s="9" t="s">
        <v>39</v>
      </c>
      <c r="B54" s="202">
        <v>0</v>
      </c>
      <c r="C54" s="202">
        <v>0</v>
      </c>
      <c r="D54" s="8">
        <v>0</v>
      </c>
      <c r="E54" s="6">
        <v>0</v>
      </c>
    </row>
    <row r="55" spans="1:5" ht="15.75" thickBot="1" x14ac:dyDescent="0.3">
      <c r="A55" s="25" t="s">
        <v>40</v>
      </c>
      <c r="B55" s="203">
        <v>0</v>
      </c>
      <c r="C55" s="203">
        <v>0</v>
      </c>
      <c r="D55" s="26">
        <v>0</v>
      </c>
      <c r="E55" s="35">
        <v>0</v>
      </c>
    </row>
    <row r="56" spans="1:5" ht="15.75" thickBot="1" x14ac:dyDescent="0.3">
      <c r="A56" s="10" t="s">
        <v>41</v>
      </c>
      <c r="B56" s="204">
        <f>SUM(B48,B53:B55)</f>
        <v>3267399.2</v>
      </c>
      <c r="C56" s="204">
        <f>SUM(C48,C53:C55)</f>
        <v>3267399.2</v>
      </c>
      <c r="D56" s="11">
        <f>SUM(D48,D53:D55)</f>
        <v>2898775.6599999997</v>
      </c>
      <c r="E56" s="12">
        <f>D56/C56</f>
        <v>0.8871813581884942</v>
      </c>
    </row>
    <row r="57" spans="1:5" ht="15.75" thickBot="1" x14ac:dyDescent="0.3"/>
    <row r="58" spans="1:5" x14ac:dyDescent="0.25">
      <c r="A58" s="470" t="s">
        <v>51</v>
      </c>
      <c r="B58" s="472" t="s">
        <v>12</v>
      </c>
      <c r="C58" s="472" t="s">
        <v>11</v>
      </c>
      <c r="D58" s="474" t="s">
        <v>9</v>
      </c>
      <c r="E58" s="475"/>
    </row>
    <row r="59" spans="1:5" ht="15.75" thickBot="1" x14ac:dyDescent="0.3">
      <c r="A59" s="471"/>
      <c r="B59" s="473"/>
      <c r="C59" s="473"/>
      <c r="D59" s="17" t="s">
        <v>2</v>
      </c>
      <c r="E59" s="18" t="s">
        <v>10</v>
      </c>
    </row>
    <row r="60" spans="1:5" x14ac:dyDescent="0.25">
      <c r="A60" s="27" t="s">
        <v>52</v>
      </c>
      <c r="B60" s="205">
        <v>0</v>
      </c>
      <c r="C60" s="205">
        <v>0</v>
      </c>
      <c r="D60" s="19">
        <v>0</v>
      </c>
      <c r="E60" s="20">
        <v>0</v>
      </c>
    </row>
    <row r="61" spans="1:5" ht="30" x14ac:dyDescent="0.25">
      <c r="A61" s="28" t="s">
        <v>53</v>
      </c>
      <c r="B61" s="206">
        <v>0</v>
      </c>
      <c r="C61" s="206">
        <v>0</v>
      </c>
      <c r="D61" s="21">
        <v>0</v>
      </c>
      <c r="E61" s="20">
        <v>0</v>
      </c>
    </row>
    <row r="62" spans="1:5" x14ac:dyDescent="0.25">
      <c r="A62" s="22" t="s">
        <v>54</v>
      </c>
      <c r="B62" s="206">
        <v>0</v>
      </c>
      <c r="C62" s="206">
        <v>0</v>
      </c>
      <c r="D62" s="21">
        <v>0</v>
      </c>
      <c r="E62" s="20">
        <f>D62/D35</f>
        <v>0</v>
      </c>
    </row>
    <row r="63" spans="1:5" x14ac:dyDescent="0.25">
      <c r="A63" s="23" t="s">
        <v>55</v>
      </c>
      <c r="B63" s="206">
        <v>0</v>
      </c>
      <c r="C63" s="206">
        <v>0</v>
      </c>
      <c r="D63" s="21">
        <v>0</v>
      </c>
      <c r="E63" s="20">
        <f>D63/D35</f>
        <v>0</v>
      </c>
    </row>
    <row r="64" spans="1:5" x14ac:dyDescent="0.25">
      <c r="A64" s="23" t="s">
        <v>56</v>
      </c>
      <c r="B64" s="206">
        <v>0</v>
      </c>
      <c r="C64" s="206">
        <v>0</v>
      </c>
      <c r="D64" s="21">
        <v>0</v>
      </c>
      <c r="E64" s="20">
        <v>0</v>
      </c>
    </row>
    <row r="65" spans="1:5" x14ac:dyDescent="0.25">
      <c r="A65" s="23" t="s">
        <v>57</v>
      </c>
      <c r="B65" s="206">
        <v>0</v>
      </c>
      <c r="C65" s="206">
        <v>0</v>
      </c>
      <c r="D65" s="21">
        <v>0</v>
      </c>
      <c r="E65" s="20">
        <v>0</v>
      </c>
    </row>
    <row r="66" spans="1:5" x14ac:dyDescent="0.25">
      <c r="A66" s="29" t="s">
        <v>58</v>
      </c>
      <c r="B66" s="206">
        <v>0</v>
      </c>
      <c r="C66" s="206">
        <v>0</v>
      </c>
      <c r="D66" s="21">
        <v>0</v>
      </c>
      <c r="E66" s="20">
        <v>0</v>
      </c>
    </row>
    <row r="67" spans="1:5" ht="30" x14ac:dyDescent="0.25">
      <c r="A67" s="24" t="s">
        <v>59</v>
      </c>
      <c r="B67" s="206">
        <v>0</v>
      </c>
      <c r="C67" s="206">
        <v>0</v>
      </c>
      <c r="D67" s="21">
        <v>0</v>
      </c>
      <c r="E67" s="20">
        <v>0</v>
      </c>
    </row>
    <row r="68" spans="1:5" ht="45.75" thickBot="1" x14ac:dyDescent="0.3">
      <c r="A68" s="30" t="s">
        <v>60</v>
      </c>
      <c r="B68" s="207">
        <v>0</v>
      </c>
      <c r="C68" s="207">
        <v>0</v>
      </c>
      <c r="D68" s="31">
        <v>0</v>
      </c>
      <c r="E68" s="20">
        <v>0</v>
      </c>
    </row>
    <row r="69" spans="1:5" ht="21.75" thickBot="1" x14ac:dyDescent="0.4">
      <c r="A69" s="32" t="s">
        <v>61</v>
      </c>
      <c r="B69" s="208">
        <f>SUM(B68,B67,B66,B62,B61,B60)</f>
        <v>0</v>
      </c>
      <c r="C69" s="208">
        <f>SUM(C68,C67,C66,C62,C61,C60)</f>
        <v>0</v>
      </c>
      <c r="D69" s="33">
        <f>SUM(D68,D67,D66,D62,D61,D60)</f>
        <v>0</v>
      </c>
      <c r="E69" s="34">
        <f>D69/D35</f>
        <v>0</v>
      </c>
    </row>
  </sheetData>
  <mergeCells count="18">
    <mergeCell ref="A58:A59"/>
    <mergeCell ref="B58:B59"/>
    <mergeCell ref="C58:C59"/>
    <mergeCell ref="D58:E58"/>
    <mergeCell ref="A46:A47"/>
    <mergeCell ref="B46:B47"/>
    <mergeCell ref="C46:C47"/>
    <mergeCell ref="D46:E46"/>
    <mergeCell ref="A1:E1"/>
    <mergeCell ref="A2:A3"/>
    <mergeCell ref="B2:B3"/>
    <mergeCell ref="C2:C3"/>
    <mergeCell ref="D2:E2"/>
    <mergeCell ref="A39:D39"/>
    <mergeCell ref="A41:D41"/>
    <mergeCell ref="B25:B26"/>
    <mergeCell ref="C25:C26"/>
    <mergeCell ref="D25:E25"/>
  </mergeCells>
  <pageMargins left="0.511811024" right="0.511811024" top="0.78740157499999996" bottom="0.78740157499999996" header="0.31496062000000002" footer="0.31496062000000002"/>
  <pageSetup paperSize="9" scale="67" fitToHeight="0" orientation="portrait" r:id="rId1"/>
  <rowBreaks count="1" manualBreakCount="1">
    <brk id="4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151"/>
  <sheetViews>
    <sheetView topLeftCell="H39" zoomScale="70" zoomScaleNormal="70" workbookViewId="0">
      <selection activeCell="S26" sqref="S26"/>
    </sheetView>
  </sheetViews>
  <sheetFormatPr defaultRowHeight="15.75" x14ac:dyDescent="0.25"/>
  <cols>
    <col min="1" max="1" width="104.140625" style="72" customWidth="1"/>
    <col min="2" max="2" width="17.85546875" style="72" customWidth="1"/>
    <col min="3" max="3" width="15.5703125" style="72" customWidth="1"/>
    <col min="4" max="4" width="11.140625" style="72" customWidth="1"/>
    <col min="5" max="5" width="14.7109375" style="72" customWidth="1"/>
    <col min="6" max="6" width="5.5703125" style="72" customWidth="1"/>
    <col min="7" max="7" width="9.5703125" style="72" bestFit="1" customWidth="1"/>
    <col min="8" max="8" width="6.42578125" style="72" customWidth="1"/>
    <col min="9" max="9" width="5.140625" style="72" customWidth="1"/>
    <col min="10" max="10" width="14" style="72" customWidth="1"/>
    <col min="11" max="11" width="6.42578125" style="72" customWidth="1"/>
    <col min="12" max="12" width="8.85546875" style="72" customWidth="1"/>
    <col min="13" max="13" width="18.28515625" style="72" customWidth="1"/>
    <col min="14" max="14" width="19.85546875" style="72" customWidth="1"/>
    <col min="15" max="15" width="22.28515625" style="83" customWidth="1"/>
    <col min="16" max="16" width="16.85546875" style="72" customWidth="1"/>
    <col min="17" max="17" width="7.28515625" style="72" customWidth="1"/>
    <col min="18" max="18" width="81" style="72" customWidth="1"/>
    <col min="19" max="19" width="21.5703125" style="72" customWidth="1"/>
    <col min="20" max="20" width="21" style="72" bestFit="1" customWidth="1"/>
    <col min="21" max="21" width="16.140625" style="72" bestFit="1" customWidth="1"/>
    <col min="22" max="16384" width="9.140625" style="72"/>
  </cols>
  <sheetData>
    <row r="1" spans="1:21" ht="18.75" thickBot="1" x14ac:dyDescent="0.25">
      <c r="A1" s="433" t="s">
        <v>13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5"/>
      <c r="R1" s="423" t="s">
        <v>65</v>
      </c>
      <c r="S1" s="424"/>
    </row>
    <row r="2" spans="1:21" ht="20.25" customHeight="1" thickBot="1" x14ac:dyDescent="0.3">
      <c r="A2" s="439" t="s">
        <v>131</v>
      </c>
      <c r="B2" s="444" t="s">
        <v>8</v>
      </c>
      <c r="C2" s="441" t="s">
        <v>9</v>
      </c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442"/>
      <c r="P2" s="443"/>
      <c r="R2" s="425"/>
      <c r="S2" s="426"/>
    </row>
    <row r="3" spans="1:21" ht="36.75" thickBot="1" x14ac:dyDescent="0.25">
      <c r="A3" s="440"/>
      <c r="B3" s="445"/>
      <c r="C3" s="82" t="s">
        <v>67</v>
      </c>
      <c r="D3" s="82" t="s">
        <v>68</v>
      </c>
      <c r="E3" s="82" t="s">
        <v>69</v>
      </c>
      <c r="F3" s="82" t="s">
        <v>70</v>
      </c>
      <c r="G3" s="82" t="s">
        <v>71</v>
      </c>
      <c r="H3" s="82" t="s">
        <v>72</v>
      </c>
      <c r="I3" s="82" t="s">
        <v>73</v>
      </c>
      <c r="J3" s="82" t="s">
        <v>74</v>
      </c>
      <c r="K3" s="82" t="s">
        <v>75</v>
      </c>
      <c r="L3" s="82" t="s">
        <v>76</v>
      </c>
      <c r="M3" s="82" t="s">
        <v>77</v>
      </c>
      <c r="N3" s="82" t="s">
        <v>78</v>
      </c>
      <c r="O3" s="82" t="s">
        <v>147</v>
      </c>
      <c r="P3" s="73" t="s">
        <v>10</v>
      </c>
      <c r="R3" s="187" t="s">
        <v>199</v>
      </c>
      <c r="S3" s="188" t="s">
        <v>201</v>
      </c>
    </row>
    <row r="4" spans="1:21" x14ac:dyDescent="0.25">
      <c r="A4" s="80" t="s">
        <v>15</v>
      </c>
      <c r="B4" s="91">
        <f t="shared" ref="B4:H4" si="0">SUM(B5:B8)</f>
        <v>3386000</v>
      </c>
      <c r="C4" s="91">
        <f t="shared" si="0"/>
        <v>0</v>
      </c>
      <c r="D4" s="91">
        <f t="shared" si="0"/>
        <v>0</v>
      </c>
      <c r="E4" s="91">
        <f t="shared" si="0"/>
        <v>0</v>
      </c>
      <c r="F4" s="91">
        <f t="shared" si="0"/>
        <v>0</v>
      </c>
      <c r="G4" s="91">
        <f t="shared" si="0"/>
        <v>0</v>
      </c>
      <c r="H4" s="91">
        <f t="shared" si="0"/>
        <v>0</v>
      </c>
      <c r="I4" s="91">
        <f>SUM(I5:I8)</f>
        <v>0</v>
      </c>
      <c r="J4" s="91">
        <f>SUM(J5:J8)</f>
        <v>993098.89</v>
      </c>
      <c r="K4" s="91">
        <f t="shared" ref="K4:N4" si="1">SUM(K5:K8)</f>
        <v>56335.8</v>
      </c>
      <c r="L4" s="91">
        <f t="shared" si="1"/>
        <v>46254.85</v>
      </c>
      <c r="M4" s="91">
        <f t="shared" si="1"/>
        <v>175763.47999999998</v>
      </c>
      <c r="N4" s="91">
        <f t="shared" si="1"/>
        <v>498991.16000000003</v>
      </c>
      <c r="O4" s="91">
        <f>SUM(C4:N4)</f>
        <v>1770444.1800000002</v>
      </c>
      <c r="P4" s="85"/>
      <c r="R4" s="102" t="str">
        <f>A4</f>
        <v>1. RECEITA DE IMPOSTOS</v>
      </c>
      <c r="S4" s="38">
        <f>O4</f>
        <v>1770444.1800000002</v>
      </c>
    </row>
    <row r="5" spans="1:21" x14ac:dyDescent="0.25">
      <c r="A5" s="81" t="s">
        <v>132</v>
      </c>
      <c r="B5" s="87">
        <v>690000</v>
      </c>
      <c r="C5" s="87"/>
      <c r="D5" s="87"/>
      <c r="E5" s="87"/>
      <c r="F5" s="89">
        <f>Receitas!E4</f>
        <v>0</v>
      </c>
      <c r="G5" s="89">
        <f>Receitas!F4</f>
        <v>0</v>
      </c>
      <c r="H5" s="89">
        <f>Receitas!G4</f>
        <v>0</v>
      </c>
      <c r="I5" s="89">
        <f>Receitas!H4</f>
        <v>0</v>
      </c>
      <c r="J5" s="89">
        <f>Receitas!I4</f>
        <v>149632.01</v>
      </c>
      <c r="K5" s="89">
        <f>Receitas!J4</f>
        <v>13400.33</v>
      </c>
      <c r="L5" s="89">
        <f>Receitas!K4</f>
        <v>12326.22</v>
      </c>
      <c r="M5" s="89">
        <f>Receitas!L4</f>
        <v>18988.72</v>
      </c>
      <c r="N5" s="89">
        <f>Receitas!M4</f>
        <v>52981.66</v>
      </c>
      <c r="O5" s="359">
        <f>SUM(C5:N5)</f>
        <v>247328.94</v>
      </c>
      <c r="P5" s="85"/>
      <c r="R5" s="102" t="str">
        <f>A10</f>
        <v>2- RECEITA DE TRANSFERÊNCIAS CONSTITUCIONAIS E LEGAIS</v>
      </c>
      <c r="S5" s="195">
        <f>O10</f>
        <v>42289799.979999997</v>
      </c>
    </row>
    <row r="6" spans="1:21" x14ac:dyDescent="0.25">
      <c r="A6" s="81" t="s">
        <v>133</v>
      </c>
      <c r="B6" s="90">
        <v>1004000</v>
      </c>
      <c r="C6" s="87"/>
      <c r="D6" s="87"/>
      <c r="E6" s="87"/>
      <c r="F6" s="360">
        <f>Receitas!E6</f>
        <v>0</v>
      </c>
      <c r="G6" s="89">
        <f>Receitas!F5</f>
        <v>0</v>
      </c>
      <c r="H6" s="89">
        <f>Receitas!G5</f>
        <v>0</v>
      </c>
      <c r="I6" s="89">
        <f>Receitas!H5</f>
        <v>0</v>
      </c>
      <c r="J6" s="89">
        <f>Receitas!I6</f>
        <v>185172.47</v>
      </c>
      <c r="K6" s="89">
        <f>Receitas!J6</f>
        <v>15744.38</v>
      </c>
      <c r="L6" s="89">
        <f>Receitas!K6</f>
        <v>5121.8599999999997</v>
      </c>
      <c r="M6" s="89">
        <f>Receitas!L6</f>
        <v>113872.5</v>
      </c>
      <c r="N6" s="89">
        <f>Receitas!M6</f>
        <v>17765.62</v>
      </c>
      <c r="O6" s="359">
        <f>SUM(C6:N6)</f>
        <v>337676.82999999996</v>
      </c>
      <c r="P6" s="85"/>
      <c r="R6" s="102" t="str">
        <f>A20</f>
        <v>3- TOTAL DA RECEITA DE IMPOSTOS (1 + 2)</v>
      </c>
      <c r="S6" s="195">
        <f>O20</f>
        <v>44060244.159999996</v>
      </c>
    </row>
    <row r="7" spans="1:21" x14ac:dyDescent="0.25">
      <c r="A7" s="81" t="s">
        <v>134</v>
      </c>
      <c r="B7" s="90">
        <v>672000</v>
      </c>
      <c r="C7" s="87"/>
      <c r="D7" s="87"/>
      <c r="E7" s="87"/>
      <c r="F7" s="361">
        <f>Receitas!E5</f>
        <v>0</v>
      </c>
      <c r="G7" s="89">
        <f>Receitas!F6</f>
        <v>0</v>
      </c>
      <c r="H7" s="89">
        <f>Receitas!G6</f>
        <v>0</v>
      </c>
      <c r="I7" s="89">
        <f>Receitas!H6</f>
        <v>0</v>
      </c>
      <c r="J7" s="89">
        <f>Receitas!I5</f>
        <v>174935.91</v>
      </c>
      <c r="K7" s="89">
        <f>Receitas!J5</f>
        <v>17596.72</v>
      </c>
      <c r="L7" s="89">
        <f>Receitas!K5</f>
        <v>19212.400000000001</v>
      </c>
      <c r="M7" s="89">
        <f>Receitas!L5</f>
        <v>33307.89</v>
      </c>
      <c r="N7" s="89">
        <f>Receitas!M5</f>
        <v>101244.1</v>
      </c>
      <c r="O7" s="359">
        <f>SUM(C7:N7)</f>
        <v>346297.02</v>
      </c>
      <c r="P7" s="96"/>
      <c r="R7" s="193" t="s">
        <v>202</v>
      </c>
      <c r="S7" s="198">
        <f>S6/4</f>
        <v>11015061.039999999</v>
      </c>
      <c r="T7" s="197"/>
    </row>
    <row r="8" spans="1:21" ht="15" customHeight="1" x14ac:dyDescent="0.25">
      <c r="A8" s="81" t="s">
        <v>135</v>
      </c>
      <c r="B8" s="90">
        <v>1020000</v>
      </c>
      <c r="C8" s="87"/>
      <c r="D8" s="87"/>
      <c r="E8" s="87"/>
      <c r="F8" s="361">
        <f>Receitas!E7</f>
        <v>0</v>
      </c>
      <c r="G8" s="89">
        <f>Receitas!F7</f>
        <v>0</v>
      </c>
      <c r="H8" s="89">
        <f>Receitas!G7</f>
        <v>0</v>
      </c>
      <c r="I8" s="89">
        <f>Receitas!H7</f>
        <v>0</v>
      </c>
      <c r="J8" s="89">
        <f>Receitas!I7</f>
        <v>483358.5</v>
      </c>
      <c r="K8" s="89">
        <f>Receitas!J7</f>
        <v>9594.3700000000008</v>
      </c>
      <c r="L8" s="89">
        <f>Receitas!K7</f>
        <v>9594.3700000000008</v>
      </c>
      <c r="M8" s="89">
        <f>Receitas!L7</f>
        <v>9594.3700000000008</v>
      </c>
      <c r="N8" s="89">
        <f>Receitas!M7</f>
        <v>326999.78000000003</v>
      </c>
      <c r="O8" s="359">
        <f>SUM(C8:N8)</f>
        <v>839141.39</v>
      </c>
      <c r="P8" s="96"/>
      <c r="R8" s="102" t="str">
        <f>A22</f>
        <v>4- TOTAL DESTINADO AO FUNDEB - 20% DE ((2.1) + (2.2) + (2.3) + (2.4) + (2.5))</v>
      </c>
      <c r="S8" s="195">
        <f>O22</f>
        <v>7904019.3300000001</v>
      </c>
      <c r="T8" s="254"/>
      <c r="U8" s="254"/>
    </row>
    <row r="9" spans="1:21" x14ac:dyDescent="0.25">
      <c r="A9" s="100"/>
      <c r="B9" s="79"/>
      <c r="C9" s="75"/>
      <c r="D9" s="75"/>
      <c r="E9" s="75"/>
      <c r="F9" s="75"/>
      <c r="G9" s="79"/>
      <c r="H9" s="79"/>
      <c r="I9" s="79"/>
      <c r="J9" s="79"/>
      <c r="K9" s="79"/>
      <c r="L9" s="79"/>
      <c r="M9" s="79"/>
      <c r="N9" s="79"/>
      <c r="O9" s="84"/>
      <c r="P9" s="97"/>
      <c r="R9" s="189" t="str">
        <f>A24</f>
        <v>5- VALOR MÍNIMO A SER APLICADO ALÉM DO VALOR DESTINADO AO FUNDEB - 5% DE ((2.2) + (2.3) + (2.4) + (2.5)) + 25% DE ((1.1) + (1.2) + (1.3) + (1.4) + (2.1.1) + (2.6)+ (2.7))</v>
      </c>
      <c r="S9" s="190">
        <f>S7-S8</f>
        <v>3111041.709999999</v>
      </c>
      <c r="T9" s="197"/>
    </row>
    <row r="10" spans="1:21" x14ac:dyDescent="0.25">
      <c r="A10" s="80" t="s">
        <v>136</v>
      </c>
      <c r="B10" s="76">
        <f t="shared" ref="B10:N10" si="2">SUM(B11:B18)</f>
        <v>35117500</v>
      </c>
      <c r="C10" s="93">
        <f t="shared" si="2"/>
        <v>0</v>
      </c>
      <c r="D10" s="76">
        <f t="shared" si="2"/>
        <v>0</v>
      </c>
      <c r="E10" s="76">
        <f t="shared" si="2"/>
        <v>0</v>
      </c>
      <c r="F10" s="76">
        <f t="shared" si="2"/>
        <v>0</v>
      </c>
      <c r="G10" s="76">
        <f t="shared" si="2"/>
        <v>0</v>
      </c>
      <c r="H10" s="76">
        <f t="shared" si="2"/>
        <v>0</v>
      </c>
      <c r="I10" s="76">
        <f t="shared" si="2"/>
        <v>0</v>
      </c>
      <c r="J10" s="76">
        <f t="shared" si="2"/>
        <v>27657050.149999999</v>
      </c>
      <c r="K10" s="76">
        <f t="shared" si="2"/>
        <v>2981900.1000000006</v>
      </c>
      <c r="L10" s="76">
        <f t="shared" si="2"/>
        <v>2999576.54</v>
      </c>
      <c r="M10" s="76">
        <f t="shared" si="2"/>
        <v>3539398.82</v>
      </c>
      <c r="N10" s="76">
        <f t="shared" si="2"/>
        <v>5111874.3699999992</v>
      </c>
      <c r="O10" s="76">
        <f t="shared" ref="O10:O12" si="3">SUM(C10:N10)</f>
        <v>42289799.979999997</v>
      </c>
      <c r="P10" s="96"/>
    </row>
    <row r="11" spans="1:21" x14ac:dyDescent="0.25">
      <c r="A11" s="81" t="s">
        <v>137</v>
      </c>
      <c r="B11" s="94">
        <v>25712000</v>
      </c>
      <c r="C11" s="278"/>
      <c r="D11" s="278"/>
      <c r="E11" s="278"/>
      <c r="F11" s="278">
        <f>Receitas!E14</f>
        <v>0</v>
      </c>
      <c r="G11" s="278">
        <f>Receitas!F14</f>
        <v>0</v>
      </c>
      <c r="H11" s="278">
        <f>Receitas!G14</f>
        <v>0</v>
      </c>
      <c r="I11" s="278">
        <f>Receitas!H14</f>
        <v>0</v>
      </c>
      <c r="J11" s="278">
        <f>Receitas!I14</f>
        <v>19447630.859999999</v>
      </c>
      <c r="K11" s="278">
        <f>Receitas!J14</f>
        <v>2232460.33</v>
      </c>
      <c r="L11" s="278">
        <f>Receitas!K14</f>
        <v>2124110.5</v>
      </c>
      <c r="M11" s="278">
        <f>Receitas!L14</f>
        <v>2669620.2400000002</v>
      </c>
      <c r="N11" s="278">
        <f>Receitas!M14</f>
        <v>2857124.61</v>
      </c>
      <c r="O11" s="357">
        <f t="shared" si="3"/>
        <v>29330946.539999999</v>
      </c>
      <c r="P11" s="96"/>
      <c r="R11" s="102" t="str">
        <f>A26</f>
        <v>6- RECEITAS RECEBIDAS DO FUNDEB</v>
      </c>
      <c r="S11" s="196">
        <f>O26</f>
        <v>19148549.07</v>
      </c>
    </row>
    <row r="12" spans="1:21" x14ac:dyDescent="0.25">
      <c r="A12" s="81" t="s">
        <v>143</v>
      </c>
      <c r="B12" s="92">
        <v>1833200</v>
      </c>
      <c r="C12" s="95"/>
      <c r="D12" s="358"/>
      <c r="E12" s="358"/>
      <c r="F12" s="278"/>
      <c r="G12" s="278">
        <f>Receitas!F17</f>
        <v>0</v>
      </c>
      <c r="H12" s="278">
        <f>Receitas!G17</f>
        <v>0</v>
      </c>
      <c r="I12" s="278">
        <f>Receitas!H17</f>
        <v>0</v>
      </c>
      <c r="J12" s="278">
        <f>Receitas!I15</f>
        <v>1519175.45</v>
      </c>
      <c r="K12" s="278">
        <f>Receitas!J15</f>
        <v>0</v>
      </c>
      <c r="L12" s="278">
        <f>Receitas!K15</f>
        <v>0</v>
      </c>
      <c r="M12" s="278">
        <f>Receitas!L15</f>
        <v>0</v>
      </c>
      <c r="N12" s="278">
        <f>Receitas!M15</f>
        <v>1290929.8999999999</v>
      </c>
      <c r="O12" s="357">
        <f t="shared" si="3"/>
        <v>2810105.3499999996</v>
      </c>
      <c r="P12" s="96"/>
      <c r="R12" s="189" t="str">
        <f>A27</f>
        <v>6.1- FUNDEB - Impostos e Transferências de Impostos</v>
      </c>
      <c r="S12" s="190">
        <f>O27</f>
        <v>12438278.74</v>
      </c>
      <c r="T12" s="197"/>
    </row>
    <row r="13" spans="1:21" x14ac:dyDescent="0.25">
      <c r="A13" s="81" t="s">
        <v>138</v>
      </c>
      <c r="B13" s="92">
        <v>6880000</v>
      </c>
      <c r="C13" s="278"/>
      <c r="D13" s="278"/>
      <c r="E13" s="278"/>
      <c r="F13" s="278">
        <f>Receitas!E17</f>
        <v>0</v>
      </c>
      <c r="G13" s="278">
        <f>Receitas!F18</f>
        <v>0</v>
      </c>
      <c r="H13" s="278">
        <f>Receitas!G18</f>
        <v>0</v>
      </c>
      <c r="I13" s="278">
        <f>Receitas!H18</f>
        <v>0</v>
      </c>
      <c r="J13" s="278">
        <f>Receitas!I17</f>
        <v>6244655.6900000004</v>
      </c>
      <c r="K13" s="278">
        <f>Receitas!J17</f>
        <v>692756.1</v>
      </c>
      <c r="L13" s="278">
        <f>Receitas!K17</f>
        <v>775308.85</v>
      </c>
      <c r="M13" s="278">
        <f>Receitas!L17</f>
        <v>811197.55</v>
      </c>
      <c r="N13" s="278">
        <f>Receitas!M17</f>
        <v>901093.94</v>
      </c>
      <c r="O13" s="357">
        <f t="shared" ref="O13:O18" si="4">SUM(C13:N13)</f>
        <v>9425012.129999999</v>
      </c>
      <c r="P13" s="96"/>
      <c r="R13" s="189" t="s">
        <v>258</v>
      </c>
      <c r="S13" s="190">
        <f>O30+O33</f>
        <v>6710270.3300000001</v>
      </c>
    </row>
    <row r="14" spans="1:21" ht="16.5" customHeight="1" x14ac:dyDescent="0.25">
      <c r="A14" s="81" t="s">
        <v>145</v>
      </c>
      <c r="B14" s="92">
        <v>61400</v>
      </c>
      <c r="C14" s="278"/>
      <c r="D14" s="278"/>
      <c r="E14" s="278"/>
      <c r="F14" s="278">
        <f>Receitas!E20</f>
        <v>0</v>
      </c>
      <c r="G14" s="278">
        <f>Receitas!F16</f>
        <v>0</v>
      </c>
      <c r="H14" s="278">
        <f>Receitas!G16</f>
        <v>0</v>
      </c>
      <c r="I14" s="278">
        <f>Receitas!H16</f>
        <v>0</v>
      </c>
      <c r="J14" s="278">
        <f>Receitas!I20</f>
        <v>33603.75</v>
      </c>
      <c r="K14" s="278">
        <f>Receitas!J20</f>
        <v>4204.93</v>
      </c>
      <c r="L14" s="278">
        <f>Receitas!K20</f>
        <v>4291.4799999999996</v>
      </c>
      <c r="M14" s="278">
        <f>Receitas!L20</f>
        <v>3120.55</v>
      </c>
      <c r="N14" s="278">
        <f>Receitas!M20</f>
        <v>4433.67</v>
      </c>
      <c r="O14" s="357">
        <f t="shared" si="4"/>
        <v>49654.380000000005</v>
      </c>
      <c r="P14" s="96"/>
      <c r="R14" s="102"/>
      <c r="S14" s="191"/>
    </row>
    <row r="15" spans="1:21" x14ac:dyDescent="0.25">
      <c r="A15" s="81" t="s">
        <v>139</v>
      </c>
      <c r="B15" s="92">
        <v>27500</v>
      </c>
      <c r="C15" s="278"/>
      <c r="D15" s="278"/>
      <c r="E15" s="278"/>
      <c r="F15" s="278">
        <f>Receitas!E16</f>
        <v>0</v>
      </c>
      <c r="G15" s="278">
        <f>Receitas!F19</f>
        <v>0</v>
      </c>
      <c r="H15" s="278">
        <f>Receitas!G19</f>
        <v>0</v>
      </c>
      <c r="I15" s="278">
        <f>Receitas!H19</f>
        <v>0</v>
      </c>
      <c r="J15" s="278">
        <f>Receitas!I16</f>
        <v>10528.82</v>
      </c>
      <c r="K15" s="278">
        <f>Receitas!J16</f>
        <v>6391</v>
      </c>
      <c r="L15" s="278">
        <f>Receitas!K16</f>
        <v>39738.65</v>
      </c>
      <c r="M15" s="278">
        <f>Receitas!L16</f>
        <v>3094.29</v>
      </c>
      <c r="N15" s="278">
        <f>Receitas!M16</f>
        <v>6486.12</v>
      </c>
      <c r="O15" s="357">
        <f t="shared" si="4"/>
        <v>66238.880000000005</v>
      </c>
      <c r="P15" s="96"/>
    </row>
    <row r="16" spans="1:21" x14ac:dyDescent="0.25">
      <c r="A16" s="81" t="s">
        <v>140</v>
      </c>
      <c r="B16" s="92">
        <v>603400</v>
      </c>
      <c r="C16" s="278"/>
      <c r="D16" s="278"/>
      <c r="E16" s="278"/>
      <c r="F16" s="278">
        <f>Receitas!E18</f>
        <v>0</v>
      </c>
      <c r="G16" s="278">
        <f>Receitas!F20</f>
        <v>0</v>
      </c>
      <c r="H16" s="278">
        <f>Receitas!G20</f>
        <v>0</v>
      </c>
      <c r="I16" s="278">
        <f>Receitas!H20</f>
        <v>0</v>
      </c>
      <c r="J16" s="278">
        <f>Receitas!I18</f>
        <v>401455.58</v>
      </c>
      <c r="K16" s="278">
        <f>Receitas!J18</f>
        <v>46087.74</v>
      </c>
      <c r="L16" s="278">
        <f>Receitas!K18</f>
        <v>56127.06</v>
      </c>
      <c r="M16" s="278">
        <f>Receitas!L18</f>
        <v>52366.19</v>
      </c>
      <c r="N16" s="278">
        <f>Receitas!M18</f>
        <v>51806.13</v>
      </c>
      <c r="O16" s="357">
        <f t="shared" si="4"/>
        <v>607842.70000000007</v>
      </c>
      <c r="P16" s="96"/>
      <c r="R16" s="428" t="s">
        <v>244</v>
      </c>
      <c r="S16" s="429"/>
      <c r="T16" s="197"/>
    </row>
    <row r="17" spans="1:20" x14ac:dyDescent="0.25">
      <c r="A17" s="81" t="s">
        <v>141</v>
      </c>
      <c r="B17" s="95">
        <v>0</v>
      </c>
      <c r="C17" s="95"/>
      <c r="D17" s="95"/>
      <c r="E17" s="95"/>
      <c r="F17" s="278"/>
      <c r="G17" s="278"/>
      <c r="H17" s="278"/>
      <c r="I17" s="278"/>
      <c r="J17" s="278"/>
      <c r="K17" s="278"/>
      <c r="L17" s="278"/>
      <c r="M17" s="278"/>
      <c r="N17" s="278"/>
      <c r="O17" s="357">
        <f t="shared" si="4"/>
        <v>0</v>
      </c>
      <c r="P17" s="96"/>
      <c r="R17" s="102" t="str">
        <f>A44</f>
        <v>TOTAL FUNDEB - FONTE 18</v>
      </c>
      <c r="S17" s="106">
        <f>O44</f>
        <v>13714692.109999999</v>
      </c>
      <c r="T17" s="107">
        <f>S17+S18</f>
        <v>18899214.66</v>
      </c>
    </row>
    <row r="18" spans="1:20" x14ac:dyDescent="0.25">
      <c r="A18" s="81" t="s">
        <v>148</v>
      </c>
      <c r="B18" s="95">
        <v>0</v>
      </c>
      <c r="C18" s="95"/>
      <c r="D18" s="95"/>
      <c r="E18" s="95"/>
      <c r="F18" s="278"/>
      <c r="G18" s="278"/>
      <c r="H18" s="278"/>
      <c r="I18" s="278"/>
      <c r="J18" s="278"/>
      <c r="K18" s="278"/>
      <c r="L18" s="278"/>
      <c r="M18" s="278"/>
      <c r="N18" s="278"/>
      <c r="O18" s="357">
        <f t="shared" si="4"/>
        <v>0</v>
      </c>
      <c r="P18" s="96"/>
      <c r="R18" s="102" t="str">
        <f>A49</f>
        <v>TOTAL FUNDEB - FONTE 19</v>
      </c>
      <c r="S18" s="106">
        <f>O49</f>
        <v>5184522.55</v>
      </c>
    </row>
    <row r="19" spans="1:20" x14ac:dyDescent="0.25">
      <c r="A19" s="74"/>
      <c r="B19" s="75"/>
      <c r="C19" s="75"/>
      <c r="D19" s="75"/>
      <c r="E19" s="75"/>
      <c r="F19" s="79"/>
      <c r="G19" s="79"/>
      <c r="H19" s="79"/>
      <c r="I19" s="79"/>
      <c r="J19" s="79"/>
      <c r="K19" s="79"/>
      <c r="L19" s="79"/>
      <c r="M19" s="79"/>
      <c r="N19" s="79"/>
      <c r="O19" s="84"/>
      <c r="P19" s="97"/>
      <c r="R19" s="102" t="str">
        <f>A57</f>
        <v>MDE - FONTE 01</v>
      </c>
      <c r="S19" s="106">
        <f>O56</f>
        <v>3675832.4300000006</v>
      </c>
      <c r="T19" s="107">
        <f>S9-S19</f>
        <v>-564790.7200000016</v>
      </c>
    </row>
    <row r="20" spans="1:20" x14ac:dyDescent="0.25">
      <c r="A20" s="80" t="s">
        <v>142</v>
      </c>
      <c r="B20" s="76">
        <f t="shared" ref="B20:O20" si="5">B4+B10</f>
        <v>38503500</v>
      </c>
      <c r="C20" s="76">
        <f t="shared" si="5"/>
        <v>0</v>
      </c>
      <c r="D20" s="76">
        <f t="shared" si="5"/>
        <v>0</v>
      </c>
      <c r="E20" s="76">
        <f t="shared" si="5"/>
        <v>0</v>
      </c>
      <c r="F20" s="76">
        <f t="shared" si="5"/>
        <v>0</v>
      </c>
      <c r="G20" s="76">
        <f t="shared" si="5"/>
        <v>0</v>
      </c>
      <c r="H20" s="76">
        <f t="shared" si="5"/>
        <v>0</v>
      </c>
      <c r="I20" s="76">
        <f t="shared" si="5"/>
        <v>0</v>
      </c>
      <c r="J20" s="76">
        <f t="shared" si="5"/>
        <v>28650149.039999999</v>
      </c>
      <c r="K20" s="76">
        <f t="shared" si="5"/>
        <v>3038235.9000000004</v>
      </c>
      <c r="L20" s="76">
        <f t="shared" si="5"/>
        <v>3045831.39</v>
      </c>
      <c r="M20" s="76">
        <f t="shared" si="5"/>
        <v>3715162.3</v>
      </c>
      <c r="N20" s="76">
        <f t="shared" si="5"/>
        <v>5610865.5299999993</v>
      </c>
      <c r="O20" s="76">
        <f t="shared" si="5"/>
        <v>44060244.159999996</v>
      </c>
      <c r="P20" s="96"/>
      <c r="R20" s="310" t="s">
        <v>244</v>
      </c>
      <c r="S20" s="328">
        <f>SUM(S17:S19)</f>
        <v>22575047.09</v>
      </c>
      <c r="T20" s="254"/>
    </row>
    <row r="21" spans="1:20" x14ac:dyDescent="0.25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97"/>
      <c r="T21" s="270"/>
    </row>
    <row r="22" spans="1:20" x14ac:dyDescent="0.25">
      <c r="A22" s="80" t="s">
        <v>144</v>
      </c>
      <c r="B22" s="76">
        <f>SUM(B11+B13+B14+B15+B16)*20%</f>
        <v>6656860</v>
      </c>
      <c r="C22" s="76">
        <f>Receitas!B35</f>
        <v>0</v>
      </c>
      <c r="D22" s="76">
        <f>Receitas!C35</f>
        <v>0</v>
      </c>
      <c r="E22" s="76">
        <f>Receitas!D35</f>
        <v>0</v>
      </c>
      <c r="F22" s="76">
        <f>Receitas!E35</f>
        <v>0</v>
      </c>
      <c r="G22" s="76">
        <f>Receitas!F35</f>
        <v>0</v>
      </c>
      <c r="H22" s="76">
        <f>Receitas!G35</f>
        <v>0</v>
      </c>
      <c r="I22" s="76">
        <f>Receitas!H35</f>
        <v>0</v>
      </c>
      <c r="J22" s="76">
        <f>Receitas!I35</f>
        <v>5282606.2300000004</v>
      </c>
      <c r="K22" s="76">
        <f>Receitas!J35</f>
        <v>551798.6</v>
      </c>
      <c r="L22" s="76">
        <f>Receitas!K35</f>
        <v>599056.9</v>
      </c>
      <c r="M22" s="76">
        <f>Receitas!L35</f>
        <v>707255.54</v>
      </c>
      <c r="N22" s="76">
        <f>Receitas!M35</f>
        <v>763302.06</v>
      </c>
      <c r="O22" s="76">
        <f>SUM(C22:N22)</f>
        <v>7904019.3300000001</v>
      </c>
      <c r="P22" s="96"/>
      <c r="S22" s="197"/>
    </row>
    <row r="23" spans="1:20" x14ac:dyDescent="0.25">
      <c r="A23" s="83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>
        <f>N23-N22</f>
        <v>886.83399999991525</v>
      </c>
      <c r="N23" s="84">
        <f>SUM(N11+N13+N14+N15+N16)*20%</f>
        <v>764188.89399999997</v>
      </c>
      <c r="O23" s="84"/>
      <c r="P23" s="97"/>
    </row>
    <row r="24" spans="1:20" ht="45.75" customHeight="1" x14ac:dyDescent="0.25">
      <c r="A24" s="99" t="s">
        <v>146</v>
      </c>
      <c r="B24" s="76">
        <f t="shared" ref="B24:M24" si="6">((B11+B13+B14+B15+B16)*5%)+((B4+B12+B17+B18)*25%)</f>
        <v>2969015</v>
      </c>
      <c r="C24" s="76">
        <f t="shared" si="6"/>
        <v>0</v>
      </c>
      <c r="D24" s="76">
        <f t="shared" si="6"/>
        <v>0</v>
      </c>
      <c r="E24" s="76">
        <f t="shared" si="6"/>
        <v>0</v>
      </c>
      <c r="F24" s="76">
        <f t="shared" si="6"/>
        <v>0</v>
      </c>
      <c r="G24" s="76">
        <f t="shared" si="6"/>
        <v>0</v>
      </c>
      <c r="H24" s="76">
        <f t="shared" si="6"/>
        <v>0</v>
      </c>
      <c r="I24" s="76">
        <f t="shared" si="6"/>
        <v>0</v>
      </c>
      <c r="J24" s="76">
        <f t="shared" si="6"/>
        <v>1934962.32</v>
      </c>
      <c r="K24" s="76">
        <f t="shared" si="6"/>
        <v>163178.95500000005</v>
      </c>
      <c r="L24" s="76">
        <f t="shared" si="6"/>
        <v>161542.53950000001</v>
      </c>
      <c r="M24" s="76">
        <f t="shared" si="6"/>
        <v>220910.81099999999</v>
      </c>
      <c r="N24" s="76">
        <f>((N11+N13+N14+N15+N16)*5%)+((N4+N12+N17+N18)*25%)</f>
        <v>638527.48849999998</v>
      </c>
      <c r="O24" s="76">
        <f>SUM(C24:N24)</f>
        <v>3119122.1140000001</v>
      </c>
      <c r="P24" s="255"/>
      <c r="R24" s="194" t="s">
        <v>200</v>
      </c>
      <c r="S24" s="192" t="s">
        <v>213</v>
      </c>
    </row>
    <row r="25" spans="1:20" ht="19.5" customHeight="1" x14ac:dyDescent="0.25">
      <c r="A25" s="86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97"/>
    </row>
    <row r="26" spans="1:20" s="83" customFormat="1" ht="19.5" customHeight="1" x14ac:dyDescent="0.25">
      <c r="A26" s="99" t="s">
        <v>149</v>
      </c>
      <c r="B26" s="108">
        <f>B27+B30+B33</f>
        <v>18060600</v>
      </c>
      <c r="C26" s="108">
        <f t="shared" ref="C26:L26" si="7">C27+C30+C33</f>
        <v>0</v>
      </c>
      <c r="D26" s="108">
        <f t="shared" si="7"/>
        <v>0</v>
      </c>
      <c r="E26" s="108">
        <f t="shared" si="7"/>
        <v>0</v>
      </c>
      <c r="F26" s="108">
        <f t="shared" si="7"/>
        <v>0</v>
      </c>
      <c r="G26" s="108">
        <f t="shared" si="7"/>
        <v>0</v>
      </c>
      <c r="H26" s="108">
        <f t="shared" si="7"/>
        <v>0</v>
      </c>
      <c r="I26" s="108">
        <f t="shared" si="7"/>
        <v>0</v>
      </c>
      <c r="J26" s="108">
        <f>J27+J30+J33</f>
        <v>12734893.719999999</v>
      </c>
      <c r="K26" s="108">
        <f t="shared" si="7"/>
        <v>1457159.22</v>
      </c>
      <c r="L26" s="108">
        <f t="shared" si="7"/>
        <v>1544552.53</v>
      </c>
      <c r="M26" s="108">
        <f>M27+M30+M33</f>
        <v>1654679.35</v>
      </c>
      <c r="N26" s="108">
        <f>N27+N30+N33</f>
        <v>1757264.25</v>
      </c>
      <c r="O26" s="105">
        <f>SUM(C26:N26)</f>
        <v>19148549.07</v>
      </c>
      <c r="P26" s="285">
        <f>O26*70%</f>
        <v>13403984.348999999</v>
      </c>
      <c r="R26" s="102" t="s">
        <v>198</v>
      </c>
      <c r="S26" s="77">
        <f>S17/S11</f>
        <v>0.71622617775708053</v>
      </c>
    </row>
    <row r="27" spans="1:20" s="83" customFormat="1" ht="19.5" customHeight="1" x14ac:dyDescent="0.25">
      <c r="A27" s="99" t="s">
        <v>150</v>
      </c>
      <c r="B27" s="108">
        <f>B28+B29</f>
        <v>13173500</v>
      </c>
      <c r="C27" s="108">
        <f t="shared" ref="C27:M27" si="8">C28+C29</f>
        <v>0</v>
      </c>
      <c r="D27" s="108">
        <f t="shared" si="8"/>
        <v>0</v>
      </c>
      <c r="E27" s="108">
        <f t="shared" si="8"/>
        <v>0</v>
      </c>
      <c r="F27" s="108">
        <f t="shared" si="8"/>
        <v>0</v>
      </c>
      <c r="G27" s="108">
        <f t="shared" si="8"/>
        <v>0</v>
      </c>
      <c r="H27" s="108">
        <f t="shared" si="8"/>
        <v>0</v>
      </c>
      <c r="I27" s="108">
        <f t="shared" si="8"/>
        <v>0</v>
      </c>
      <c r="J27" s="108">
        <f t="shared" si="8"/>
        <v>8311337.7700000005</v>
      </c>
      <c r="K27" s="108">
        <f t="shared" si="8"/>
        <v>884581.81</v>
      </c>
      <c r="L27" s="108">
        <f t="shared" si="8"/>
        <v>973173.54</v>
      </c>
      <c r="M27" s="108">
        <f t="shared" si="8"/>
        <v>1083300.3600000001</v>
      </c>
      <c r="N27" s="108">
        <f>N28+N29</f>
        <v>1185885.26</v>
      </c>
      <c r="O27" s="105">
        <f>SUM(C27:N27)</f>
        <v>12438278.74</v>
      </c>
      <c r="P27" s="285">
        <f>P26-O44-O54</f>
        <v>-632705.50099999993</v>
      </c>
      <c r="R27" s="72"/>
      <c r="S27" s="72"/>
    </row>
    <row r="28" spans="1:20" ht="19.5" customHeight="1" x14ac:dyDescent="0.25">
      <c r="A28" s="103" t="s">
        <v>151</v>
      </c>
      <c r="B28" s="88">
        <v>13169500</v>
      </c>
      <c r="C28" s="104"/>
      <c r="D28" s="104"/>
      <c r="E28" s="104"/>
      <c r="F28" s="104"/>
      <c r="G28" s="104"/>
      <c r="H28" s="104"/>
      <c r="I28" s="104"/>
      <c r="J28" s="104">
        <f>Receitas!I46</f>
        <v>8272759.1900000004</v>
      </c>
      <c r="K28" s="104">
        <f>Receitas!J46</f>
        <v>881103.06</v>
      </c>
      <c r="L28" s="104">
        <f>Receitas!K46</f>
        <v>970407.49</v>
      </c>
      <c r="M28" s="104">
        <f>Receitas!L46</f>
        <v>1081838.26</v>
      </c>
      <c r="N28" s="104">
        <f>Receitas!M46</f>
        <v>1181883.1000000001</v>
      </c>
      <c r="O28" s="105">
        <f>SUM(C28:N28)</f>
        <v>12387991.1</v>
      </c>
      <c r="P28" s="285"/>
      <c r="R28" s="102" t="s">
        <v>305</v>
      </c>
      <c r="S28" s="77">
        <f>O63/O33</f>
        <v>0.82863383810374625</v>
      </c>
    </row>
    <row r="29" spans="1:20" ht="19.5" customHeight="1" x14ac:dyDescent="0.25">
      <c r="A29" s="103" t="s">
        <v>152</v>
      </c>
      <c r="B29" s="88">
        <v>4000</v>
      </c>
      <c r="C29" s="104"/>
      <c r="D29" s="104"/>
      <c r="E29" s="106"/>
      <c r="F29" s="104"/>
      <c r="G29" s="104"/>
      <c r="H29" s="104"/>
      <c r="I29" s="104"/>
      <c r="J29" s="104">
        <f>Receitas!I47</f>
        <v>38578.579999999994</v>
      </c>
      <c r="K29" s="104">
        <f>Receitas!J47</f>
        <v>3478.75</v>
      </c>
      <c r="L29" s="104">
        <f>Receitas!K47</f>
        <v>2766.0499999999997</v>
      </c>
      <c r="M29" s="104">
        <f>Receitas!L47</f>
        <v>1462.1</v>
      </c>
      <c r="N29" s="104">
        <f>Receitas!M47</f>
        <v>4002.16</v>
      </c>
      <c r="O29" s="105">
        <f>SUM(C29:N29)</f>
        <v>50287.64</v>
      </c>
      <c r="P29" s="285"/>
    </row>
    <row r="30" spans="1:20" s="83" customFormat="1" ht="19.5" customHeight="1" x14ac:dyDescent="0.25">
      <c r="A30" s="99" t="s">
        <v>153</v>
      </c>
      <c r="B30" s="108">
        <f>B31+B32</f>
        <v>4887100</v>
      </c>
      <c r="C30" s="108">
        <f t="shared" ref="C30:G30" si="9">C31+C32</f>
        <v>0</v>
      </c>
      <c r="D30" s="108">
        <f t="shared" si="9"/>
        <v>0</v>
      </c>
      <c r="E30" s="108">
        <f t="shared" si="9"/>
        <v>0</v>
      </c>
      <c r="F30" s="108">
        <f t="shared" si="9"/>
        <v>0</v>
      </c>
      <c r="G30" s="108">
        <f t="shared" si="9"/>
        <v>0</v>
      </c>
      <c r="H30" s="105">
        <f>Receitas!G48</f>
        <v>0</v>
      </c>
      <c r="I30" s="105">
        <f>Receitas!H48</f>
        <v>0</v>
      </c>
      <c r="J30" s="105">
        <f>Receitas!I48</f>
        <v>3101905.25</v>
      </c>
      <c r="K30" s="105">
        <f>Receitas!J48</f>
        <v>383455.21</v>
      </c>
      <c r="L30" s="105">
        <f>Receitas!K48</f>
        <v>382256.79</v>
      </c>
      <c r="M30" s="105">
        <f>Receitas!L48</f>
        <v>382256.79</v>
      </c>
      <c r="N30" s="105">
        <f>Receitas!M48</f>
        <v>382256.79</v>
      </c>
      <c r="O30" s="105">
        <f t="shared" ref="O30:O35" si="10">SUM(C30:N30)</f>
        <v>4632130.83</v>
      </c>
      <c r="P30" s="285"/>
      <c r="R30" s="102" t="s">
        <v>306</v>
      </c>
      <c r="S30" s="77">
        <f>O54/O33</f>
        <v>0.15494519978086169</v>
      </c>
    </row>
    <row r="31" spans="1:20" ht="19.5" customHeight="1" x14ac:dyDescent="0.25">
      <c r="A31" s="103" t="s">
        <v>154</v>
      </c>
      <c r="B31" s="88">
        <v>4887100</v>
      </c>
      <c r="C31" s="104"/>
      <c r="D31" s="104"/>
      <c r="E31" s="104"/>
      <c r="F31" s="104"/>
      <c r="G31" s="104"/>
      <c r="H31" s="104"/>
      <c r="I31" s="104"/>
      <c r="J31" s="104">
        <f>Receitas!I49</f>
        <v>3101905.25</v>
      </c>
      <c r="K31" s="104">
        <f>Receitas!J49</f>
        <v>383455.21</v>
      </c>
      <c r="L31" s="104">
        <f>Receitas!K49</f>
        <v>382256.79</v>
      </c>
      <c r="M31" s="104">
        <f>Receitas!L49</f>
        <v>382256.79</v>
      </c>
      <c r="N31" s="104">
        <f>Receitas!M49</f>
        <v>382256.79</v>
      </c>
      <c r="O31" s="105">
        <f t="shared" si="10"/>
        <v>4632130.83</v>
      </c>
      <c r="P31" s="327"/>
    </row>
    <row r="32" spans="1:20" ht="19.5" customHeight="1" x14ac:dyDescent="0.25">
      <c r="A32" s="103" t="s">
        <v>155</v>
      </c>
      <c r="B32" s="88">
        <v>0</v>
      </c>
      <c r="C32" s="104"/>
      <c r="D32" s="104"/>
      <c r="E32" s="104"/>
      <c r="F32" s="104"/>
      <c r="G32" s="104"/>
      <c r="H32" s="104"/>
      <c r="I32" s="104"/>
      <c r="J32" s="104">
        <f>Receitas!I50</f>
        <v>0</v>
      </c>
      <c r="K32" s="104">
        <f>Receitas!J50</f>
        <v>0</v>
      </c>
      <c r="L32" s="104">
        <f>Receitas!K50</f>
        <v>0</v>
      </c>
      <c r="M32" s="104">
        <f>Receitas!L50</f>
        <v>0</v>
      </c>
      <c r="N32" s="104">
        <f>Receitas!M50</f>
        <v>0</v>
      </c>
      <c r="O32" s="105">
        <f t="shared" si="10"/>
        <v>0</v>
      </c>
      <c r="P32" s="327"/>
      <c r="R32" s="102" t="s">
        <v>304</v>
      </c>
      <c r="S32" s="77">
        <f>SUM(S19/S9)</f>
        <v>1.1815439240768013</v>
      </c>
    </row>
    <row r="33" spans="1:20" s="83" customFormat="1" ht="19.5" customHeight="1" x14ac:dyDescent="0.25">
      <c r="A33" s="99" t="s">
        <v>156</v>
      </c>
      <c r="B33" s="108">
        <f>B34+B35</f>
        <v>0</v>
      </c>
      <c r="C33" s="108">
        <f t="shared" ref="C33:F33" si="11">C34+C35</f>
        <v>0</v>
      </c>
      <c r="D33" s="108">
        <f t="shared" si="11"/>
        <v>0</v>
      </c>
      <c r="E33" s="108">
        <f t="shared" si="11"/>
        <v>0</v>
      </c>
      <c r="F33" s="108">
        <f t="shared" si="11"/>
        <v>0</v>
      </c>
      <c r="G33" s="108">
        <f t="shared" ref="G33:N33" si="12">G34+G35</f>
        <v>0</v>
      </c>
      <c r="H33" s="108">
        <f t="shared" si="12"/>
        <v>0</v>
      </c>
      <c r="I33" s="108">
        <f t="shared" si="12"/>
        <v>0</v>
      </c>
      <c r="J33" s="108">
        <f t="shared" si="12"/>
        <v>1321650.7</v>
      </c>
      <c r="K33" s="108">
        <f t="shared" si="12"/>
        <v>189122.2</v>
      </c>
      <c r="L33" s="108">
        <f t="shared" si="12"/>
        <v>189122.2</v>
      </c>
      <c r="M33" s="108">
        <f t="shared" si="12"/>
        <v>189122.2</v>
      </c>
      <c r="N33" s="108">
        <f t="shared" si="12"/>
        <v>189122.2</v>
      </c>
      <c r="O33" s="105">
        <f>SUM(C33:N33)</f>
        <v>2078139.4999999998</v>
      </c>
      <c r="P33" s="285"/>
      <c r="R33" s="72"/>
      <c r="S33" s="72"/>
    </row>
    <row r="34" spans="1:20" ht="19.5" customHeight="1" x14ac:dyDescent="0.25">
      <c r="A34" s="103" t="s">
        <v>157</v>
      </c>
      <c r="B34" s="101">
        <v>0</v>
      </c>
      <c r="C34" s="107"/>
      <c r="D34" s="104"/>
      <c r="E34" s="107"/>
      <c r="F34" s="104"/>
      <c r="G34" s="104"/>
      <c r="H34" s="104"/>
      <c r="I34" s="104"/>
      <c r="J34" s="104">
        <f>Receitas!I52</f>
        <v>1321650.7</v>
      </c>
      <c r="K34" s="104">
        <f>Receitas!J52</f>
        <v>189122.2</v>
      </c>
      <c r="L34" s="104">
        <f>Receitas!K52</f>
        <v>189122.2</v>
      </c>
      <c r="M34" s="104">
        <f>Receitas!L52</f>
        <v>189122.2</v>
      </c>
      <c r="N34" s="104">
        <f>Receitas!M52</f>
        <v>189122.2</v>
      </c>
      <c r="O34" s="105">
        <f t="shared" si="10"/>
        <v>2078139.4999999998</v>
      </c>
      <c r="P34" s="285">
        <f>O34*15%</f>
        <v>311720.92499999993</v>
      </c>
      <c r="R34" s="199" t="s">
        <v>203</v>
      </c>
      <c r="S34" s="200">
        <f>SUM(S8+S19)/S6</f>
        <v>0.26281860168429905</v>
      </c>
      <c r="T34" s="397">
        <f>S8+S19</f>
        <v>11579851.760000002</v>
      </c>
    </row>
    <row r="35" spans="1:20" ht="16.5" customHeight="1" x14ac:dyDescent="0.25">
      <c r="A35" s="103" t="s">
        <v>158</v>
      </c>
      <c r="B35" s="101">
        <v>0</v>
      </c>
      <c r="C35" s="106"/>
      <c r="D35" s="104"/>
      <c r="E35" s="104"/>
      <c r="F35" s="104"/>
      <c r="G35" s="104"/>
      <c r="H35" s="104"/>
      <c r="I35" s="104"/>
      <c r="J35" s="104">
        <f>Receitas!I53</f>
        <v>0</v>
      </c>
      <c r="K35" s="104">
        <f>Receitas!J53</f>
        <v>0</v>
      </c>
      <c r="L35" s="104">
        <f>Receitas!K53</f>
        <v>0</v>
      </c>
      <c r="M35" s="104">
        <f>Receitas!L53</f>
        <v>0</v>
      </c>
      <c r="N35" s="104">
        <f>Receitas!M53</f>
        <v>0</v>
      </c>
      <c r="O35" s="105">
        <f t="shared" si="10"/>
        <v>0</v>
      </c>
      <c r="P35" s="285">
        <f>P34-O54</f>
        <v>-10276.815000000061</v>
      </c>
    </row>
    <row r="36" spans="1:20" ht="9" customHeight="1" x14ac:dyDescent="0.25">
      <c r="A36" s="99"/>
      <c r="B36" s="102"/>
      <c r="C36" s="102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111"/>
      <c r="P36" s="285"/>
    </row>
    <row r="37" spans="1:20" s="83" customFormat="1" ht="18" customHeight="1" x14ac:dyDescent="0.25">
      <c r="A37" s="99" t="s">
        <v>159</v>
      </c>
      <c r="B37" s="109">
        <f t="shared" ref="B37:N37" si="13">B28-B22</f>
        <v>6512640</v>
      </c>
      <c r="C37" s="109">
        <f t="shared" si="13"/>
        <v>0</v>
      </c>
      <c r="D37" s="109">
        <f t="shared" si="13"/>
        <v>0</v>
      </c>
      <c r="E37" s="109">
        <f t="shared" si="13"/>
        <v>0</v>
      </c>
      <c r="F37" s="109">
        <f t="shared" si="13"/>
        <v>0</v>
      </c>
      <c r="G37" s="109">
        <f t="shared" si="13"/>
        <v>0</v>
      </c>
      <c r="H37" s="109">
        <f t="shared" si="13"/>
        <v>0</v>
      </c>
      <c r="I37" s="109">
        <f t="shared" si="13"/>
        <v>0</v>
      </c>
      <c r="J37" s="109">
        <f t="shared" si="13"/>
        <v>2990152.96</v>
      </c>
      <c r="K37" s="109">
        <f t="shared" si="13"/>
        <v>329304.46000000008</v>
      </c>
      <c r="L37" s="109">
        <f t="shared" si="13"/>
        <v>371350.58999999997</v>
      </c>
      <c r="M37" s="109">
        <f t="shared" si="13"/>
        <v>374582.72</v>
      </c>
      <c r="N37" s="109">
        <f t="shared" si="13"/>
        <v>418581.04000000004</v>
      </c>
      <c r="O37" s="110">
        <f>SUM(C37:N37)</f>
        <v>4483971.7699999996</v>
      </c>
      <c r="P37" s="285"/>
    </row>
    <row r="38" spans="1:20" s="83" customFormat="1" ht="18" customHeight="1" x14ac:dyDescent="0.25">
      <c r="A38" s="86"/>
      <c r="B38" s="112"/>
      <c r="C38" s="112"/>
      <c r="D38" s="112"/>
      <c r="E38" s="112"/>
      <c r="F38" s="112"/>
      <c r="G38" s="112"/>
      <c r="H38" s="112"/>
      <c r="J38" s="112"/>
      <c r="K38" s="112"/>
      <c r="L38" s="112"/>
      <c r="M38" s="112"/>
      <c r="N38" s="112"/>
      <c r="O38" s="113"/>
      <c r="P38" s="285"/>
      <c r="R38" s="83" t="s">
        <v>338</v>
      </c>
      <c r="S38" s="398">
        <f>S17+S18-S13</f>
        <v>12188944.33</v>
      </c>
    </row>
    <row r="39" spans="1:20" s="83" customFormat="1" ht="18" customHeight="1" x14ac:dyDescent="0.25">
      <c r="A39" s="86" t="s">
        <v>66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3"/>
      <c r="P39" s="97"/>
      <c r="R39" s="83" t="s">
        <v>339</v>
      </c>
      <c r="S39" s="399">
        <f>S8</f>
        <v>7904019.3300000001</v>
      </c>
    </row>
    <row r="40" spans="1:20" s="83" customFormat="1" ht="18" customHeight="1" x14ac:dyDescent="0.25">
      <c r="A40" s="430" t="s">
        <v>195</v>
      </c>
      <c r="B40" s="431"/>
      <c r="C40" s="431"/>
      <c r="D40" s="431"/>
      <c r="E40" s="431"/>
      <c r="F40" s="431"/>
      <c r="G40" s="431"/>
      <c r="H40" s="431"/>
      <c r="I40" s="431"/>
      <c r="J40" s="432"/>
      <c r="K40" s="264"/>
      <c r="L40" s="264"/>
      <c r="M40" s="264"/>
      <c r="N40" s="264"/>
      <c r="O40" s="186" t="s">
        <v>147</v>
      </c>
      <c r="P40" s="186" t="s">
        <v>10</v>
      </c>
      <c r="R40" s="83" t="s">
        <v>340</v>
      </c>
      <c r="S40" s="399">
        <f>S19</f>
        <v>3675832.4300000006</v>
      </c>
    </row>
    <row r="41" spans="1:20" s="83" customFormat="1" ht="18" customHeight="1" x14ac:dyDescent="0.25">
      <c r="A41" s="265"/>
      <c r="B41" s="266"/>
      <c r="C41" s="267" t="s">
        <v>67</v>
      </c>
      <c r="D41" s="267" t="s">
        <v>68</v>
      </c>
      <c r="E41" s="267" t="s">
        <v>69</v>
      </c>
      <c r="F41" s="267" t="s">
        <v>70</v>
      </c>
      <c r="G41" s="267" t="s">
        <v>71</v>
      </c>
      <c r="H41" s="267" t="s">
        <v>72</v>
      </c>
      <c r="I41" s="267" t="s">
        <v>73</v>
      </c>
      <c r="J41" s="267" t="s">
        <v>74</v>
      </c>
      <c r="K41" s="267" t="s">
        <v>75</v>
      </c>
      <c r="L41" s="267" t="s">
        <v>76</v>
      </c>
      <c r="M41" s="267" t="s">
        <v>77</v>
      </c>
      <c r="N41" s="267" t="s">
        <v>78</v>
      </c>
      <c r="O41" s="186"/>
      <c r="P41" s="186"/>
    </row>
    <row r="42" spans="1:20" s="83" customFormat="1" ht="18" customHeight="1" x14ac:dyDescent="0.25">
      <c r="A42" s="178" t="s">
        <v>210</v>
      </c>
      <c r="B42" s="178"/>
      <c r="C42" s="178"/>
      <c r="D42" s="178"/>
      <c r="E42" s="182">
        <f>E43+E56</f>
        <v>0</v>
      </c>
      <c r="F42" s="182">
        <f>F43+F56</f>
        <v>0</v>
      </c>
      <c r="G42" s="182">
        <f>G43+G56</f>
        <v>0</v>
      </c>
      <c r="H42" s="182">
        <f t="shared" ref="H42:I42" si="14">H43+H56</f>
        <v>-151000</v>
      </c>
      <c r="I42" s="182">
        <f t="shared" si="14"/>
        <v>0</v>
      </c>
      <c r="J42" s="182">
        <f t="shared" ref="J42:O42" si="15">J43+J56</f>
        <v>14184239.82</v>
      </c>
      <c r="K42" s="182">
        <f t="shared" si="15"/>
        <v>1677486.66</v>
      </c>
      <c r="L42" s="182">
        <f t="shared" si="15"/>
        <v>1888675.51</v>
      </c>
      <c r="M42" s="182">
        <f t="shared" si="15"/>
        <v>2063901.74</v>
      </c>
      <c r="N42" s="182">
        <f t="shared" si="15"/>
        <v>2911743.3600000003</v>
      </c>
      <c r="O42" s="182">
        <f t="shared" si="15"/>
        <v>22575047.09</v>
      </c>
      <c r="P42" s="178"/>
      <c r="R42" s="83" t="s">
        <v>341</v>
      </c>
      <c r="S42" s="398">
        <f>SUM(S38:S41)</f>
        <v>23768796.09</v>
      </c>
    </row>
    <row r="43" spans="1:20" s="83" customFormat="1" ht="18" customHeight="1" x14ac:dyDescent="0.25">
      <c r="A43" s="363" t="s">
        <v>204</v>
      </c>
      <c r="B43" s="179">
        <f>SUM(B44:B49)</f>
        <v>0</v>
      </c>
      <c r="C43" s="179">
        <f t="shared" ref="C43:I43" si="16">SUM(C44:C49)</f>
        <v>0</v>
      </c>
      <c r="D43" s="179">
        <f t="shared" si="16"/>
        <v>0</v>
      </c>
      <c r="E43" s="179">
        <f t="shared" si="16"/>
        <v>0</v>
      </c>
      <c r="F43" s="179">
        <f t="shared" si="16"/>
        <v>0</v>
      </c>
      <c r="G43" s="179">
        <f t="shared" si="16"/>
        <v>0</v>
      </c>
      <c r="H43" s="179">
        <f t="shared" si="16"/>
        <v>0</v>
      </c>
      <c r="I43" s="179">
        <f t="shared" si="16"/>
        <v>0</v>
      </c>
      <c r="J43" s="179">
        <f>J44+J49</f>
        <v>12496699.199999999</v>
      </c>
      <c r="K43" s="179">
        <f t="shared" ref="K43:N43" si="17">K44+K49</f>
        <v>1559464.98</v>
      </c>
      <c r="L43" s="179">
        <f t="shared" si="17"/>
        <v>1708418.23</v>
      </c>
      <c r="M43" s="179">
        <f t="shared" si="17"/>
        <v>1749494.71</v>
      </c>
      <c r="N43" s="179">
        <f t="shared" si="17"/>
        <v>1385137.54</v>
      </c>
      <c r="O43" s="110">
        <f t="shared" ref="O43:O54" si="18">SUM(B43:N43)</f>
        <v>18899214.66</v>
      </c>
      <c r="P43" s="96">
        <f>O43/O26</f>
        <v>0.9869789398095633</v>
      </c>
    </row>
    <row r="44" spans="1:20" ht="18" customHeight="1" x14ac:dyDescent="0.25">
      <c r="A44" s="364" t="s">
        <v>290</v>
      </c>
      <c r="B44" s="365"/>
      <c r="C44" s="366"/>
      <c r="D44" s="366"/>
      <c r="E44" s="367"/>
      <c r="F44" s="368"/>
      <c r="G44" s="368"/>
      <c r="H44" s="368"/>
      <c r="I44" s="368"/>
      <c r="J44" s="369">
        <f>SUM(J45:J48)</f>
        <v>8696879.8300000001</v>
      </c>
      <c r="K44" s="369">
        <f t="shared" ref="K44:N44" si="19">SUM(K45:K48)</f>
        <v>1085720.8999999999</v>
      </c>
      <c r="L44" s="369">
        <f t="shared" si="19"/>
        <v>1354688.38</v>
      </c>
      <c r="M44" s="369">
        <f t="shared" si="19"/>
        <v>1362324.2</v>
      </c>
      <c r="N44" s="369">
        <f t="shared" si="19"/>
        <v>1215078.8</v>
      </c>
      <c r="O44" s="370">
        <f t="shared" si="18"/>
        <v>13714692.109999999</v>
      </c>
      <c r="P44" s="371">
        <f>O44/O26</f>
        <v>0.71622617775708053</v>
      </c>
      <c r="R44" s="349"/>
    </row>
    <row r="45" spans="1:20" ht="18" customHeight="1" x14ac:dyDescent="0.25">
      <c r="A45" s="103" t="s">
        <v>293</v>
      </c>
      <c r="B45" s="180"/>
      <c r="C45" s="184"/>
      <c r="D45" s="184"/>
      <c r="E45" s="102"/>
      <c r="F45" s="263"/>
      <c r="G45" s="263"/>
      <c r="H45" s="263"/>
      <c r="I45" s="263"/>
      <c r="J45" s="101">
        <v>5652025.4299999997</v>
      </c>
      <c r="K45" s="101">
        <v>730566.08</v>
      </c>
      <c r="L45" s="101">
        <v>468437.2</v>
      </c>
      <c r="M45" s="101">
        <v>922883.37</v>
      </c>
      <c r="N45" s="414">
        <v>938207.12</v>
      </c>
      <c r="O45" s="370">
        <f t="shared" si="18"/>
        <v>8712119.1999999993</v>
      </c>
      <c r="P45" s="77"/>
      <c r="R45" s="349"/>
    </row>
    <row r="46" spans="1:20" ht="18" customHeight="1" x14ac:dyDescent="0.25">
      <c r="A46" s="103" t="s">
        <v>294</v>
      </c>
      <c r="B46" s="180"/>
      <c r="C46" s="184"/>
      <c r="D46" s="184"/>
      <c r="E46" s="102"/>
      <c r="F46" s="263"/>
      <c r="G46" s="263"/>
      <c r="H46" s="263"/>
      <c r="I46" s="263"/>
      <c r="J46" s="101">
        <v>2454357.58</v>
      </c>
      <c r="K46" s="101">
        <v>208311.12</v>
      </c>
      <c r="L46" s="101">
        <v>269032.81</v>
      </c>
      <c r="M46" s="101">
        <v>272627.13</v>
      </c>
      <c r="N46" s="414">
        <v>276871.67999999999</v>
      </c>
      <c r="O46" s="370">
        <f t="shared" si="18"/>
        <v>3481200.3200000003</v>
      </c>
      <c r="P46" s="77"/>
      <c r="R46" s="349"/>
    </row>
    <row r="47" spans="1:20" ht="18" customHeight="1" x14ac:dyDescent="0.25">
      <c r="A47" s="103" t="s">
        <v>291</v>
      </c>
      <c r="B47" s="180"/>
      <c r="C47" s="184"/>
      <c r="D47" s="184"/>
      <c r="E47" s="102"/>
      <c r="F47" s="263"/>
      <c r="G47" s="263"/>
      <c r="H47" s="263"/>
      <c r="I47" s="263"/>
      <c r="J47" s="101">
        <f>186374.87+404121.95</f>
        <v>590496.82000000007</v>
      </c>
      <c r="K47" s="101">
        <f>99642.34+47201.36</f>
        <v>146843.70000000001</v>
      </c>
      <c r="L47" s="101">
        <f>167499.26+111329</f>
        <v>278828.26</v>
      </c>
      <c r="M47" s="101">
        <v>166813.70000000001</v>
      </c>
      <c r="N47" s="308"/>
      <c r="O47" s="370">
        <f t="shared" si="18"/>
        <v>1182982.48</v>
      </c>
      <c r="P47" s="77"/>
      <c r="R47" s="349"/>
    </row>
    <row r="48" spans="1:20" ht="18" customHeight="1" x14ac:dyDescent="0.25">
      <c r="A48" s="103" t="s">
        <v>295</v>
      </c>
      <c r="B48" s="180"/>
      <c r="C48" s="184"/>
      <c r="D48" s="184"/>
      <c r="E48" s="102"/>
      <c r="F48" s="263"/>
      <c r="G48" s="263"/>
      <c r="H48" s="263"/>
      <c r="I48" s="263"/>
      <c r="J48" s="101">
        <v>0</v>
      </c>
      <c r="K48" s="101">
        <v>0</v>
      </c>
      <c r="L48" s="101">
        <v>338390.11</v>
      </c>
      <c r="M48" s="101"/>
      <c r="N48" s="308"/>
      <c r="O48" s="370">
        <f t="shared" si="18"/>
        <v>338390.11</v>
      </c>
      <c r="P48" s="77"/>
      <c r="R48" s="349"/>
    </row>
    <row r="49" spans="1:18" ht="18" customHeight="1" x14ac:dyDescent="0.25">
      <c r="A49" s="364" t="s">
        <v>367</v>
      </c>
      <c r="B49" s="365"/>
      <c r="C49" s="366"/>
      <c r="D49" s="366"/>
      <c r="E49" s="367"/>
      <c r="F49" s="368"/>
      <c r="G49" s="368"/>
      <c r="H49" s="368"/>
      <c r="I49" s="368"/>
      <c r="J49" s="369">
        <f>SUM(J50:J54)</f>
        <v>3799819.37</v>
      </c>
      <c r="K49" s="369">
        <f t="shared" ref="K49:N49" si="20">SUM(K50:K54)</f>
        <v>473744.08</v>
      </c>
      <c r="L49" s="369">
        <f t="shared" si="20"/>
        <v>353729.85000000003</v>
      </c>
      <c r="M49" s="369">
        <f t="shared" si="20"/>
        <v>387170.51</v>
      </c>
      <c r="N49" s="369">
        <f t="shared" si="20"/>
        <v>170058.74</v>
      </c>
      <c r="O49" s="370">
        <f t="shared" si="18"/>
        <v>5184522.55</v>
      </c>
      <c r="P49" s="371">
        <f>O49/O26</f>
        <v>0.27075276205248272</v>
      </c>
      <c r="Q49" s="309"/>
    </row>
    <row r="50" spans="1:18" ht="18" customHeight="1" x14ac:dyDescent="0.25">
      <c r="A50" s="103" t="s">
        <v>297</v>
      </c>
      <c r="B50" s="180"/>
      <c r="C50" s="184"/>
      <c r="D50" s="184"/>
      <c r="E50" s="102"/>
      <c r="F50" s="263"/>
      <c r="G50" s="263"/>
      <c r="H50" s="263"/>
      <c r="I50" s="263"/>
      <c r="J50" s="101">
        <v>2499204.33</v>
      </c>
      <c r="K50" s="101">
        <v>374498.81</v>
      </c>
      <c r="L50" s="101">
        <f>158102.68+152466.48</f>
        <v>310569.16000000003</v>
      </c>
      <c r="M50" s="101">
        <f>119117.83+268052.68</f>
        <v>387170.51</v>
      </c>
      <c r="N50" s="414">
        <f>32260</f>
        <v>32260</v>
      </c>
      <c r="O50" s="370">
        <f t="shared" si="18"/>
        <v>3603702.8100000005</v>
      </c>
      <c r="P50" s="77"/>
      <c r="Q50" s="309"/>
    </row>
    <row r="51" spans="1:18" ht="18" customHeight="1" x14ac:dyDescent="0.25">
      <c r="A51" s="103" t="s">
        <v>296</v>
      </c>
      <c r="B51" s="180"/>
      <c r="C51" s="184"/>
      <c r="D51" s="184"/>
      <c r="E51" s="102"/>
      <c r="F51" s="263"/>
      <c r="G51" s="263"/>
      <c r="H51" s="263"/>
      <c r="I51" s="263"/>
      <c r="J51" s="101">
        <v>929062.53</v>
      </c>
      <c r="K51" s="101">
        <v>85882.37</v>
      </c>
      <c r="L51" s="101">
        <v>26840.61</v>
      </c>
      <c r="M51" s="101"/>
      <c r="N51" s="308"/>
      <c r="O51" s="370">
        <f t="shared" si="18"/>
        <v>1041785.51</v>
      </c>
      <c r="P51" s="77"/>
      <c r="Q51" s="309"/>
    </row>
    <row r="52" spans="1:18" ht="18" customHeight="1" x14ac:dyDescent="0.25">
      <c r="A52" s="103" t="s">
        <v>298</v>
      </c>
      <c r="B52" s="180"/>
      <c r="C52" s="184"/>
      <c r="D52" s="184"/>
      <c r="E52" s="102"/>
      <c r="F52" s="263"/>
      <c r="G52" s="263"/>
      <c r="H52" s="263"/>
      <c r="I52" s="263"/>
      <c r="J52" s="101"/>
      <c r="K52" s="101"/>
      <c r="L52" s="101"/>
      <c r="M52" s="101"/>
      <c r="N52" s="308"/>
      <c r="O52" s="370">
        <f t="shared" si="18"/>
        <v>0</v>
      </c>
      <c r="P52" s="77"/>
      <c r="Q52" s="309"/>
    </row>
    <row r="53" spans="1:18" ht="18" customHeight="1" x14ac:dyDescent="0.25">
      <c r="A53" s="103" t="s">
        <v>292</v>
      </c>
      <c r="B53" s="180"/>
      <c r="C53" s="184"/>
      <c r="D53" s="184"/>
      <c r="E53" s="102"/>
      <c r="F53" s="263"/>
      <c r="G53" s="263"/>
      <c r="H53" s="263"/>
      <c r="I53" s="263"/>
      <c r="J53" s="101">
        <f>63655.7+123697.81</f>
        <v>187353.51</v>
      </c>
      <c r="K53" s="101">
        <v>13362.9</v>
      </c>
      <c r="L53" s="101">
        <f>14865.68+1454.4</f>
        <v>16320.08</v>
      </c>
      <c r="M53" s="101"/>
      <c r="N53" s="308"/>
      <c r="O53" s="370">
        <f t="shared" si="18"/>
        <v>217036.49</v>
      </c>
      <c r="P53" s="77"/>
      <c r="Q53" s="309"/>
    </row>
    <row r="54" spans="1:18" ht="18" customHeight="1" x14ac:dyDescent="0.25">
      <c r="A54" s="103" t="s">
        <v>299</v>
      </c>
      <c r="B54" s="180"/>
      <c r="C54" s="184"/>
      <c r="D54" s="184"/>
      <c r="E54" s="102"/>
      <c r="F54" s="263"/>
      <c r="G54" s="263"/>
      <c r="H54" s="401"/>
      <c r="I54" s="263"/>
      <c r="J54" s="101">
        <f>37735+49344+97120</f>
        <v>184199</v>
      </c>
      <c r="K54" s="101">
        <v>0</v>
      </c>
      <c r="L54" s="101"/>
      <c r="M54" s="308"/>
      <c r="N54" s="414">
        <f>88028.74+49770</f>
        <v>137798.74</v>
      </c>
      <c r="O54" s="370">
        <f t="shared" si="18"/>
        <v>321997.74</v>
      </c>
      <c r="P54" s="77">
        <f>O54/O33</f>
        <v>0.15494519978086169</v>
      </c>
      <c r="Q54" s="309"/>
    </row>
    <row r="55" spans="1:18" s="83" customFormat="1" ht="9.75" customHeight="1" x14ac:dyDescent="0.25">
      <c r="A55" s="86"/>
      <c r="B55" s="18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362"/>
      <c r="P55" s="97"/>
    </row>
    <row r="56" spans="1:18" s="83" customFormat="1" ht="18" customHeight="1" x14ac:dyDescent="0.25">
      <c r="A56" s="372" t="s">
        <v>196</v>
      </c>
      <c r="B56" s="369">
        <f t="shared" ref="B56:N56" si="21">B57</f>
        <v>0</v>
      </c>
      <c r="C56" s="369">
        <f t="shared" si="21"/>
        <v>0</v>
      </c>
      <c r="D56" s="369">
        <f t="shared" si="21"/>
        <v>0</v>
      </c>
      <c r="E56" s="369">
        <f t="shared" si="21"/>
        <v>0</v>
      </c>
      <c r="F56" s="369">
        <f t="shared" si="21"/>
        <v>0</v>
      </c>
      <c r="G56" s="369">
        <f t="shared" si="21"/>
        <v>0</v>
      </c>
      <c r="H56" s="369">
        <f t="shared" si="21"/>
        <v>-151000</v>
      </c>
      <c r="I56" s="369">
        <f t="shared" si="21"/>
        <v>0</v>
      </c>
      <c r="J56" s="369">
        <f t="shared" si="21"/>
        <v>1687540.62</v>
      </c>
      <c r="K56" s="369">
        <f t="shared" si="21"/>
        <v>118021.68</v>
      </c>
      <c r="L56" s="369">
        <f t="shared" si="21"/>
        <v>180257.28</v>
      </c>
      <c r="M56" s="369">
        <f t="shared" si="21"/>
        <v>314407.03000000003</v>
      </c>
      <c r="N56" s="369">
        <f t="shared" si="21"/>
        <v>1526605.82</v>
      </c>
      <c r="O56" s="370">
        <f>SUM(B56:N56)</f>
        <v>3675832.4300000006</v>
      </c>
      <c r="P56" s="373"/>
      <c r="R56" s="349"/>
    </row>
    <row r="57" spans="1:18" s="83" customFormat="1" ht="18" customHeight="1" x14ac:dyDescent="0.25">
      <c r="A57" s="103" t="s">
        <v>197</v>
      </c>
      <c r="B57" s="185"/>
      <c r="C57" s="109"/>
      <c r="D57" s="109"/>
      <c r="E57" s="80"/>
      <c r="F57" s="101"/>
      <c r="G57" s="101"/>
      <c r="H57" s="403">
        <f>-151000</f>
        <v>-151000</v>
      </c>
      <c r="I57" s="101"/>
      <c r="J57" s="101">
        <v>1687540.62</v>
      </c>
      <c r="K57" s="101">
        <v>118021.68</v>
      </c>
      <c r="L57" s="101">
        <v>180257.28</v>
      </c>
      <c r="M57" s="101">
        <v>314407.03000000003</v>
      </c>
      <c r="N57" s="414">
        <v>1526605.82</v>
      </c>
      <c r="O57" s="110">
        <f>SUM(B57:N57)</f>
        <v>3675832.4300000006</v>
      </c>
      <c r="P57" s="96">
        <f>O60</f>
        <v>0.26281860168429905</v>
      </c>
    </row>
    <row r="58" spans="1:18" x14ac:dyDescent="0.25">
      <c r="M58" s="427" t="s">
        <v>300</v>
      </c>
      <c r="N58" s="427"/>
      <c r="O58" s="374">
        <f>O22</f>
        <v>7904019.3300000001</v>
      </c>
    </row>
    <row r="59" spans="1:18" x14ac:dyDescent="0.25">
      <c r="M59" s="427" t="s">
        <v>301</v>
      </c>
      <c r="N59" s="427"/>
      <c r="O59" s="375">
        <f>SUM(O56+O58)</f>
        <v>11579851.760000002</v>
      </c>
    </row>
    <row r="60" spans="1:18" x14ac:dyDescent="0.25">
      <c r="M60" s="427" t="s">
        <v>302</v>
      </c>
      <c r="N60" s="427"/>
      <c r="O60" s="96">
        <f>O59/O20</f>
        <v>0.26281860168429905</v>
      </c>
    </row>
    <row r="61" spans="1:18" x14ac:dyDescent="0.25">
      <c r="A61" s="390" t="s">
        <v>317</v>
      </c>
      <c r="B61" s="390" t="s">
        <v>318</v>
      </c>
      <c r="C61" s="390" t="s">
        <v>319</v>
      </c>
      <c r="D61" s="390" t="s">
        <v>213</v>
      </c>
      <c r="E61" s="390" t="s">
        <v>320</v>
      </c>
      <c r="J61" s="36"/>
    </row>
    <row r="63" spans="1:18" x14ac:dyDescent="0.25">
      <c r="A63" s="102" t="str">
        <f>A27</f>
        <v>6.1- FUNDEB - Impostos e Transferências de Impostos</v>
      </c>
      <c r="B63" s="106">
        <f>O27</f>
        <v>12438278.74</v>
      </c>
      <c r="C63" s="106">
        <f>O45+O50</f>
        <v>12315822.01</v>
      </c>
      <c r="D63" s="77">
        <f>C63/B63</f>
        <v>0.99015484919097407</v>
      </c>
      <c r="E63" s="106">
        <f>B63-C63</f>
        <v>122456.73000000045</v>
      </c>
      <c r="G63" s="347">
        <f>B63/O26</f>
        <v>0.64956768758459249</v>
      </c>
      <c r="J63" s="270"/>
      <c r="M63" s="427" t="s">
        <v>303</v>
      </c>
      <c r="N63" s="427"/>
      <c r="O63" s="376">
        <f>O47+O53+O54</f>
        <v>1722016.71</v>
      </c>
    </row>
    <row r="64" spans="1:18" x14ac:dyDescent="0.25">
      <c r="D64" s="183"/>
      <c r="E64" s="107"/>
    </row>
    <row r="65" spans="1:16" x14ac:dyDescent="0.25">
      <c r="A65" s="102" t="str">
        <f>A30</f>
        <v>6.2- FUNDEB - Complementação da União - VAAF</v>
      </c>
      <c r="B65" s="106">
        <f>O30</f>
        <v>4632130.83</v>
      </c>
      <c r="C65" s="106">
        <f>O46+O51</f>
        <v>4522985.83</v>
      </c>
      <c r="D65" s="77">
        <f>C65/B65</f>
        <v>0.97643740990795802</v>
      </c>
      <c r="E65" s="106">
        <f>B65-C65</f>
        <v>109145</v>
      </c>
      <c r="G65" s="347">
        <f>B65/O26</f>
        <v>0.24190505573381285</v>
      </c>
      <c r="J65" s="254"/>
    </row>
    <row r="66" spans="1:16" x14ac:dyDescent="0.25">
      <c r="D66" s="183"/>
      <c r="E66" s="107"/>
      <c r="G66" s="347"/>
      <c r="M66" s="436" t="s">
        <v>322</v>
      </c>
      <c r="N66" s="436"/>
      <c r="O66" s="357">
        <f>O26-O43</f>
        <v>249334.41000000015</v>
      </c>
      <c r="P66" s="347">
        <f>O66/O26</f>
        <v>1.3021060190436671E-2</v>
      </c>
    </row>
    <row r="67" spans="1:16" x14ac:dyDescent="0.25">
      <c r="A67" s="102" t="str">
        <f>A33</f>
        <v>6.3- FUNDEB - Complementação da União - VAAT</v>
      </c>
      <c r="B67" s="446">
        <f>O33</f>
        <v>2078139.4999999998</v>
      </c>
      <c r="C67" s="106">
        <f>O47+O48+O52+O53+O54</f>
        <v>2060406.8199999998</v>
      </c>
      <c r="D67" s="77">
        <f>C67/B67</f>
        <v>0.99146704059087476</v>
      </c>
      <c r="E67" s="446">
        <f>B67-C67</f>
        <v>17732.679999999935</v>
      </c>
      <c r="G67" s="347">
        <f>B67/O26</f>
        <v>0.1085272566815946</v>
      </c>
    </row>
    <row r="68" spans="1:16" x14ac:dyDescent="0.25">
      <c r="A68" s="102" t="s">
        <v>342</v>
      </c>
      <c r="B68" s="447"/>
      <c r="C68" s="106">
        <f>O47+O53+O54</f>
        <v>1722016.71</v>
      </c>
      <c r="D68" s="77">
        <f>C68/B67</f>
        <v>0.82863383810374625</v>
      </c>
      <c r="E68" s="447"/>
      <c r="G68" s="347"/>
    </row>
    <row r="69" spans="1:16" x14ac:dyDescent="0.25">
      <c r="A69" s="102" t="s">
        <v>343</v>
      </c>
      <c r="B69" s="448"/>
      <c r="C69" s="106">
        <f>O54</f>
        <v>321997.74</v>
      </c>
      <c r="D69" s="77">
        <f>C69/B67</f>
        <v>0.15494519978086169</v>
      </c>
      <c r="E69" s="448"/>
      <c r="G69" s="347"/>
      <c r="J69" s="107"/>
    </row>
    <row r="70" spans="1:16" x14ac:dyDescent="0.25">
      <c r="D70" s="183"/>
      <c r="J70" s="270"/>
    </row>
    <row r="71" spans="1:16" x14ac:dyDescent="0.25">
      <c r="A71" s="393" t="s">
        <v>328</v>
      </c>
      <c r="B71" s="106">
        <f>SUM(B63:B67)</f>
        <v>19148549.07</v>
      </c>
      <c r="C71" s="106">
        <f>SUM(C63:C67)</f>
        <v>18899214.66</v>
      </c>
      <c r="D71" s="415">
        <f>C71/B71</f>
        <v>0.9869789398095633</v>
      </c>
      <c r="E71" s="106">
        <f>B71-C71</f>
        <v>249334.41000000015</v>
      </c>
      <c r="M71" s="427" t="s">
        <v>323</v>
      </c>
      <c r="N71" s="427"/>
      <c r="O71" s="376">
        <f>C63+O56</f>
        <v>15991654.440000001</v>
      </c>
    </row>
    <row r="72" spans="1:16" x14ac:dyDescent="0.25">
      <c r="M72" s="437" t="str">
        <f>A37</f>
        <v>7- RESULTADO LÍQUIDO DAS TRANSFERÊNCIAS DO FUNDEB (6.1.1 – 4)</v>
      </c>
      <c r="N72" s="438"/>
      <c r="O72" s="376">
        <f>O28-O22</f>
        <v>4483971.7699999996</v>
      </c>
    </row>
    <row r="73" spans="1:16" x14ac:dyDescent="0.25">
      <c r="M73" s="437" t="s">
        <v>324</v>
      </c>
      <c r="N73" s="438"/>
      <c r="O73" s="376">
        <f>O71-O72</f>
        <v>11507682.670000002</v>
      </c>
    </row>
    <row r="75" spans="1:16" x14ac:dyDescent="0.25">
      <c r="A75" s="390" t="s">
        <v>317</v>
      </c>
      <c r="B75" s="390" t="s">
        <v>318</v>
      </c>
      <c r="C75" s="390" t="s">
        <v>329</v>
      </c>
      <c r="D75" s="390" t="s">
        <v>319</v>
      </c>
      <c r="E75" s="390" t="s">
        <v>213</v>
      </c>
      <c r="M75" s="427" t="s">
        <v>200</v>
      </c>
      <c r="N75" s="427"/>
      <c r="O75" s="96">
        <f>O73/O20</f>
        <v>0.26118063776975681</v>
      </c>
    </row>
    <row r="77" spans="1:16" x14ac:dyDescent="0.25">
      <c r="A77" s="102" t="s">
        <v>336</v>
      </c>
      <c r="B77" s="278">
        <f>O33</f>
        <v>2078139.4999999998</v>
      </c>
    </row>
    <row r="78" spans="1:16" x14ac:dyDescent="0.25">
      <c r="A78" s="102" t="s">
        <v>330</v>
      </c>
      <c r="B78" s="278">
        <f>B77*15%</f>
        <v>311720.92499999993</v>
      </c>
    </row>
    <row r="79" spans="1:16" x14ac:dyDescent="0.25">
      <c r="A79" s="102" t="s">
        <v>331</v>
      </c>
      <c r="B79" s="278">
        <f>O54</f>
        <v>321997.74</v>
      </c>
    </row>
    <row r="80" spans="1:16" x14ac:dyDescent="0.25">
      <c r="A80" s="102" t="s">
        <v>332</v>
      </c>
      <c r="B80" s="77">
        <f>B79/B77</f>
        <v>0.15494519978086169</v>
      </c>
    </row>
    <row r="81" spans="1:16" x14ac:dyDescent="0.25">
      <c r="A81" s="80" t="s">
        <v>333</v>
      </c>
      <c r="B81" s="357">
        <f>B78-B79</f>
        <v>-10276.815000000061</v>
      </c>
    </row>
    <row r="82" spans="1:16" x14ac:dyDescent="0.25">
      <c r="N82" s="72" t="s">
        <v>381</v>
      </c>
    </row>
    <row r="83" spans="1:16" x14ac:dyDescent="0.25">
      <c r="A83" s="102" t="s">
        <v>334</v>
      </c>
      <c r="B83" s="278">
        <v>2247292.6</v>
      </c>
      <c r="N83" s="107">
        <v>6575421.3099999996</v>
      </c>
    </row>
    <row r="84" spans="1:16" x14ac:dyDescent="0.25">
      <c r="A84" s="102" t="s">
        <v>335</v>
      </c>
      <c r="B84" s="278">
        <f>B83*15%</f>
        <v>337093.89</v>
      </c>
      <c r="N84" s="107">
        <v>7676693.1500000004</v>
      </c>
    </row>
    <row r="85" spans="1:16" x14ac:dyDescent="0.25">
      <c r="A85" s="80" t="s">
        <v>337</v>
      </c>
      <c r="B85" s="279">
        <f>B84-B79</f>
        <v>15096.150000000023</v>
      </c>
    </row>
    <row r="86" spans="1:16" ht="15" x14ac:dyDescent="0.2">
      <c r="N86" s="107">
        <f>SUM(N83:N85)</f>
        <v>14252114.460000001</v>
      </c>
      <c r="O86" s="347">
        <f>N86/O26</f>
        <v>0.74429213450583387</v>
      </c>
    </row>
    <row r="87" spans="1:16" ht="15" x14ac:dyDescent="0.2">
      <c r="O87" s="254"/>
    </row>
    <row r="88" spans="1:16" ht="15" x14ac:dyDescent="0.2">
      <c r="B88" s="270">
        <f>B83-B77</f>
        <v>169153.10000000033</v>
      </c>
      <c r="O88" s="254"/>
    </row>
    <row r="89" spans="1:16" ht="15" x14ac:dyDescent="0.2">
      <c r="B89" s="270">
        <f>B88-M34</f>
        <v>-19969.099999999686</v>
      </c>
      <c r="N89" s="72" t="s">
        <v>382</v>
      </c>
      <c r="O89" s="254"/>
    </row>
    <row r="90" spans="1:16" ht="15" x14ac:dyDescent="0.2">
      <c r="N90" s="107">
        <v>2854591.97</v>
      </c>
      <c r="O90" s="254"/>
    </row>
    <row r="91" spans="1:16" x14ac:dyDescent="0.25">
      <c r="N91" s="107">
        <v>2447956.31</v>
      </c>
      <c r="O91" s="349"/>
    </row>
    <row r="92" spans="1:16" x14ac:dyDescent="0.25">
      <c r="B92" s="107">
        <f>B84*15%</f>
        <v>50564.083500000001</v>
      </c>
      <c r="O92" s="349"/>
    </row>
    <row r="93" spans="1:16" x14ac:dyDescent="0.25">
      <c r="N93" s="107">
        <f>SUM(N90:N92)</f>
        <v>5302548.28</v>
      </c>
      <c r="O93" s="417">
        <f>N93/O26</f>
        <v>0.27691645255292441</v>
      </c>
      <c r="P93" s="347"/>
    </row>
    <row r="95" spans="1:16" x14ac:dyDescent="0.25">
      <c r="E95" s="36">
        <v>54176.59</v>
      </c>
      <c r="O95" s="349"/>
    </row>
    <row r="96" spans="1:16" x14ac:dyDescent="0.25">
      <c r="C96" s="327"/>
      <c r="E96" s="72">
        <v>790.58</v>
      </c>
      <c r="M96" s="107">
        <v>22250351.969999999</v>
      </c>
      <c r="N96" s="72" t="s">
        <v>383</v>
      </c>
    </row>
    <row r="97" spans="1:15" x14ac:dyDescent="0.25">
      <c r="C97" s="254"/>
      <c r="E97" s="107">
        <f>E95+E96</f>
        <v>54967.17</v>
      </c>
      <c r="J97" s="400">
        <v>1363502.63</v>
      </c>
      <c r="M97" s="107">
        <v>928653.48</v>
      </c>
    </row>
    <row r="98" spans="1:15" x14ac:dyDescent="0.25">
      <c r="A98" s="402" t="s">
        <v>345</v>
      </c>
      <c r="B98" s="80" t="s">
        <v>354</v>
      </c>
      <c r="C98" s="402" t="s">
        <v>368</v>
      </c>
      <c r="J98" s="411">
        <v>333797.08</v>
      </c>
      <c r="N98" s="107">
        <v>1080677.6100000001</v>
      </c>
    </row>
    <row r="99" spans="1:15" x14ac:dyDescent="0.25">
      <c r="A99" s="102" t="s">
        <v>346</v>
      </c>
      <c r="B99" s="278">
        <v>67368.87</v>
      </c>
      <c r="C99" s="278">
        <v>55473.8</v>
      </c>
      <c r="D99" s="254"/>
      <c r="E99" s="107">
        <v>54739.69</v>
      </c>
      <c r="J99" s="410"/>
      <c r="N99" s="107">
        <v>2701804.07</v>
      </c>
    </row>
    <row r="100" spans="1:15" x14ac:dyDescent="0.25">
      <c r="A100" s="102" t="s">
        <v>347</v>
      </c>
      <c r="B100" s="278">
        <v>18640.62</v>
      </c>
      <c r="C100" s="278">
        <v>15822.6</v>
      </c>
      <c r="D100" s="254"/>
      <c r="E100" s="72">
        <v>734.11</v>
      </c>
      <c r="J100" s="107">
        <f>J97-J98-J99</f>
        <v>1029705.5499999998</v>
      </c>
    </row>
    <row r="101" spans="1:15" x14ac:dyDescent="0.25">
      <c r="A101" s="102" t="s">
        <v>348</v>
      </c>
      <c r="B101" s="278">
        <v>7675.9</v>
      </c>
      <c r="C101" s="278">
        <v>6420.56</v>
      </c>
      <c r="D101" s="254"/>
      <c r="E101" s="107">
        <f>SUM(E99:E100)</f>
        <v>55473.8</v>
      </c>
      <c r="J101" s="36">
        <v>1059069.01</v>
      </c>
      <c r="N101" s="107">
        <f>SUM(N98:N100)</f>
        <v>3782481.6799999997</v>
      </c>
      <c r="O101" s="417">
        <f>N101/O20</f>
        <v>8.5847950961513694E-2</v>
      </c>
    </row>
    <row r="102" spans="1:15" x14ac:dyDescent="0.25">
      <c r="A102" s="102" t="s">
        <v>349</v>
      </c>
      <c r="B102" s="278">
        <v>2750.96</v>
      </c>
      <c r="C102" s="278">
        <v>2292.61</v>
      </c>
      <c r="D102" s="254"/>
      <c r="N102" s="254">
        <v>3782481.68</v>
      </c>
    </row>
    <row r="103" spans="1:15" x14ac:dyDescent="0.25">
      <c r="A103" s="102" t="s">
        <v>350</v>
      </c>
      <c r="B103" s="278">
        <v>1510.87</v>
      </c>
      <c r="C103" s="278">
        <v>1398.16</v>
      </c>
      <c r="J103" s="107">
        <f>J100-J101</f>
        <v>-29363.460000000196</v>
      </c>
    </row>
    <row r="104" spans="1:15" x14ac:dyDescent="0.25">
      <c r="A104" s="102" t="s">
        <v>351</v>
      </c>
      <c r="B104" s="278">
        <v>27379.43</v>
      </c>
      <c r="C104" s="278">
        <v>20527.189999999999</v>
      </c>
      <c r="N104" s="72" t="s">
        <v>384</v>
      </c>
    </row>
    <row r="105" spans="1:15" x14ac:dyDescent="0.25">
      <c r="A105" s="102" t="s">
        <v>352</v>
      </c>
      <c r="B105" s="278">
        <v>4500</v>
      </c>
      <c r="C105" s="278">
        <v>3090.43</v>
      </c>
      <c r="D105" s="270"/>
    </row>
    <row r="106" spans="1:15" x14ac:dyDescent="0.25">
      <c r="A106" s="102" t="s">
        <v>366</v>
      </c>
      <c r="B106" s="102"/>
      <c r="C106" s="278">
        <f>B106</f>
        <v>0</v>
      </c>
      <c r="D106" s="408">
        <f>SUM(B99:B105)*22%</f>
        <v>28561.862999999998</v>
      </c>
      <c r="N106" s="107">
        <v>162470.74</v>
      </c>
    </row>
    <row r="107" spans="1:15" x14ac:dyDescent="0.25">
      <c r="N107" s="107">
        <v>159527</v>
      </c>
    </row>
    <row r="108" spans="1:15" x14ac:dyDescent="0.25">
      <c r="A108" s="402" t="s">
        <v>344</v>
      </c>
      <c r="B108" s="357">
        <f>SUM(B99:B106)</f>
        <v>129826.65</v>
      </c>
    </row>
    <row r="109" spans="1:15" x14ac:dyDescent="0.25">
      <c r="A109" s="449" t="s">
        <v>357</v>
      </c>
      <c r="B109" s="449"/>
      <c r="C109" s="279">
        <f>SUM(C99:C106)</f>
        <v>105025.35</v>
      </c>
      <c r="N109" s="107">
        <f>SUM(N106:N107)</f>
        <v>321997.74</v>
      </c>
      <c r="O109" s="417">
        <f>N109/B67</f>
        <v>0.15494519978086169</v>
      </c>
    </row>
    <row r="111" spans="1:15" x14ac:dyDescent="0.25">
      <c r="N111" s="72" t="s">
        <v>385</v>
      </c>
    </row>
    <row r="113" spans="1:15" x14ac:dyDescent="0.25">
      <c r="A113" s="404" t="s">
        <v>353</v>
      </c>
      <c r="B113" s="80" t="s">
        <v>354</v>
      </c>
      <c r="C113" s="402" t="s">
        <v>369</v>
      </c>
      <c r="N113" s="107">
        <v>779391.05</v>
      </c>
    </row>
    <row r="114" spans="1:15" x14ac:dyDescent="0.25">
      <c r="A114" s="102" t="s">
        <v>363</v>
      </c>
      <c r="B114" s="278">
        <v>72330.490000000005</v>
      </c>
      <c r="C114" s="278">
        <v>33004.54</v>
      </c>
      <c r="N114" s="107">
        <v>816861.92</v>
      </c>
    </row>
    <row r="115" spans="1:15" x14ac:dyDescent="0.25">
      <c r="A115" s="102" t="s">
        <v>363</v>
      </c>
      <c r="B115" s="278">
        <v>34296.76</v>
      </c>
      <c r="C115" s="278">
        <v>14943.22</v>
      </c>
    </row>
    <row r="116" spans="1:15" x14ac:dyDescent="0.25">
      <c r="A116" s="102" t="s">
        <v>363</v>
      </c>
      <c r="B116" s="278">
        <v>67455.89</v>
      </c>
      <c r="C116" s="278">
        <v>31944.28</v>
      </c>
      <c r="N116" s="107">
        <f>SUM(N113:N115)</f>
        <v>1596252.9700000002</v>
      </c>
      <c r="O116" s="417">
        <f>N116/B67</f>
        <v>0.76811637043615233</v>
      </c>
    </row>
    <row r="117" spans="1:15" x14ac:dyDescent="0.25">
      <c r="A117" s="102" t="s">
        <v>363</v>
      </c>
      <c r="B117" s="278">
        <v>55008.51</v>
      </c>
      <c r="C117" s="278">
        <v>26756.799999999999</v>
      </c>
    </row>
    <row r="118" spans="1:15" x14ac:dyDescent="0.25">
      <c r="A118" s="102" t="s">
        <v>358</v>
      </c>
      <c r="B118" s="412">
        <v>344120.52</v>
      </c>
      <c r="C118" s="278">
        <v>244138.37</v>
      </c>
      <c r="E118" s="270">
        <f>B118+B119+B120</f>
        <v>824649.40999999992</v>
      </c>
    </row>
    <row r="119" spans="1:15" x14ac:dyDescent="0.25">
      <c r="A119" s="102" t="s">
        <v>360</v>
      </c>
      <c r="B119" s="412">
        <v>160059.57999999999</v>
      </c>
      <c r="C119" s="278">
        <v>116054.06</v>
      </c>
    </row>
    <row r="120" spans="1:15" x14ac:dyDescent="0.25">
      <c r="A120" s="102" t="s">
        <v>361</v>
      </c>
      <c r="B120" s="412">
        <v>320469.31</v>
      </c>
      <c r="C120" s="278">
        <v>217205.18</v>
      </c>
    </row>
    <row r="121" spans="1:15" x14ac:dyDescent="0.25">
      <c r="A121" s="102" t="s">
        <v>359</v>
      </c>
      <c r="B121" s="412">
        <v>113557.71</v>
      </c>
      <c r="C121" s="278">
        <v>80033.31</v>
      </c>
    </row>
    <row r="122" spans="1:15" x14ac:dyDescent="0.25">
      <c r="A122" s="102" t="s">
        <v>362</v>
      </c>
      <c r="B122" s="412">
        <v>276871.67999999999</v>
      </c>
      <c r="C122" s="278">
        <v>194160.43</v>
      </c>
    </row>
    <row r="123" spans="1:15" x14ac:dyDescent="0.25">
      <c r="A123" s="102" t="s">
        <v>364</v>
      </c>
      <c r="B123" s="278"/>
      <c r="C123" s="278"/>
      <c r="D123" s="407">
        <f>SUM(B118:B122)*22%</f>
        <v>267317.33599999995</v>
      </c>
      <c r="E123" s="254">
        <v>267317.34000000003</v>
      </c>
    </row>
    <row r="124" spans="1:15" x14ac:dyDescent="0.25">
      <c r="E124" s="409">
        <v>253814.13</v>
      </c>
    </row>
    <row r="125" spans="1:15" x14ac:dyDescent="0.25">
      <c r="A125" s="402" t="s">
        <v>344</v>
      </c>
      <c r="B125" s="357">
        <f>SUM(B114:B123)</f>
        <v>1444170.45</v>
      </c>
      <c r="C125" s="357"/>
      <c r="E125" s="270">
        <f>SUM(E123:E124)</f>
        <v>521131.47000000003</v>
      </c>
    </row>
    <row r="126" spans="1:15" x14ac:dyDescent="0.25">
      <c r="A126" s="449" t="s">
        <v>357</v>
      </c>
      <c r="B126" s="449"/>
      <c r="C126" s="357">
        <f>SUM(C114:C122)+SUM(B114:B117)+B123</f>
        <v>1187331.8399999999</v>
      </c>
      <c r="E126" s="254">
        <v>521131.47</v>
      </c>
    </row>
    <row r="130" spans="1:3" x14ac:dyDescent="0.25">
      <c r="A130" s="404" t="s">
        <v>356</v>
      </c>
      <c r="B130" s="80" t="s">
        <v>354</v>
      </c>
      <c r="C130" s="402" t="s">
        <v>355</v>
      </c>
    </row>
    <row r="131" spans="1:3" x14ac:dyDescent="0.25">
      <c r="A131" s="102" t="s">
        <v>365</v>
      </c>
      <c r="B131" s="278">
        <v>12953.38</v>
      </c>
      <c r="C131" s="278">
        <v>5296.04</v>
      </c>
    </row>
    <row r="132" spans="1:3" x14ac:dyDescent="0.25">
      <c r="A132" s="102"/>
      <c r="B132" s="278"/>
      <c r="C132" s="278"/>
    </row>
    <row r="134" spans="1:3" x14ac:dyDescent="0.25">
      <c r="A134" s="402" t="s">
        <v>344</v>
      </c>
      <c r="B134" s="357">
        <f>SUM(B131:B132)</f>
        <v>12953.38</v>
      </c>
      <c r="C134" s="357">
        <f>SUM(C131:C132)</f>
        <v>5296.04</v>
      </c>
    </row>
    <row r="135" spans="1:3" x14ac:dyDescent="0.25">
      <c r="A135" s="449" t="s">
        <v>357</v>
      </c>
      <c r="B135" s="449"/>
      <c r="C135" s="279">
        <f>B134+C134</f>
        <v>18249.419999999998</v>
      </c>
    </row>
    <row r="138" spans="1:3" x14ac:dyDescent="0.25">
      <c r="A138" s="405" t="s">
        <v>370</v>
      </c>
      <c r="B138" s="406">
        <f>C126+C135</f>
        <v>1205581.2599999998</v>
      </c>
    </row>
    <row r="139" spans="1:3" x14ac:dyDescent="0.25">
      <c r="B139" s="270">
        <f>B149-B138</f>
        <v>208985.36000000034</v>
      </c>
    </row>
    <row r="144" spans="1:3" x14ac:dyDescent="0.25">
      <c r="B144" s="270">
        <f>B125+C135+SUM(C114:C117)</f>
        <v>1569068.71</v>
      </c>
    </row>
    <row r="149" spans="2:2" x14ac:dyDescent="0.25">
      <c r="B149" s="107">
        <v>1414566.62</v>
      </c>
    </row>
    <row r="151" spans="2:2" x14ac:dyDescent="0.25">
      <c r="B151" s="270">
        <f>B149-C126</f>
        <v>227234.78000000026</v>
      </c>
    </row>
  </sheetData>
  <mergeCells count="22">
    <mergeCell ref="A126:B126"/>
    <mergeCell ref="A135:B135"/>
    <mergeCell ref="M73:N73"/>
    <mergeCell ref="M75:N75"/>
    <mergeCell ref="A109:B109"/>
    <mergeCell ref="A40:J40"/>
    <mergeCell ref="A1:P1"/>
    <mergeCell ref="M66:N66"/>
    <mergeCell ref="M71:N71"/>
    <mergeCell ref="M72:N72"/>
    <mergeCell ref="A2:A3"/>
    <mergeCell ref="C2:P2"/>
    <mergeCell ref="B2:B3"/>
    <mergeCell ref="M63:N63"/>
    <mergeCell ref="B67:B69"/>
    <mergeCell ref="E67:E69"/>
    <mergeCell ref="R1:S1"/>
    <mergeCell ref="R2:S2"/>
    <mergeCell ref="M59:N59"/>
    <mergeCell ref="M58:N58"/>
    <mergeCell ref="M60:N60"/>
    <mergeCell ref="R16:S16"/>
  </mergeCells>
  <conditionalFormatting sqref="D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{82A28E81-381F-455F-9DE4-53E6B26A1667}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scale="3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A28E81-381F-455F-9DE4-53E6B26A1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A047A-BB46-4BA0-B845-369ABDE398E8}">
  <dimension ref="A1:R37"/>
  <sheetViews>
    <sheetView zoomScaleNormal="100" workbookViewId="0">
      <selection activeCell="J24" sqref="J24"/>
    </sheetView>
  </sheetViews>
  <sheetFormatPr defaultRowHeight="15" x14ac:dyDescent="0.2"/>
  <cols>
    <col min="1" max="1" width="48" style="72" bestFit="1" customWidth="1"/>
    <col min="2" max="3" width="12.85546875" style="72" bestFit="1" customWidth="1"/>
    <col min="4" max="6" width="14.28515625" style="72" bestFit="1" customWidth="1"/>
    <col min="7" max="7" width="2" style="72" customWidth="1"/>
    <col min="8" max="10" width="14.28515625" style="72" bestFit="1" customWidth="1"/>
    <col min="11" max="16384" width="9.140625" style="72"/>
  </cols>
  <sheetData>
    <row r="1" spans="1:18" ht="15.75" x14ac:dyDescent="0.25">
      <c r="A1" s="449" t="s">
        <v>224</v>
      </c>
      <c r="B1" s="449"/>
      <c r="C1" s="449"/>
      <c r="D1" s="449"/>
      <c r="E1" s="449"/>
      <c r="F1" s="449"/>
      <c r="G1" s="449"/>
      <c r="H1" s="449"/>
    </row>
    <row r="2" spans="1:18" s="275" customFormat="1" x14ac:dyDescent="0.25">
      <c r="B2" s="276">
        <v>44440</v>
      </c>
      <c r="C2" s="276">
        <v>44470</v>
      </c>
      <c r="D2" s="276">
        <v>44501</v>
      </c>
      <c r="E2" s="276">
        <v>44531</v>
      </c>
      <c r="F2" s="276">
        <v>44562</v>
      </c>
      <c r="H2" s="277" t="s">
        <v>1</v>
      </c>
    </row>
    <row r="3" spans="1:18" ht="16.5" customHeight="1" x14ac:dyDescent="0.2">
      <c r="A3" s="102" t="s">
        <v>218</v>
      </c>
      <c r="B3" s="274">
        <v>83447.7</v>
      </c>
      <c r="C3" s="274">
        <v>83447.7</v>
      </c>
      <c r="D3" s="274">
        <v>83447.7</v>
      </c>
      <c r="E3" s="274">
        <v>83447.7</v>
      </c>
      <c r="F3" s="274">
        <v>82867.95</v>
      </c>
      <c r="G3" s="102"/>
      <c r="H3" s="92">
        <f>SUM(B3:F3)</f>
        <v>416658.75</v>
      </c>
    </row>
    <row r="4" spans="1:18" ht="12.75" customHeight="1" x14ac:dyDescent="0.2">
      <c r="B4" s="268"/>
      <c r="C4" s="268"/>
      <c r="D4" s="268"/>
      <c r="E4" s="268"/>
      <c r="F4" s="268"/>
      <c r="H4" s="270"/>
    </row>
    <row r="5" spans="1:18" ht="16.5" customHeight="1" x14ac:dyDescent="0.25">
      <c r="A5" s="281" t="s">
        <v>219</v>
      </c>
      <c r="B5" s="282">
        <v>83447.7</v>
      </c>
      <c r="C5" s="282">
        <v>83447.7</v>
      </c>
      <c r="D5" s="282">
        <v>83447.7</v>
      </c>
      <c r="E5" s="282">
        <v>104485.18</v>
      </c>
      <c r="F5" s="282">
        <v>94473.33</v>
      </c>
      <c r="G5" s="281"/>
      <c r="H5" s="283">
        <f t="shared" ref="H5" si="0">SUM(B5:F5)</f>
        <v>449301.61</v>
      </c>
      <c r="I5" s="270"/>
      <c r="J5" s="270"/>
    </row>
    <row r="6" spans="1:18" x14ac:dyDescent="0.2">
      <c r="B6" s="254"/>
      <c r="C6" s="254"/>
      <c r="D6" s="254"/>
      <c r="E6" s="254"/>
      <c r="F6" s="254"/>
      <c r="H6" s="270"/>
      <c r="I6" s="270"/>
      <c r="J6" s="270"/>
    </row>
    <row r="7" spans="1:18" x14ac:dyDescent="0.2">
      <c r="A7" s="271" t="s">
        <v>217</v>
      </c>
      <c r="B7" s="272">
        <v>83447.69</v>
      </c>
      <c r="C7" s="272">
        <v>83447.69</v>
      </c>
      <c r="D7" s="272">
        <v>83447.69</v>
      </c>
      <c r="E7" s="272">
        <v>104485.17</v>
      </c>
      <c r="F7" s="272"/>
      <c r="G7" s="271"/>
      <c r="H7" s="273">
        <f>SUM(B7:F7)</f>
        <v>354828.24</v>
      </c>
    </row>
    <row r="9" spans="1:18" x14ac:dyDescent="0.2">
      <c r="Q9" s="72">
        <v>4000</v>
      </c>
    </row>
    <row r="10" spans="1:18" ht="15.75" x14ac:dyDescent="0.25">
      <c r="A10" s="449" t="s">
        <v>220</v>
      </c>
      <c r="B10" s="449"/>
      <c r="C10" s="449"/>
      <c r="D10" s="449"/>
      <c r="E10" s="449"/>
      <c r="F10" s="449"/>
      <c r="G10" s="449"/>
      <c r="H10" s="449"/>
      <c r="Q10" s="72">
        <v>2000</v>
      </c>
    </row>
    <row r="11" spans="1:18" x14ac:dyDescent="0.2">
      <c r="B11" s="284">
        <v>44440</v>
      </c>
      <c r="C11" s="284">
        <v>44470</v>
      </c>
      <c r="D11" s="284">
        <v>44501</v>
      </c>
      <c r="E11" s="276">
        <v>44531</v>
      </c>
      <c r="F11" s="276"/>
      <c r="G11" s="275"/>
      <c r="H11" s="277" t="s">
        <v>1</v>
      </c>
      <c r="Q11" s="72">
        <f>SUM(Q9:Q10)</f>
        <v>6000</v>
      </c>
    </row>
    <row r="12" spans="1:18" x14ac:dyDescent="0.2">
      <c r="A12" s="102" t="s">
        <v>221</v>
      </c>
      <c r="B12" s="102"/>
      <c r="C12" s="102"/>
      <c r="D12" s="278">
        <v>133868.96</v>
      </c>
      <c r="E12" s="280">
        <v>94269.77</v>
      </c>
      <c r="F12" s="254"/>
      <c r="H12" s="92">
        <f>SUM(B12:E12)</f>
        <v>228138.72999999998</v>
      </c>
    </row>
    <row r="13" spans="1:18" x14ac:dyDescent="0.2">
      <c r="A13" s="102" t="s">
        <v>222</v>
      </c>
      <c r="B13" s="102"/>
      <c r="C13" s="102"/>
      <c r="D13" s="278">
        <v>76827.039999999994</v>
      </c>
      <c r="E13" s="278"/>
      <c r="F13" s="254"/>
      <c r="H13" s="92">
        <f t="shared" ref="H13:H15" si="1">SUM(B13:E13)</f>
        <v>76827.039999999994</v>
      </c>
      <c r="Q13" s="72">
        <v>1390</v>
      </c>
    </row>
    <row r="14" spans="1:18" x14ac:dyDescent="0.2">
      <c r="A14" s="102" t="s">
        <v>223</v>
      </c>
      <c r="B14" s="102"/>
      <c r="C14" s="102"/>
      <c r="D14" s="278"/>
      <c r="E14" s="106">
        <v>64532.480000000003</v>
      </c>
      <c r="F14" s="254"/>
      <c r="H14" s="92">
        <f t="shared" si="1"/>
        <v>64532.480000000003</v>
      </c>
      <c r="I14" s="270"/>
      <c r="Q14" s="72">
        <f>SUM(Q11:Q13)</f>
        <v>7390</v>
      </c>
    </row>
    <row r="15" spans="1:18" x14ac:dyDescent="0.2">
      <c r="A15" s="102" t="s">
        <v>227</v>
      </c>
      <c r="B15" s="102"/>
      <c r="C15" s="102"/>
      <c r="D15" s="278"/>
      <c r="E15" s="106">
        <v>7879.99</v>
      </c>
      <c r="F15" s="254"/>
      <c r="H15" s="92">
        <f t="shared" si="1"/>
        <v>7879.99</v>
      </c>
      <c r="I15" s="270"/>
    </row>
    <row r="16" spans="1:18" ht="15.75" x14ac:dyDescent="0.25">
      <c r="H16" s="279">
        <f>SUM(H12:H15)</f>
        <v>377378.23999999993</v>
      </c>
      <c r="Q16" s="72">
        <v>2343</v>
      </c>
      <c r="R16" s="72" t="s">
        <v>271</v>
      </c>
    </row>
    <row r="18" spans="1:18" x14ac:dyDescent="0.2">
      <c r="Q18" s="72">
        <f>Q14-Q16</f>
        <v>5047</v>
      </c>
    </row>
    <row r="19" spans="1:18" ht="15.75" x14ac:dyDescent="0.25">
      <c r="A19" s="494" t="s">
        <v>228</v>
      </c>
      <c r="B19" s="494"/>
      <c r="C19" s="494"/>
      <c r="D19" s="494"/>
      <c r="E19" s="495"/>
      <c r="F19" s="494"/>
      <c r="G19" s="494"/>
      <c r="H19" s="494"/>
    </row>
    <row r="20" spans="1:18" x14ac:dyDescent="0.2">
      <c r="B20" s="269"/>
      <c r="C20" s="269"/>
      <c r="D20" s="269"/>
      <c r="E20" s="286"/>
      <c r="F20" s="276">
        <v>44562</v>
      </c>
      <c r="G20" s="275"/>
      <c r="H20" s="277" t="s">
        <v>1</v>
      </c>
      <c r="R20" s="72" t="s">
        <v>272</v>
      </c>
    </row>
    <row r="21" spans="1:18" x14ac:dyDescent="0.2">
      <c r="A21" s="102" t="s">
        <v>225</v>
      </c>
      <c r="B21" s="437"/>
      <c r="C21" s="497"/>
      <c r="D21" s="497"/>
      <c r="E21" s="498"/>
      <c r="F21" s="278">
        <v>94439.53</v>
      </c>
      <c r="H21" s="92">
        <f t="shared" ref="H21" si="2">SUM(E21:F21)</f>
        <v>94439.53</v>
      </c>
      <c r="I21" s="270"/>
    </row>
    <row r="22" spans="1:18" ht="15.75" x14ac:dyDescent="0.25">
      <c r="H22" s="279">
        <f>SUM(H21:H21)</f>
        <v>94439.53</v>
      </c>
    </row>
    <row r="25" spans="1:18" ht="15.75" x14ac:dyDescent="0.25">
      <c r="A25" s="496" t="s">
        <v>226</v>
      </c>
      <c r="B25" s="496"/>
      <c r="C25" s="496"/>
      <c r="D25" s="496"/>
      <c r="E25" s="496"/>
      <c r="F25" s="496"/>
      <c r="G25" s="496"/>
      <c r="H25" s="496"/>
    </row>
    <row r="26" spans="1:18" x14ac:dyDescent="0.2">
      <c r="B26" s="284">
        <v>44440</v>
      </c>
      <c r="C26" s="284">
        <v>44470</v>
      </c>
      <c r="D26" s="284">
        <v>44501</v>
      </c>
      <c r="E26" s="284">
        <v>44531</v>
      </c>
      <c r="F26" s="276">
        <v>44562</v>
      </c>
      <c r="G26" s="275"/>
      <c r="H26" s="277" t="s">
        <v>1</v>
      </c>
      <c r="J26" s="270">
        <f>SUM(J27:J28)</f>
        <v>278001.2</v>
      </c>
    </row>
    <row r="27" spans="1:18" x14ac:dyDescent="0.2">
      <c r="A27" s="102" t="s">
        <v>221</v>
      </c>
      <c r="B27" s="102"/>
      <c r="C27" s="102"/>
      <c r="D27" s="278">
        <v>111318.96</v>
      </c>
      <c r="E27" s="278">
        <f>E12</f>
        <v>94269.77</v>
      </c>
      <c r="F27" s="254"/>
      <c r="H27" s="92">
        <f>SUM(B27:E27)</f>
        <v>205588.73</v>
      </c>
      <c r="I27" s="270"/>
      <c r="J27" s="270">
        <f>H27:H28</f>
        <v>205588.73</v>
      </c>
      <c r="K27" s="347">
        <f>J27/H7</f>
        <v>0.57940351647320976</v>
      </c>
    </row>
    <row r="28" spans="1:18" x14ac:dyDescent="0.2">
      <c r="A28" s="102" t="s">
        <v>222</v>
      </c>
      <c r="B28" s="102"/>
      <c r="C28" s="102"/>
      <c r="D28" s="278">
        <f>D13</f>
        <v>76827.039999999994</v>
      </c>
      <c r="E28" s="278"/>
      <c r="F28" s="254"/>
      <c r="H28" s="92">
        <f>SUM(B28:E28)</f>
        <v>76827.039999999994</v>
      </c>
      <c r="J28" s="254">
        <f>E30+E31</f>
        <v>72412.47</v>
      </c>
      <c r="K28" s="347">
        <f>J28/H7</f>
        <v>0.20407752776385557</v>
      </c>
    </row>
    <row r="29" spans="1:18" x14ac:dyDescent="0.2">
      <c r="A29" s="102" t="s">
        <v>225</v>
      </c>
      <c r="B29" s="102"/>
      <c r="C29" s="102"/>
      <c r="D29" s="278"/>
      <c r="E29" s="278"/>
      <c r="F29" s="278">
        <v>94439.53</v>
      </c>
      <c r="H29" s="92">
        <f>SUM(B29:F29)</f>
        <v>94439.53</v>
      </c>
    </row>
    <row r="30" spans="1:18" x14ac:dyDescent="0.2">
      <c r="A30" s="102" t="s">
        <v>223</v>
      </c>
      <c r="B30" s="102"/>
      <c r="C30" s="102"/>
      <c r="D30" s="278"/>
      <c r="E30" s="106">
        <f>E14</f>
        <v>64532.480000000003</v>
      </c>
      <c r="F30" s="254"/>
      <c r="H30" s="92">
        <f>SUM(B30:E30)</f>
        <v>64532.480000000003</v>
      </c>
    </row>
    <row r="31" spans="1:18" x14ac:dyDescent="0.2">
      <c r="A31" s="102" t="s">
        <v>227</v>
      </c>
      <c r="B31" s="102"/>
      <c r="C31" s="102"/>
      <c r="D31" s="278"/>
      <c r="E31" s="106">
        <f>E15</f>
        <v>7879.99</v>
      </c>
      <c r="H31" s="92">
        <f>SUM(B31:E31)</f>
        <v>7879.99</v>
      </c>
      <c r="I31" s="270"/>
    </row>
    <row r="32" spans="1:18" ht="15.75" x14ac:dyDescent="0.25">
      <c r="H32" s="279">
        <f>SUM(H27:H31)</f>
        <v>449267.77</v>
      </c>
      <c r="I32" s="270">
        <f>H7</f>
        <v>354828.24</v>
      </c>
      <c r="J32" s="270">
        <f>H32-I32</f>
        <v>94439.530000000028</v>
      </c>
    </row>
    <row r="33" spans="4:10" x14ac:dyDescent="0.2">
      <c r="I33" s="270">
        <f>H5</f>
        <v>449301.61</v>
      </c>
      <c r="J33" s="270">
        <f>H32-I33</f>
        <v>-33.839999999967404</v>
      </c>
    </row>
    <row r="35" spans="4:10" x14ac:dyDescent="0.2">
      <c r="D35" s="270"/>
      <c r="E35" s="107">
        <f>E30+E31</f>
        <v>72412.47</v>
      </c>
      <c r="H35" s="270">
        <f>H32-F29</f>
        <v>354828.24</v>
      </c>
    </row>
    <row r="36" spans="4:10" x14ac:dyDescent="0.2">
      <c r="E36" s="270">
        <f>H32-E35</f>
        <v>376855.30000000005</v>
      </c>
    </row>
    <row r="37" spans="4:10" x14ac:dyDescent="0.2">
      <c r="E37" s="72" t="s">
        <v>257</v>
      </c>
      <c r="F37" s="270"/>
      <c r="H37" s="270"/>
    </row>
  </sheetData>
  <mergeCells count="5">
    <mergeCell ref="A10:H10"/>
    <mergeCell ref="A1:H1"/>
    <mergeCell ref="A19:H19"/>
    <mergeCell ref="A25:H25"/>
    <mergeCell ref="B21:E21"/>
  </mergeCells>
  <pageMargins left="0.511811024" right="0.511811024" top="0.78740157499999996" bottom="0.78740157499999996" header="0.31496062000000002" footer="0.31496062000000002"/>
  <pageSetup paperSize="9" scale="98" orientation="landscape" r:id="rId1"/>
  <ignoredErrors>
    <ignoredError sqref="H29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15DF-7A5F-4FD3-BB78-680ABB4CECF1}">
  <dimension ref="A1:L115"/>
  <sheetViews>
    <sheetView topLeftCell="A19" zoomScale="90" zoomScaleNormal="90" workbookViewId="0">
      <selection activeCell="F41" sqref="F40:F44"/>
    </sheetView>
  </sheetViews>
  <sheetFormatPr defaultRowHeight="15.75" x14ac:dyDescent="0.25"/>
  <cols>
    <col min="1" max="1" width="70.42578125" style="133" customWidth="1"/>
    <col min="2" max="2" width="26.85546875" style="133" customWidth="1"/>
    <col min="3" max="3" width="25.7109375" style="133" customWidth="1"/>
    <col min="4" max="4" width="23.28515625" style="133" bestFit="1" customWidth="1"/>
    <col min="5" max="5" width="22.7109375" style="133" bestFit="1" customWidth="1"/>
    <col min="6" max="6" width="24.42578125" style="133" bestFit="1" customWidth="1"/>
    <col min="7" max="7" width="12.7109375" style="133" bestFit="1" customWidth="1"/>
    <col min="8" max="8" width="14.5703125" style="133" bestFit="1" customWidth="1"/>
    <col min="9" max="10" width="12.85546875" style="133" bestFit="1" customWidth="1"/>
    <col min="11" max="11" width="14.28515625" style="133" bestFit="1" customWidth="1"/>
    <col min="12" max="246" width="9.140625" style="133"/>
    <col min="247" max="247" width="33" style="133" customWidth="1"/>
    <col min="248" max="248" width="17.42578125" style="133" customWidth="1"/>
    <col min="249" max="249" width="17.140625" style="133" customWidth="1"/>
    <col min="250" max="250" width="16" style="133" customWidth="1"/>
    <col min="251" max="251" width="16.5703125" style="133" customWidth="1"/>
    <col min="252" max="252" width="16.28515625" style="133" customWidth="1"/>
    <col min="253" max="253" width="18.28515625" style="133" customWidth="1"/>
    <col min="254" max="254" width="17.42578125" style="133" customWidth="1"/>
    <col min="255" max="255" width="15.85546875" style="133" customWidth="1"/>
    <col min="256" max="256" width="17" style="133" customWidth="1"/>
    <col min="257" max="257" width="19.7109375" style="133" customWidth="1"/>
    <col min="258" max="258" width="17.28515625" style="133" customWidth="1"/>
    <col min="259" max="259" width="18.140625" style="133" customWidth="1"/>
    <col min="260" max="260" width="21.7109375" style="133" customWidth="1"/>
    <col min="261" max="261" width="0.42578125" style="133" customWidth="1"/>
    <col min="262" max="262" width="16.140625" style="133" bestFit="1" customWidth="1"/>
    <col min="263" max="263" width="11.5703125" style="133" bestFit="1" customWidth="1"/>
    <col min="264" max="502" width="9.140625" style="133"/>
    <col min="503" max="503" width="33" style="133" customWidth="1"/>
    <col min="504" max="504" width="17.42578125" style="133" customWidth="1"/>
    <col min="505" max="505" width="17.140625" style="133" customWidth="1"/>
    <col min="506" max="506" width="16" style="133" customWidth="1"/>
    <col min="507" max="507" width="16.5703125" style="133" customWidth="1"/>
    <col min="508" max="508" width="16.28515625" style="133" customWidth="1"/>
    <col min="509" max="509" width="18.28515625" style="133" customWidth="1"/>
    <col min="510" max="510" width="17.42578125" style="133" customWidth="1"/>
    <col min="511" max="511" width="15.85546875" style="133" customWidth="1"/>
    <col min="512" max="512" width="17" style="133" customWidth="1"/>
    <col min="513" max="513" width="19.7109375" style="133" customWidth="1"/>
    <col min="514" max="514" width="17.28515625" style="133" customWidth="1"/>
    <col min="515" max="515" width="18.140625" style="133" customWidth="1"/>
    <col min="516" max="516" width="21.7109375" style="133" customWidth="1"/>
    <col min="517" max="517" width="0.42578125" style="133" customWidth="1"/>
    <col min="518" max="518" width="16.140625" style="133" bestFit="1" customWidth="1"/>
    <col min="519" max="519" width="11.5703125" style="133" bestFit="1" customWidth="1"/>
    <col min="520" max="758" width="9.140625" style="133"/>
    <col min="759" max="759" width="33" style="133" customWidth="1"/>
    <col min="760" max="760" width="17.42578125" style="133" customWidth="1"/>
    <col min="761" max="761" width="17.140625" style="133" customWidth="1"/>
    <col min="762" max="762" width="16" style="133" customWidth="1"/>
    <col min="763" max="763" width="16.5703125" style="133" customWidth="1"/>
    <col min="764" max="764" width="16.28515625" style="133" customWidth="1"/>
    <col min="765" max="765" width="18.28515625" style="133" customWidth="1"/>
    <col min="766" max="766" width="17.42578125" style="133" customWidth="1"/>
    <col min="767" max="767" width="15.85546875" style="133" customWidth="1"/>
    <col min="768" max="768" width="17" style="133" customWidth="1"/>
    <col min="769" max="769" width="19.7109375" style="133" customWidth="1"/>
    <col min="770" max="770" width="17.28515625" style="133" customWidth="1"/>
    <col min="771" max="771" width="18.140625" style="133" customWidth="1"/>
    <col min="772" max="772" width="21.7109375" style="133" customWidth="1"/>
    <col min="773" max="773" width="0.42578125" style="133" customWidth="1"/>
    <col min="774" max="774" width="16.140625" style="133" bestFit="1" customWidth="1"/>
    <col min="775" max="775" width="11.5703125" style="133" bestFit="1" customWidth="1"/>
    <col min="776" max="1014" width="9.140625" style="133"/>
    <col min="1015" max="1015" width="33" style="133" customWidth="1"/>
    <col min="1016" max="1016" width="17.42578125" style="133" customWidth="1"/>
    <col min="1017" max="1017" width="17.140625" style="133" customWidth="1"/>
    <col min="1018" max="1018" width="16" style="133" customWidth="1"/>
    <col min="1019" max="1019" width="16.5703125" style="133" customWidth="1"/>
    <col min="1020" max="1020" width="16.28515625" style="133" customWidth="1"/>
    <col min="1021" max="1021" width="18.28515625" style="133" customWidth="1"/>
    <col min="1022" max="1022" width="17.42578125" style="133" customWidth="1"/>
    <col min="1023" max="1023" width="15.85546875" style="133" customWidth="1"/>
    <col min="1024" max="1024" width="17" style="133" customWidth="1"/>
    <col min="1025" max="1025" width="19.7109375" style="133" customWidth="1"/>
    <col min="1026" max="1026" width="17.28515625" style="133" customWidth="1"/>
    <col min="1027" max="1027" width="18.140625" style="133" customWidth="1"/>
    <col min="1028" max="1028" width="21.7109375" style="133" customWidth="1"/>
    <col min="1029" max="1029" width="0.42578125" style="133" customWidth="1"/>
    <col min="1030" max="1030" width="16.140625" style="133" bestFit="1" customWidth="1"/>
    <col min="1031" max="1031" width="11.5703125" style="133" bestFit="1" customWidth="1"/>
    <col min="1032" max="1270" width="9.140625" style="133"/>
    <col min="1271" max="1271" width="33" style="133" customWidth="1"/>
    <col min="1272" max="1272" width="17.42578125" style="133" customWidth="1"/>
    <col min="1273" max="1273" width="17.140625" style="133" customWidth="1"/>
    <col min="1274" max="1274" width="16" style="133" customWidth="1"/>
    <col min="1275" max="1275" width="16.5703125" style="133" customWidth="1"/>
    <col min="1276" max="1276" width="16.28515625" style="133" customWidth="1"/>
    <col min="1277" max="1277" width="18.28515625" style="133" customWidth="1"/>
    <col min="1278" max="1278" width="17.42578125" style="133" customWidth="1"/>
    <col min="1279" max="1279" width="15.85546875" style="133" customWidth="1"/>
    <col min="1280" max="1280" width="17" style="133" customWidth="1"/>
    <col min="1281" max="1281" width="19.7109375" style="133" customWidth="1"/>
    <col min="1282" max="1282" width="17.28515625" style="133" customWidth="1"/>
    <col min="1283" max="1283" width="18.140625" style="133" customWidth="1"/>
    <col min="1284" max="1284" width="21.7109375" style="133" customWidth="1"/>
    <col min="1285" max="1285" width="0.42578125" style="133" customWidth="1"/>
    <col min="1286" max="1286" width="16.140625" style="133" bestFit="1" customWidth="1"/>
    <col min="1287" max="1287" width="11.5703125" style="133" bestFit="1" customWidth="1"/>
    <col min="1288" max="1526" width="9.140625" style="133"/>
    <col min="1527" max="1527" width="33" style="133" customWidth="1"/>
    <col min="1528" max="1528" width="17.42578125" style="133" customWidth="1"/>
    <col min="1529" max="1529" width="17.140625" style="133" customWidth="1"/>
    <col min="1530" max="1530" width="16" style="133" customWidth="1"/>
    <col min="1531" max="1531" width="16.5703125" style="133" customWidth="1"/>
    <col min="1532" max="1532" width="16.28515625" style="133" customWidth="1"/>
    <col min="1533" max="1533" width="18.28515625" style="133" customWidth="1"/>
    <col min="1534" max="1534" width="17.42578125" style="133" customWidth="1"/>
    <col min="1535" max="1535" width="15.85546875" style="133" customWidth="1"/>
    <col min="1536" max="1536" width="17" style="133" customWidth="1"/>
    <col min="1537" max="1537" width="19.7109375" style="133" customWidth="1"/>
    <col min="1538" max="1538" width="17.28515625" style="133" customWidth="1"/>
    <col min="1539" max="1539" width="18.140625" style="133" customWidth="1"/>
    <col min="1540" max="1540" width="21.7109375" style="133" customWidth="1"/>
    <col min="1541" max="1541" width="0.42578125" style="133" customWidth="1"/>
    <col min="1542" max="1542" width="16.140625" style="133" bestFit="1" customWidth="1"/>
    <col min="1543" max="1543" width="11.5703125" style="133" bestFit="1" customWidth="1"/>
    <col min="1544" max="1782" width="9.140625" style="133"/>
    <col min="1783" max="1783" width="33" style="133" customWidth="1"/>
    <col min="1784" max="1784" width="17.42578125" style="133" customWidth="1"/>
    <col min="1785" max="1785" width="17.140625" style="133" customWidth="1"/>
    <col min="1786" max="1786" width="16" style="133" customWidth="1"/>
    <col min="1787" max="1787" width="16.5703125" style="133" customWidth="1"/>
    <col min="1788" max="1788" width="16.28515625" style="133" customWidth="1"/>
    <col min="1789" max="1789" width="18.28515625" style="133" customWidth="1"/>
    <col min="1790" max="1790" width="17.42578125" style="133" customWidth="1"/>
    <col min="1791" max="1791" width="15.85546875" style="133" customWidth="1"/>
    <col min="1792" max="1792" width="17" style="133" customWidth="1"/>
    <col min="1793" max="1793" width="19.7109375" style="133" customWidth="1"/>
    <col min="1794" max="1794" width="17.28515625" style="133" customWidth="1"/>
    <col min="1795" max="1795" width="18.140625" style="133" customWidth="1"/>
    <col min="1796" max="1796" width="21.7109375" style="133" customWidth="1"/>
    <col min="1797" max="1797" width="0.42578125" style="133" customWidth="1"/>
    <col min="1798" max="1798" width="16.140625" style="133" bestFit="1" customWidth="1"/>
    <col min="1799" max="1799" width="11.5703125" style="133" bestFit="1" customWidth="1"/>
    <col min="1800" max="2038" width="9.140625" style="133"/>
    <col min="2039" max="2039" width="33" style="133" customWidth="1"/>
    <col min="2040" max="2040" width="17.42578125" style="133" customWidth="1"/>
    <col min="2041" max="2041" width="17.140625" style="133" customWidth="1"/>
    <col min="2042" max="2042" width="16" style="133" customWidth="1"/>
    <col min="2043" max="2043" width="16.5703125" style="133" customWidth="1"/>
    <col min="2044" max="2044" width="16.28515625" style="133" customWidth="1"/>
    <col min="2045" max="2045" width="18.28515625" style="133" customWidth="1"/>
    <col min="2046" max="2046" width="17.42578125" style="133" customWidth="1"/>
    <col min="2047" max="2047" width="15.85546875" style="133" customWidth="1"/>
    <col min="2048" max="2048" width="17" style="133" customWidth="1"/>
    <col min="2049" max="2049" width="19.7109375" style="133" customWidth="1"/>
    <col min="2050" max="2050" width="17.28515625" style="133" customWidth="1"/>
    <col min="2051" max="2051" width="18.140625" style="133" customWidth="1"/>
    <col min="2052" max="2052" width="21.7109375" style="133" customWidth="1"/>
    <col min="2053" max="2053" width="0.42578125" style="133" customWidth="1"/>
    <col min="2054" max="2054" width="16.140625" style="133" bestFit="1" customWidth="1"/>
    <col min="2055" max="2055" width="11.5703125" style="133" bestFit="1" customWidth="1"/>
    <col min="2056" max="2294" width="9.140625" style="133"/>
    <col min="2295" max="2295" width="33" style="133" customWidth="1"/>
    <col min="2296" max="2296" width="17.42578125" style="133" customWidth="1"/>
    <col min="2297" max="2297" width="17.140625" style="133" customWidth="1"/>
    <col min="2298" max="2298" width="16" style="133" customWidth="1"/>
    <col min="2299" max="2299" width="16.5703125" style="133" customWidth="1"/>
    <col min="2300" max="2300" width="16.28515625" style="133" customWidth="1"/>
    <col min="2301" max="2301" width="18.28515625" style="133" customWidth="1"/>
    <col min="2302" max="2302" width="17.42578125" style="133" customWidth="1"/>
    <col min="2303" max="2303" width="15.85546875" style="133" customWidth="1"/>
    <col min="2304" max="2304" width="17" style="133" customWidth="1"/>
    <col min="2305" max="2305" width="19.7109375" style="133" customWidth="1"/>
    <col min="2306" max="2306" width="17.28515625" style="133" customWidth="1"/>
    <col min="2307" max="2307" width="18.140625" style="133" customWidth="1"/>
    <col min="2308" max="2308" width="21.7109375" style="133" customWidth="1"/>
    <col min="2309" max="2309" width="0.42578125" style="133" customWidth="1"/>
    <col min="2310" max="2310" width="16.140625" style="133" bestFit="1" customWidth="1"/>
    <col min="2311" max="2311" width="11.5703125" style="133" bestFit="1" customWidth="1"/>
    <col min="2312" max="2550" width="9.140625" style="133"/>
    <col min="2551" max="2551" width="33" style="133" customWidth="1"/>
    <col min="2552" max="2552" width="17.42578125" style="133" customWidth="1"/>
    <col min="2553" max="2553" width="17.140625" style="133" customWidth="1"/>
    <col min="2554" max="2554" width="16" style="133" customWidth="1"/>
    <col min="2555" max="2555" width="16.5703125" style="133" customWidth="1"/>
    <col min="2556" max="2556" width="16.28515625" style="133" customWidth="1"/>
    <col min="2557" max="2557" width="18.28515625" style="133" customWidth="1"/>
    <col min="2558" max="2558" width="17.42578125" style="133" customWidth="1"/>
    <col min="2559" max="2559" width="15.85546875" style="133" customWidth="1"/>
    <col min="2560" max="2560" width="17" style="133" customWidth="1"/>
    <col min="2561" max="2561" width="19.7109375" style="133" customWidth="1"/>
    <col min="2562" max="2562" width="17.28515625" style="133" customWidth="1"/>
    <col min="2563" max="2563" width="18.140625" style="133" customWidth="1"/>
    <col min="2564" max="2564" width="21.7109375" style="133" customWidth="1"/>
    <col min="2565" max="2565" width="0.42578125" style="133" customWidth="1"/>
    <col min="2566" max="2566" width="16.140625" style="133" bestFit="1" customWidth="1"/>
    <col min="2567" max="2567" width="11.5703125" style="133" bestFit="1" customWidth="1"/>
    <col min="2568" max="2806" width="9.140625" style="133"/>
    <col min="2807" max="2807" width="33" style="133" customWidth="1"/>
    <col min="2808" max="2808" width="17.42578125" style="133" customWidth="1"/>
    <col min="2809" max="2809" width="17.140625" style="133" customWidth="1"/>
    <col min="2810" max="2810" width="16" style="133" customWidth="1"/>
    <col min="2811" max="2811" width="16.5703125" style="133" customWidth="1"/>
    <col min="2812" max="2812" width="16.28515625" style="133" customWidth="1"/>
    <col min="2813" max="2813" width="18.28515625" style="133" customWidth="1"/>
    <col min="2814" max="2814" width="17.42578125" style="133" customWidth="1"/>
    <col min="2815" max="2815" width="15.85546875" style="133" customWidth="1"/>
    <col min="2816" max="2816" width="17" style="133" customWidth="1"/>
    <col min="2817" max="2817" width="19.7109375" style="133" customWidth="1"/>
    <col min="2818" max="2818" width="17.28515625" style="133" customWidth="1"/>
    <col min="2819" max="2819" width="18.140625" style="133" customWidth="1"/>
    <col min="2820" max="2820" width="21.7109375" style="133" customWidth="1"/>
    <col min="2821" max="2821" width="0.42578125" style="133" customWidth="1"/>
    <col min="2822" max="2822" width="16.140625" style="133" bestFit="1" customWidth="1"/>
    <col min="2823" max="2823" width="11.5703125" style="133" bestFit="1" customWidth="1"/>
    <col min="2824" max="3062" width="9.140625" style="133"/>
    <col min="3063" max="3063" width="33" style="133" customWidth="1"/>
    <col min="3064" max="3064" width="17.42578125" style="133" customWidth="1"/>
    <col min="3065" max="3065" width="17.140625" style="133" customWidth="1"/>
    <col min="3066" max="3066" width="16" style="133" customWidth="1"/>
    <col min="3067" max="3067" width="16.5703125" style="133" customWidth="1"/>
    <col min="3068" max="3068" width="16.28515625" style="133" customWidth="1"/>
    <col min="3069" max="3069" width="18.28515625" style="133" customWidth="1"/>
    <col min="3070" max="3070" width="17.42578125" style="133" customWidth="1"/>
    <col min="3071" max="3071" width="15.85546875" style="133" customWidth="1"/>
    <col min="3072" max="3072" width="17" style="133" customWidth="1"/>
    <col min="3073" max="3073" width="19.7109375" style="133" customWidth="1"/>
    <col min="3074" max="3074" width="17.28515625" style="133" customWidth="1"/>
    <col min="3075" max="3075" width="18.140625" style="133" customWidth="1"/>
    <col min="3076" max="3076" width="21.7109375" style="133" customWidth="1"/>
    <col min="3077" max="3077" width="0.42578125" style="133" customWidth="1"/>
    <col min="3078" max="3078" width="16.140625" style="133" bestFit="1" customWidth="1"/>
    <col min="3079" max="3079" width="11.5703125" style="133" bestFit="1" customWidth="1"/>
    <col min="3080" max="3318" width="9.140625" style="133"/>
    <col min="3319" max="3319" width="33" style="133" customWidth="1"/>
    <col min="3320" max="3320" width="17.42578125" style="133" customWidth="1"/>
    <col min="3321" max="3321" width="17.140625" style="133" customWidth="1"/>
    <col min="3322" max="3322" width="16" style="133" customWidth="1"/>
    <col min="3323" max="3323" width="16.5703125" style="133" customWidth="1"/>
    <col min="3324" max="3324" width="16.28515625" style="133" customWidth="1"/>
    <col min="3325" max="3325" width="18.28515625" style="133" customWidth="1"/>
    <col min="3326" max="3326" width="17.42578125" style="133" customWidth="1"/>
    <col min="3327" max="3327" width="15.85546875" style="133" customWidth="1"/>
    <col min="3328" max="3328" width="17" style="133" customWidth="1"/>
    <col min="3329" max="3329" width="19.7109375" style="133" customWidth="1"/>
    <col min="3330" max="3330" width="17.28515625" style="133" customWidth="1"/>
    <col min="3331" max="3331" width="18.140625" style="133" customWidth="1"/>
    <col min="3332" max="3332" width="21.7109375" style="133" customWidth="1"/>
    <col min="3333" max="3333" width="0.42578125" style="133" customWidth="1"/>
    <col min="3334" max="3334" width="16.140625" style="133" bestFit="1" customWidth="1"/>
    <col min="3335" max="3335" width="11.5703125" style="133" bestFit="1" customWidth="1"/>
    <col min="3336" max="3574" width="9.140625" style="133"/>
    <col min="3575" max="3575" width="33" style="133" customWidth="1"/>
    <col min="3576" max="3576" width="17.42578125" style="133" customWidth="1"/>
    <col min="3577" max="3577" width="17.140625" style="133" customWidth="1"/>
    <col min="3578" max="3578" width="16" style="133" customWidth="1"/>
    <col min="3579" max="3579" width="16.5703125" style="133" customWidth="1"/>
    <col min="3580" max="3580" width="16.28515625" style="133" customWidth="1"/>
    <col min="3581" max="3581" width="18.28515625" style="133" customWidth="1"/>
    <col min="3582" max="3582" width="17.42578125" style="133" customWidth="1"/>
    <col min="3583" max="3583" width="15.85546875" style="133" customWidth="1"/>
    <col min="3584" max="3584" width="17" style="133" customWidth="1"/>
    <col min="3585" max="3585" width="19.7109375" style="133" customWidth="1"/>
    <col min="3586" max="3586" width="17.28515625" style="133" customWidth="1"/>
    <col min="3587" max="3587" width="18.140625" style="133" customWidth="1"/>
    <col min="3588" max="3588" width="21.7109375" style="133" customWidth="1"/>
    <col min="3589" max="3589" width="0.42578125" style="133" customWidth="1"/>
    <col min="3590" max="3590" width="16.140625" style="133" bestFit="1" customWidth="1"/>
    <col min="3591" max="3591" width="11.5703125" style="133" bestFit="1" customWidth="1"/>
    <col min="3592" max="3830" width="9.140625" style="133"/>
    <col min="3831" max="3831" width="33" style="133" customWidth="1"/>
    <col min="3832" max="3832" width="17.42578125" style="133" customWidth="1"/>
    <col min="3833" max="3833" width="17.140625" style="133" customWidth="1"/>
    <col min="3834" max="3834" width="16" style="133" customWidth="1"/>
    <col min="3835" max="3835" width="16.5703125" style="133" customWidth="1"/>
    <col min="3836" max="3836" width="16.28515625" style="133" customWidth="1"/>
    <col min="3837" max="3837" width="18.28515625" style="133" customWidth="1"/>
    <col min="3838" max="3838" width="17.42578125" style="133" customWidth="1"/>
    <col min="3839" max="3839" width="15.85546875" style="133" customWidth="1"/>
    <col min="3840" max="3840" width="17" style="133" customWidth="1"/>
    <col min="3841" max="3841" width="19.7109375" style="133" customWidth="1"/>
    <col min="3842" max="3842" width="17.28515625" style="133" customWidth="1"/>
    <col min="3843" max="3843" width="18.140625" style="133" customWidth="1"/>
    <col min="3844" max="3844" width="21.7109375" style="133" customWidth="1"/>
    <col min="3845" max="3845" width="0.42578125" style="133" customWidth="1"/>
    <col min="3846" max="3846" width="16.140625" style="133" bestFit="1" customWidth="1"/>
    <col min="3847" max="3847" width="11.5703125" style="133" bestFit="1" customWidth="1"/>
    <col min="3848" max="4086" width="9.140625" style="133"/>
    <col min="4087" max="4087" width="33" style="133" customWidth="1"/>
    <col min="4088" max="4088" width="17.42578125" style="133" customWidth="1"/>
    <col min="4089" max="4089" width="17.140625" style="133" customWidth="1"/>
    <col min="4090" max="4090" width="16" style="133" customWidth="1"/>
    <col min="4091" max="4091" width="16.5703125" style="133" customWidth="1"/>
    <col min="4092" max="4092" width="16.28515625" style="133" customWidth="1"/>
    <col min="4093" max="4093" width="18.28515625" style="133" customWidth="1"/>
    <col min="4094" max="4094" width="17.42578125" style="133" customWidth="1"/>
    <col min="4095" max="4095" width="15.85546875" style="133" customWidth="1"/>
    <col min="4096" max="4096" width="17" style="133" customWidth="1"/>
    <col min="4097" max="4097" width="19.7109375" style="133" customWidth="1"/>
    <col min="4098" max="4098" width="17.28515625" style="133" customWidth="1"/>
    <col min="4099" max="4099" width="18.140625" style="133" customWidth="1"/>
    <col min="4100" max="4100" width="21.7109375" style="133" customWidth="1"/>
    <col min="4101" max="4101" width="0.42578125" style="133" customWidth="1"/>
    <col min="4102" max="4102" width="16.140625" style="133" bestFit="1" customWidth="1"/>
    <col min="4103" max="4103" width="11.5703125" style="133" bestFit="1" customWidth="1"/>
    <col min="4104" max="4342" width="9.140625" style="133"/>
    <col min="4343" max="4343" width="33" style="133" customWidth="1"/>
    <col min="4344" max="4344" width="17.42578125" style="133" customWidth="1"/>
    <col min="4345" max="4345" width="17.140625" style="133" customWidth="1"/>
    <col min="4346" max="4346" width="16" style="133" customWidth="1"/>
    <col min="4347" max="4347" width="16.5703125" style="133" customWidth="1"/>
    <col min="4348" max="4348" width="16.28515625" style="133" customWidth="1"/>
    <col min="4349" max="4349" width="18.28515625" style="133" customWidth="1"/>
    <col min="4350" max="4350" width="17.42578125" style="133" customWidth="1"/>
    <col min="4351" max="4351" width="15.85546875" style="133" customWidth="1"/>
    <col min="4352" max="4352" width="17" style="133" customWidth="1"/>
    <col min="4353" max="4353" width="19.7109375" style="133" customWidth="1"/>
    <col min="4354" max="4354" width="17.28515625" style="133" customWidth="1"/>
    <col min="4355" max="4355" width="18.140625" style="133" customWidth="1"/>
    <col min="4356" max="4356" width="21.7109375" style="133" customWidth="1"/>
    <col min="4357" max="4357" width="0.42578125" style="133" customWidth="1"/>
    <col min="4358" max="4358" width="16.140625" style="133" bestFit="1" customWidth="1"/>
    <col min="4359" max="4359" width="11.5703125" style="133" bestFit="1" customWidth="1"/>
    <col min="4360" max="4598" width="9.140625" style="133"/>
    <col min="4599" max="4599" width="33" style="133" customWidth="1"/>
    <col min="4600" max="4600" width="17.42578125" style="133" customWidth="1"/>
    <col min="4601" max="4601" width="17.140625" style="133" customWidth="1"/>
    <col min="4602" max="4602" width="16" style="133" customWidth="1"/>
    <col min="4603" max="4603" width="16.5703125" style="133" customWidth="1"/>
    <col min="4604" max="4604" width="16.28515625" style="133" customWidth="1"/>
    <col min="4605" max="4605" width="18.28515625" style="133" customWidth="1"/>
    <col min="4606" max="4606" width="17.42578125" style="133" customWidth="1"/>
    <col min="4607" max="4607" width="15.85546875" style="133" customWidth="1"/>
    <col min="4608" max="4608" width="17" style="133" customWidth="1"/>
    <col min="4609" max="4609" width="19.7109375" style="133" customWidth="1"/>
    <col min="4610" max="4610" width="17.28515625" style="133" customWidth="1"/>
    <col min="4611" max="4611" width="18.140625" style="133" customWidth="1"/>
    <col min="4612" max="4612" width="21.7109375" style="133" customWidth="1"/>
    <col min="4613" max="4613" width="0.42578125" style="133" customWidth="1"/>
    <col min="4614" max="4614" width="16.140625" style="133" bestFit="1" customWidth="1"/>
    <col min="4615" max="4615" width="11.5703125" style="133" bestFit="1" customWidth="1"/>
    <col min="4616" max="4854" width="9.140625" style="133"/>
    <col min="4855" max="4855" width="33" style="133" customWidth="1"/>
    <col min="4856" max="4856" width="17.42578125" style="133" customWidth="1"/>
    <col min="4857" max="4857" width="17.140625" style="133" customWidth="1"/>
    <col min="4858" max="4858" width="16" style="133" customWidth="1"/>
    <col min="4859" max="4859" width="16.5703125" style="133" customWidth="1"/>
    <col min="4860" max="4860" width="16.28515625" style="133" customWidth="1"/>
    <col min="4861" max="4861" width="18.28515625" style="133" customWidth="1"/>
    <col min="4862" max="4862" width="17.42578125" style="133" customWidth="1"/>
    <col min="4863" max="4863" width="15.85546875" style="133" customWidth="1"/>
    <col min="4864" max="4864" width="17" style="133" customWidth="1"/>
    <col min="4865" max="4865" width="19.7109375" style="133" customWidth="1"/>
    <col min="4866" max="4866" width="17.28515625" style="133" customWidth="1"/>
    <col min="4867" max="4867" width="18.140625" style="133" customWidth="1"/>
    <col min="4868" max="4868" width="21.7109375" style="133" customWidth="1"/>
    <col min="4869" max="4869" width="0.42578125" style="133" customWidth="1"/>
    <col min="4870" max="4870" width="16.140625" style="133" bestFit="1" customWidth="1"/>
    <col min="4871" max="4871" width="11.5703125" style="133" bestFit="1" customWidth="1"/>
    <col min="4872" max="5110" width="9.140625" style="133"/>
    <col min="5111" max="5111" width="33" style="133" customWidth="1"/>
    <col min="5112" max="5112" width="17.42578125" style="133" customWidth="1"/>
    <col min="5113" max="5113" width="17.140625" style="133" customWidth="1"/>
    <col min="5114" max="5114" width="16" style="133" customWidth="1"/>
    <col min="5115" max="5115" width="16.5703125" style="133" customWidth="1"/>
    <col min="5116" max="5116" width="16.28515625" style="133" customWidth="1"/>
    <col min="5117" max="5117" width="18.28515625" style="133" customWidth="1"/>
    <col min="5118" max="5118" width="17.42578125" style="133" customWidth="1"/>
    <col min="5119" max="5119" width="15.85546875" style="133" customWidth="1"/>
    <col min="5120" max="5120" width="17" style="133" customWidth="1"/>
    <col min="5121" max="5121" width="19.7109375" style="133" customWidth="1"/>
    <col min="5122" max="5122" width="17.28515625" style="133" customWidth="1"/>
    <col min="5123" max="5123" width="18.140625" style="133" customWidth="1"/>
    <col min="5124" max="5124" width="21.7109375" style="133" customWidth="1"/>
    <col min="5125" max="5125" width="0.42578125" style="133" customWidth="1"/>
    <col min="5126" max="5126" width="16.140625" style="133" bestFit="1" customWidth="1"/>
    <col min="5127" max="5127" width="11.5703125" style="133" bestFit="1" customWidth="1"/>
    <col min="5128" max="5366" width="9.140625" style="133"/>
    <col min="5367" max="5367" width="33" style="133" customWidth="1"/>
    <col min="5368" max="5368" width="17.42578125" style="133" customWidth="1"/>
    <col min="5369" max="5369" width="17.140625" style="133" customWidth="1"/>
    <col min="5370" max="5370" width="16" style="133" customWidth="1"/>
    <col min="5371" max="5371" width="16.5703125" style="133" customWidth="1"/>
    <col min="5372" max="5372" width="16.28515625" style="133" customWidth="1"/>
    <col min="5373" max="5373" width="18.28515625" style="133" customWidth="1"/>
    <col min="5374" max="5374" width="17.42578125" style="133" customWidth="1"/>
    <col min="5375" max="5375" width="15.85546875" style="133" customWidth="1"/>
    <col min="5376" max="5376" width="17" style="133" customWidth="1"/>
    <col min="5377" max="5377" width="19.7109375" style="133" customWidth="1"/>
    <col min="5378" max="5378" width="17.28515625" style="133" customWidth="1"/>
    <col min="5379" max="5379" width="18.140625" style="133" customWidth="1"/>
    <col min="5380" max="5380" width="21.7109375" style="133" customWidth="1"/>
    <col min="5381" max="5381" width="0.42578125" style="133" customWidth="1"/>
    <col min="5382" max="5382" width="16.140625" style="133" bestFit="1" customWidth="1"/>
    <col min="5383" max="5383" width="11.5703125" style="133" bestFit="1" customWidth="1"/>
    <col min="5384" max="5622" width="9.140625" style="133"/>
    <col min="5623" max="5623" width="33" style="133" customWidth="1"/>
    <col min="5624" max="5624" width="17.42578125" style="133" customWidth="1"/>
    <col min="5625" max="5625" width="17.140625" style="133" customWidth="1"/>
    <col min="5626" max="5626" width="16" style="133" customWidth="1"/>
    <col min="5627" max="5627" width="16.5703125" style="133" customWidth="1"/>
    <col min="5628" max="5628" width="16.28515625" style="133" customWidth="1"/>
    <col min="5629" max="5629" width="18.28515625" style="133" customWidth="1"/>
    <col min="5630" max="5630" width="17.42578125" style="133" customWidth="1"/>
    <col min="5631" max="5631" width="15.85546875" style="133" customWidth="1"/>
    <col min="5632" max="5632" width="17" style="133" customWidth="1"/>
    <col min="5633" max="5633" width="19.7109375" style="133" customWidth="1"/>
    <col min="5634" max="5634" width="17.28515625" style="133" customWidth="1"/>
    <col min="5635" max="5635" width="18.140625" style="133" customWidth="1"/>
    <col min="5636" max="5636" width="21.7109375" style="133" customWidth="1"/>
    <col min="5637" max="5637" width="0.42578125" style="133" customWidth="1"/>
    <col min="5638" max="5638" width="16.140625" style="133" bestFit="1" customWidth="1"/>
    <col min="5639" max="5639" width="11.5703125" style="133" bestFit="1" customWidth="1"/>
    <col min="5640" max="5878" width="9.140625" style="133"/>
    <col min="5879" max="5879" width="33" style="133" customWidth="1"/>
    <col min="5880" max="5880" width="17.42578125" style="133" customWidth="1"/>
    <col min="5881" max="5881" width="17.140625" style="133" customWidth="1"/>
    <col min="5882" max="5882" width="16" style="133" customWidth="1"/>
    <col min="5883" max="5883" width="16.5703125" style="133" customWidth="1"/>
    <col min="5884" max="5884" width="16.28515625" style="133" customWidth="1"/>
    <col min="5885" max="5885" width="18.28515625" style="133" customWidth="1"/>
    <col min="5886" max="5886" width="17.42578125" style="133" customWidth="1"/>
    <col min="5887" max="5887" width="15.85546875" style="133" customWidth="1"/>
    <col min="5888" max="5888" width="17" style="133" customWidth="1"/>
    <col min="5889" max="5889" width="19.7109375" style="133" customWidth="1"/>
    <col min="5890" max="5890" width="17.28515625" style="133" customWidth="1"/>
    <col min="5891" max="5891" width="18.140625" style="133" customWidth="1"/>
    <col min="5892" max="5892" width="21.7109375" style="133" customWidth="1"/>
    <col min="5893" max="5893" width="0.42578125" style="133" customWidth="1"/>
    <col min="5894" max="5894" width="16.140625" style="133" bestFit="1" customWidth="1"/>
    <col min="5895" max="5895" width="11.5703125" style="133" bestFit="1" customWidth="1"/>
    <col min="5896" max="6134" width="9.140625" style="133"/>
    <col min="6135" max="6135" width="33" style="133" customWidth="1"/>
    <col min="6136" max="6136" width="17.42578125" style="133" customWidth="1"/>
    <col min="6137" max="6137" width="17.140625" style="133" customWidth="1"/>
    <col min="6138" max="6138" width="16" style="133" customWidth="1"/>
    <col min="6139" max="6139" width="16.5703125" style="133" customWidth="1"/>
    <col min="6140" max="6140" width="16.28515625" style="133" customWidth="1"/>
    <col min="6141" max="6141" width="18.28515625" style="133" customWidth="1"/>
    <col min="6142" max="6142" width="17.42578125" style="133" customWidth="1"/>
    <col min="6143" max="6143" width="15.85546875" style="133" customWidth="1"/>
    <col min="6144" max="6144" width="17" style="133" customWidth="1"/>
    <col min="6145" max="6145" width="19.7109375" style="133" customWidth="1"/>
    <col min="6146" max="6146" width="17.28515625" style="133" customWidth="1"/>
    <col min="6147" max="6147" width="18.140625" style="133" customWidth="1"/>
    <col min="6148" max="6148" width="21.7109375" style="133" customWidth="1"/>
    <col min="6149" max="6149" width="0.42578125" style="133" customWidth="1"/>
    <col min="6150" max="6150" width="16.140625" style="133" bestFit="1" customWidth="1"/>
    <col min="6151" max="6151" width="11.5703125" style="133" bestFit="1" customWidth="1"/>
    <col min="6152" max="6390" width="9.140625" style="133"/>
    <col min="6391" max="6391" width="33" style="133" customWidth="1"/>
    <col min="6392" max="6392" width="17.42578125" style="133" customWidth="1"/>
    <col min="6393" max="6393" width="17.140625" style="133" customWidth="1"/>
    <col min="6394" max="6394" width="16" style="133" customWidth="1"/>
    <col min="6395" max="6395" width="16.5703125" style="133" customWidth="1"/>
    <col min="6396" max="6396" width="16.28515625" style="133" customWidth="1"/>
    <col min="6397" max="6397" width="18.28515625" style="133" customWidth="1"/>
    <col min="6398" max="6398" width="17.42578125" style="133" customWidth="1"/>
    <col min="6399" max="6399" width="15.85546875" style="133" customWidth="1"/>
    <col min="6400" max="6400" width="17" style="133" customWidth="1"/>
    <col min="6401" max="6401" width="19.7109375" style="133" customWidth="1"/>
    <col min="6402" max="6402" width="17.28515625" style="133" customWidth="1"/>
    <col min="6403" max="6403" width="18.140625" style="133" customWidth="1"/>
    <col min="6404" max="6404" width="21.7109375" style="133" customWidth="1"/>
    <col min="6405" max="6405" width="0.42578125" style="133" customWidth="1"/>
    <col min="6406" max="6406" width="16.140625" style="133" bestFit="1" customWidth="1"/>
    <col min="6407" max="6407" width="11.5703125" style="133" bestFit="1" customWidth="1"/>
    <col min="6408" max="6646" width="9.140625" style="133"/>
    <col min="6647" max="6647" width="33" style="133" customWidth="1"/>
    <col min="6648" max="6648" width="17.42578125" style="133" customWidth="1"/>
    <col min="6649" max="6649" width="17.140625" style="133" customWidth="1"/>
    <col min="6650" max="6650" width="16" style="133" customWidth="1"/>
    <col min="6651" max="6651" width="16.5703125" style="133" customWidth="1"/>
    <col min="6652" max="6652" width="16.28515625" style="133" customWidth="1"/>
    <col min="6653" max="6653" width="18.28515625" style="133" customWidth="1"/>
    <col min="6654" max="6654" width="17.42578125" style="133" customWidth="1"/>
    <col min="6655" max="6655" width="15.85546875" style="133" customWidth="1"/>
    <col min="6656" max="6656" width="17" style="133" customWidth="1"/>
    <col min="6657" max="6657" width="19.7109375" style="133" customWidth="1"/>
    <col min="6658" max="6658" width="17.28515625" style="133" customWidth="1"/>
    <col min="6659" max="6659" width="18.140625" style="133" customWidth="1"/>
    <col min="6660" max="6660" width="21.7109375" style="133" customWidth="1"/>
    <col min="6661" max="6661" width="0.42578125" style="133" customWidth="1"/>
    <col min="6662" max="6662" width="16.140625" style="133" bestFit="1" customWidth="1"/>
    <col min="6663" max="6663" width="11.5703125" style="133" bestFit="1" customWidth="1"/>
    <col min="6664" max="6902" width="9.140625" style="133"/>
    <col min="6903" max="6903" width="33" style="133" customWidth="1"/>
    <col min="6904" max="6904" width="17.42578125" style="133" customWidth="1"/>
    <col min="6905" max="6905" width="17.140625" style="133" customWidth="1"/>
    <col min="6906" max="6906" width="16" style="133" customWidth="1"/>
    <col min="6907" max="6907" width="16.5703125" style="133" customWidth="1"/>
    <col min="6908" max="6908" width="16.28515625" style="133" customWidth="1"/>
    <col min="6909" max="6909" width="18.28515625" style="133" customWidth="1"/>
    <col min="6910" max="6910" width="17.42578125" style="133" customWidth="1"/>
    <col min="6911" max="6911" width="15.85546875" style="133" customWidth="1"/>
    <col min="6912" max="6912" width="17" style="133" customWidth="1"/>
    <col min="6913" max="6913" width="19.7109375" style="133" customWidth="1"/>
    <col min="6914" max="6914" width="17.28515625" style="133" customWidth="1"/>
    <col min="6915" max="6915" width="18.140625" style="133" customWidth="1"/>
    <col min="6916" max="6916" width="21.7109375" style="133" customWidth="1"/>
    <col min="6917" max="6917" width="0.42578125" style="133" customWidth="1"/>
    <col min="6918" max="6918" width="16.140625" style="133" bestFit="1" customWidth="1"/>
    <col min="6919" max="6919" width="11.5703125" style="133" bestFit="1" customWidth="1"/>
    <col min="6920" max="7158" width="9.140625" style="133"/>
    <col min="7159" max="7159" width="33" style="133" customWidth="1"/>
    <col min="7160" max="7160" width="17.42578125" style="133" customWidth="1"/>
    <col min="7161" max="7161" width="17.140625" style="133" customWidth="1"/>
    <col min="7162" max="7162" width="16" style="133" customWidth="1"/>
    <col min="7163" max="7163" width="16.5703125" style="133" customWidth="1"/>
    <col min="7164" max="7164" width="16.28515625" style="133" customWidth="1"/>
    <col min="7165" max="7165" width="18.28515625" style="133" customWidth="1"/>
    <col min="7166" max="7166" width="17.42578125" style="133" customWidth="1"/>
    <col min="7167" max="7167" width="15.85546875" style="133" customWidth="1"/>
    <col min="7168" max="7168" width="17" style="133" customWidth="1"/>
    <col min="7169" max="7169" width="19.7109375" style="133" customWidth="1"/>
    <col min="7170" max="7170" width="17.28515625" style="133" customWidth="1"/>
    <col min="7171" max="7171" width="18.140625" style="133" customWidth="1"/>
    <col min="7172" max="7172" width="21.7109375" style="133" customWidth="1"/>
    <col min="7173" max="7173" width="0.42578125" style="133" customWidth="1"/>
    <col min="7174" max="7174" width="16.140625" style="133" bestFit="1" customWidth="1"/>
    <col min="7175" max="7175" width="11.5703125" style="133" bestFit="1" customWidth="1"/>
    <col min="7176" max="7414" width="9.140625" style="133"/>
    <col min="7415" max="7415" width="33" style="133" customWidth="1"/>
    <col min="7416" max="7416" width="17.42578125" style="133" customWidth="1"/>
    <col min="7417" max="7417" width="17.140625" style="133" customWidth="1"/>
    <col min="7418" max="7418" width="16" style="133" customWidth="1"/>
    <col min="7419" max="7419" width="16.5703125" style="133" customWidth="1"/>
    <col min="7420" max="7420" width="16.28515625" style="133" customWidth="1"/>
    <col min="7421" max="7421" width="18.28515625" style="133" customWidth="1"/>
    <col min="7422" max="7422" width="17.42578125" style="133" customWidth="1"/>
    <col min="7423" max="7423" width="15.85546875" style="133" customWidth="1"/>
    <col min="7424" max="7424" width="17" style="133" customWidth="1"/>
    <col min="7425" max="7425" width="19.7109375" style="133" customWidth="1"/>
    <col min="7426" max="7426" width="17.28515625" style="133" customWidth="1"/>
    <col min="7427" max="7427" width="18.140625" style="133" customWidth="1"/>
    <col min="7428" max="7428" width="21.7109375" style="133" customWidth="1"/>
    <col min="7429" max="7429" width="0.42578125" style="133" customWidth="1"/>
    <col min="7430" max="7430" width="16.140625" style="133" bestFit="1" customWidth="1"/>
    <col min="7431" max="7431" width="11.5703125" style="133" bestFit="1" customWidth="1"/>
    <col min="7432" max="7670" width="9.140625" style="133"/>
    <col min="7671" max="7671" width="33" style="133" customWidth="1"/>
    <col min="7672" max="7672" width="17.42578125" style="133" customWidth="1"/>
    <col min="7673" max="7673" width="17.140625" style="133" customWidth="1"/>
    <col min="7674" max="7674" width="16" style="133" customWidth="1"/>
    <col min="7675" max="7675" width="16.5703125" style="133" customWidth="1"/>
    <col min="7676" max="7676" width="16.28515625" style="133" customWidth="1"/>
    <col min="7677" max="7677" width="18.28515625" style="133" customWidth="1"/>
    <col min="7678" max="7678" width="17.42578125" style="133" customWidth="1"/>
    <col min="7679" max="7679" width="15.85546875" style="133" customWidth="1"/>
    <col min="7680" max="7680" width="17" style="133" customWidth="1"/>
    <col min="7681" max="7681" width="19.7109375" style="133" customWidth="1"/>
    <col min="7682" max="7682" width="17.28515625" style="133" customWidth="1"/>
    <col min="7683" max="7683" width="18.140625" style="133" customWidth="1"/>
    <col min="7684" max="7684" width="21.7109375" style="133" customWidth="1"/>
    <col min="7685" max="7685" width="0.42578125" style="133" customWidth="1"/>
    <col min="7686" max="7686" width="16.140625" style="133" bestFit="1" customWidth="1"/>
    <col min="7687" max="7687" width="11.5703125" style="133" bestFit="1" customWidth="1"/>
    <col min="7688" max="7926" width="9.140625" style="133"/>
    <col min="7927" max="7927" width="33" style="133" customWidth="1"/>
    <col min="7928" max="7928" width="17.42578125" style="133" customWidth="1"/>
    <col min="7929" max="7929" width="17.140625" style="133" customWidth="1"/>
    <col min="7930" max="7930" width="16" style="133" customWidth="1"/>
    <col min="7931" max="7931" width="16.5703125" style="133" customWidth="1"/>
    <col min="7932" max="7932" width="16.28515625" style="133" customWidth="1"/>
    <col min="7933" max="7933" width="18.28515625" style="133" customWidth="1"/>
    <col min="7934" max="7934" width="17.42578125" style="133" customWidth="1"/>
    <col min="7935" max="7935" width="15.85546875" style="133" customWidth="1"/>
    <col min="7936" max="7936" width="17" style="133" customWidth="1"/>
    <col min="7937" max="7937" width="19.7109375" style="133" customWidth="1"/>
    <col min="7938" max="7938" width="17.28515625" style="133" customWidth="1"/>
    <col min="7939" max="7939" width="18.140625" style="133" customWidth="1"/>
    <col min="7940" max="7940" width="21.7109375" style="133" customWidth="1"/>
    <col min="7941" max="7941" width="0.42578125" style="133" customWidth="1"/>
    <col min="7942" max="7942" width="16.140625" style="133" bestFit="1" customWidth="1"/>
    <col min="7943" max="7943" width="11.5703125" style="133" bestFit="1" customWidth="1"/>
    <col min="7944" max="8182" width="9.140625" style="133"/>
    <col min="8183" max="8183" width="33" style="133" customWidth="1"/>
    <col min="8184" max="8184" width="17.42578125" style="133" customWidth="1"/>
    <col min="8185" max="8185" width="17.140625" style="133" customWidth="1"/>
    <col min="8186" max="8186" width="16" style="133" customWidth="1"/>
    <col min="8187" max="8187" width="16.5703125" style="133" customWidth="1"/>
    <col min="8188" max="8188" width="16.28515625" style="133" customWidth="1"/>
    <col min="8189" max="8189" width="18.28515625" style="133" customWidth="1"/>
    <col min="8190" max="8190" width="17.42578125" style="133" customWidth="1"/>
    <col min="8191" max="8191" width="15.85546875" style="133" customWidth="1"/>
    <col min="8192" max="8192" width="17" style="133" customWidth="1"/>
    <col min="8193" max="8193" width="19.7109375" style="133" customWidth="1"/>
    <col min="8194" max="8194" width="17.28515625" style="133" customWidth="1"/>
    <col min="8195" max="8195" width="18.140625" style="133" customWidth="1"/>
    <col min="8196" max="8196" width="21.7109375" style="133" customWidth="1"/>
    <col min="8197" max="8197" width="0.42578125" style="133" customWidth="1"/>
    <col min="8198" max="8198" width="16.140625" style="133" bestFit="1" customWidth="1"/>
    <col min="8199" max="8199" width="11.5703125" style="133" bestFit="1" customWidth="1"/>
    <col min="8200" max="8438" width="9.140625" style="133"/>
    <col min="8439" max="8439" width="33" style="133" customWidth="1"/>
    <col min="8440" max="8440" width="17.42578125" style="133" customWidth="1"/>
    <col min="8441" max="8441" width="17.140625" style="133" customWidth="1"/>
    <col min="8442" max="8442" width="16" style="133" customWidth="1"/>
    <col min="8443" max="8443" width="16.5703125" style="133" customWidth="1"/>
    <col min="8444" max="8444" width="16.28515625" style="133" customWidth="1"/>
    <col min="8445" max="8445" width="18.28515625" style="133" customWidth="1"/>
    <col min="8446" max="8446" width="17.42578125" style="133" customWidth="1"/>
    <col min="8447" max="8447" width="15.85546875" style="133" customWidth="1"/>
    <col min="8448" max="8448" width="17" style="133" customWidth="1"/>
    <col min="8449" max="8449" width="19.7109375" style="133" customWidth="1"/>
    <col min="8450" max="8450" width="17.28515625" style="133" customWidth="1"/>
    <col min="8451" max="8451" width="18.140625" style="133" customWidth="1"/>
    <col min="8452" max="8452" width="21.7109375" style="133" customWidth="1"/>
    <col min="8453" max="8453" width="0.42578125" style="133" customWidth="1"/>
    <col min="8454" max="8454" width="16.140625" style="133" bestFit="1" customWidth="1"/>
    <col min="8455" max="8455" width="11.5703125" style="133" bestFit="1" customWidth="1"/>
    <col min="8456" max="8694" width="9.140625" style="133"/>
    <col min="8695" max="8695" width="33" style="133" customWidth="1"/>
    <col min="8696" max="8696" width="17.42578125" style="133" customWidth="1"/>
    <col min="8697" max="8697" width="17.140625" style="133" customWidth="1"/>
    <col min="8698" max="8698" width="16" style="133" customWidth="1"/>
    <col min="8699" max="8699" width="16.5703125" style="133" customWidth="1"/>
    <col min="8700" max="8700" width="16.28515625" style="133" customWidth="1"/>
    <col min="8701" max="8701" width="18.28515625" style="133" customWidth="1"/>
    <col min="8702" max="8702" width="17.42578125" style="133" customWidth="1"/>
    <col min="8703" max="8703" width="15.85546875" style="133" customWidth="1"/>
    <col min="8704" max="8704" width="17" style="133" customWidth="1"/>
    <col min="8705" max="8705" width="19.7109375" style="133" customWidth="1"/>
    <col min="8706" max="8706" width="17.28515625" style="133" customWidth="1"/>
    <col min="8707" max="8707" width="18.140625" style="133" customWidth="1"/>
    <col min="8708" max="8708" width="21.7109375" style="133" customWidth="1"/>
    <col min="8709" max="8709" width="0.42578125" style="133" customWidth="1"/>
    <col min="8710" max="8710" width="16.140625" style="133" bestFit="1" customWidth="1"/>
    <col min="8711" max="8711" width="11.5703125" style="133" bestFit="1" customWidth="1"/>
    <col min="8712" max="8950" width="9.140625" style="133"/>
    <col min="8951" max="8951" width="33" style="133" customWidth="1"/>
    <col min="8952" max="8952" width="17.42578125" style="133" customWidth="1"/>
    <col min="8953" max="8953" width="17.140625" style="133" customWidth="1"/>
    <col min="8954" max="8954" width="16" style="133" customWidth="1"/>
    <col min="8955" max="8955" width="16.5703125" style="133" customWidth="1"/>
    <col min="8956" max="8956" width="16.28515625" style="133" customWidth="1"/>
    <col min="8957" max="8957" width="18.28515625" style="133" customWidth="1"/>
    <col min="8958" max="8958" width="17.42578125" style="133" customWidth="1"/>
    <col min="8959" max="8959" width="15.85546875" style="133" customWidth="1"/>
    <col min="8960" max="8960" width="17" style="133" customWidth="1"/>
    <col min="8961" max="8961" width="19.7109375" style="133" customWidth="1"/>
    <col min="8962" max="8962" width="17.28515625" style="133" customWidth="1"/>
    <col min="8963" max="8963" width="18.140625" style="133" customWidth="1"/>
    <col min="8964" max="8964" width="21.7109375" style="133" customWidth="1"/>
    <col min="8965" max="8965" width="0.42578125" style="133" customWidth="1"/>
    <col min="8966" max="8966" width="16.140625" style="133" bestFit="1" customWidth="1"/>
    <col min="8967" max="8967" width="11.5703125" style="133" bestFit="1" customWidth="1"/>
    <col min="8968" max="9206" width="9.140625" style="133"/>
    <col min="9207" max="9207" width="33" style="133" customWidth="1"/>
    <col min="9208" max="9208" width="17.42578125" style="133" customWidth="1"/>
    <col min="9209" max="9209" width="17.140625" style="133" customWidth="1"/>
    <col min="9210" max="9210" width="16" style="133" customWidth="1"/>
    <col min="9211" max="9211" width="16.5703125" style="133" customWidth="1"/>
    <col min="9212" max="9212" width="16.28515625" style="133" customWidth="1"/>
    <col min="9213" max="9213" width="18.28515625" style="133" customWidth="1"/>
    <col min="9214" max="9214" width="17.42578125" style="133" customWidth="1"/>
    <col min="9215" max="9215" width="15.85546875" style="133" customWidth="1"/>
    <col min="9216" max="9216" width="17" style="133" customWidth="1"/>
    <col min="9217" max="9217" width="19.7109375" style="133" customWidth="1"/>
    <col min="9218" max="9218" width="17.28515625" style="133" customWidth="1"/>
    <col min="9219" max="9219" width="18.140625" style="133" customWidth="1"/>
    <col min="9220" max="9220" width="21.7109375" style="133" customWidth="1"/>
    <col min="9221" max="9221" width="0.42578125" style="133" customWidth="1"/>
    <col min="9222" max="9222" width="16.140625" style="133" bestFit="1" customWidth="1"/>
    <col min="9223" max="9223" width="11.5703125" style="133" bestFit="1" customWidth="1"/>
    <col min="9224" max="9462" width="9.140625" style="133"/>
    <col min="9463" max="9463" width="33" style="133" customWidth="1"/>
    <col min="9464" max="9464" width="17.42578125" style="133" customWidth="1"/>
    <col min="9465" max="9465" width="17.140625" style="133" customWidth="1"/>
    <col min="9466" max="9466" width="16" style="133" customWidth="1"/>
    <col min="9467" max="9467" width="16.5703125" style="133" customWidth="1"/>
    <col min="9468" max="9468" width="16.28515625" style="133" customWidth="1"/>
    <col min="9469" max="9469" width="18.28515625" style="133" customWidth="1"/>
    <col min="9470" max="9470" width="17.42578125" style="133" customWidth="1"/>
    <col min="9471" max="9471" width="15.85546875" style="133" customWidth="1"/>
    <col min="9472" max="9472" width="17" style="133" customWidth="1"/>
    <col min="9473" max="9473" width="19.7109375" style="133" customWidth="1"/>
    <col min="9474" max="9474" width="17.28515625" style="133" customWidth="1"/>
    <col min="9475" max="9475" width="18.140625" style="133" customWidth="1"/>
    <col min="9476" max="9476" width="21.7109375" style="133" customWidth="1"/>
    <col min="9477" max="9477" width="0.42578125" style="133" customWidth="1"/>
    <col min="9478" max="9478" width="16.140625" style="133" bestFit="1" customWidth="1"/>
    <col min="9479" max="9479" width="11.5703125" style="133" bestFit="1" customWidth="1"/>
    <col min="9480" max="9718" width="9.140625" style="133"/>
    <col min="9719" max="9719" width="33" style="133" customWidth="1"/>
    <col min="9720" max="9720" width="17.42578125" style="133" customWidth="1"/>
    <col min="9721" max="9721" width="17.140625" style="133" customWidth="1"/>
    <col min="9722" max="9722" width="16" style="133" customWidth="1"/>
    <col min="9723" max="9723" width="16.5703125" style="133" customWidth="1"/>
    <col min="9724" max="9724" width="16.28515625" style="133" customWidth="1"/>
    <col min="9725" max="9725" width="18.28515625" style="133" customWidth="1"/>
    <col min="9726" max="9726" width="17.42578125" style="133" customWidth="1"/>
    <col min="9727" max="9727" width="15.85546875" style="133" customWidth="1"/>
    <col min="9728" max="9728" width="17" style="133" customWidth="1"/>
    <col min="9729" max="9729" width="19.7109375" style="133" customWidth="1"/>
    <col min="9730" max="9730" width="17.28515625" style="133" customWidth="1"/>
    <col min="9731" max="9731" width="18.140625" style="133" customWidth="1"/>
    <col min="9732" max="9732" width="21.7109375" style="133" customWidth="1"/>
    <col min="9733" max="9733" width="0.42578125" style="133" customWidth="1"/>
    <col min="9734" max="9734" width="16.140625" style="133" bestFit="1" customWidth="1"/>
    <col min="9735" max="9735" width="11.5703125" style="133" bestFit="1" customWidth="1"/>
    <col min="9736" max="9974" width="9.140625" style="133"/>
    <col min="9975" max="9975" width="33" style="133" customWidth="1"/>
    <col min="9976" max="9976" width="17.42578125" style="133" customWidth="1"/>
    <col min="9977" max="9977" width="17.140625" style="133" customWidth="1"/>
    <col min="9978" max="9978" width="16" style="133" customWidth="1"/>
    <col min="9979" max="9979" width="16.5703125" style="133" customWidth="1"/>
    <col min="9980" max="9980" width="16.28515625" style="133" customWidth="1"/>
    <col min="9981" max="9981" width="18.28515625" style="133" customWidth="1"/>
    <col min="9982" max="9982" width="17.42578125" style="133" customWidth="1"/>
    <col min="9983" max="9983" width="15.85546875" style="133" customWidth="1"/>
    <col min="9984" max="9984" width="17" style="133" customWidth="1"/>
    <col min="9985" max="9985" width="19.7109375" style="133" customWidth="1"/>
    <col min="9986" max="9986" width="17.28515625" style="133" customWidth="1"/>
    <col min="9987" max="9987" width="18.140625" style="133" customWidth="1"/>
    <col min="9988" max="9988" width="21.7109375" style="133" customWidth="1"/>
    <col min="9989" max="9989" width="0.42578125" style="133" customWidth="1"/>
    <col min="9990" max="9990" width="16.140625" style="133" bestFit="1" customWidth="1"/>
    <col min="9991" max="9991" width="11.5703125" style="133" bestFit="1" customWidth="1"/>
    <col min="9992" max="10230" width="9.140625" style="133"/>
    <col min="10231" max="10231" width="33" style="133" customWidth="1"/>
    <col min="10232" max="10232" width="17.42578125" style="133" customWidth="1"/>
    <col min="10233" max="10233" width="17.140625" style="133" customWidth="1"/>
    <col min="10234" max="10234" width="16" style="133" customWidth="1"/>
    <col min="10235" max="10235" width="16.5703125" style="133" customWidth="1"/>
    <col min="10236" max="10236" width="16.28515625" style="133" customWidth="1"/>
    <col min="10237" max="10237" width="18.28515625" style="133" customWidth="1"/>
    <col min="10238" max="10238" width="17.42578125" style="133" customWidth="1"/>
    <col min="10239" max="10239" width="15.85546875" style="133" customWidth="1"/>
    <col min="10240" max="10240" width="17" style="133" customWidth="1"/>
    <col min="10241" max="10241" width="19.7109375" style="133" customWidth="1"/>
    <col min="10242" max="10242" width="17.28515625" style="133" customWidth="1"/>
    <col min="10243" max="10243" width="18.140625" style="133" customWidth="1"/>
    <col min="10244" max="10244" width="21.7109375" style="133" customWidth="1"/>
    <col min="10245" max="10245" width="0.42578125" style="133" customWidth="1"/>
    <col min="10246" max="10246" width="16.140625" style="133" bestFit="1" customWidth="1"/>
    <col min="10247" max="10247" width="11.5703125" style="133" bestFit="1" customWidth="1"/>
    <col min="10248" max="10486" width="9.140625" style="133"/>
    <col min="10487" max="10487" width="33" style="133" customWidth="1"/>
    <col min="10488" max="10488" width="17.42578125" style="133" customWidth="1"/>
    <col min="10489" max="10489" width="17.140625" style="133" customWidth="1"/>
    <col min="10490" max="10490" width="16" style="133" customWidth="1"/>
    <col min="10491" max="10491" width="16.5703125" style="133" customWidth="1"/>
    <col min="10492" max="10492" width="16.28515625" style="133" customWidth="1"/>
    <col min="10493" max="10493" width="18.28515625" style="133" customWidth="1"/>
    <col min="10494" max="10494" width="17.42578125" style="133" customWidth="1"/>
    <col min="10495" max="10495" width="15.85546875" style="133" customWidth="1"/>
    <col min="10496" max="10496" width="17" style="133" customWidth="1"/>
    <col min="10497" max="10497" width="19.7109375" style="133" customWidth="1"/>
    <col min="10498" max="10498" width="17.28515625" style="133" customWidth="1"/>
    <col min="10499" max="10499" width="18.140625" style="133" customWidth="1"/>
    <col min="10500" max="10500" width="21.7109375" style="133" customWidth="1"/>
    <col min="10501" max="10501" width="0.42578125" style="133" customWidth="1"/>
    <col min="10502" max="10502" width="16.140625" style="133" bestFit="1" customWidth="1"/>
    <col min="10503" max="10503" width="11.5703125" style="133" bestFit="1" customWidth="1"/>
    <col min="10504" max="10742" width="9.140625" style="133"/>
    <col min="10743" max="10743" width="33" style="133" customWidth="1"/>
    <col min="10744" max="10744" width="17.42578125" style="133" customWidth="1"/>
    <col min="10745" max="10745" width="17.140625" style="133" customWidth="1"/>
    <col min="10746" max="10746" width="16" style="133" customWidth="1"/>
    <col min="10747" max="10747" width="16.5703125" style="133" customWidth="1"/>
    <col min="10748" max="10748" width="16.28515625" style="133" customWidth="1"/>
    <col min="10749" max="10749" width="18.28515625" style="133" customWidth="1"/>
    <col min="10750" max="10750" width="17.42578125" style="133" customWidth="1"/>
    <col min="10751" max="10751" width="15.85546875" style="133" customWidth="1"/>
    <col min="10752" max="10752" width="17" style="133" customWidth="1"/>
    <col min="10753" max="10753" width="19.7109375" style="133" customWidth="1"/>
    <col min="10754" max="10754" width="17.28515625" style="133" customWidth="1"/>
    <col min="10755" max="10755" width="18.140625" style="133" customWidth="1"/>
    <col min="10756" max="10756" width="21.7109375" style="133" customWidth="1"/>
    <col min="10757" max="10757" width="0.42578125" style="133" customWidth="1"/>
    <col min="10758" max="10758" width="16.140625" style="133" bestFit="1" customWidth="1"/>
    <col min="10759" max="10759" width="11.5703125" style="133" bestFit="1" customWidth="1"/>
    <col min="10760" max="10998" width="9.140625" style="133"/>
    <col min="10999" max="10999" width="33" style="133" customWidth="1"/>
    <col min="11000" max="11000" width="17.42578125" style="133" customWidth="1"/>
    <col min="11001" max="11001" width="17.140625" style="133" customWidth="1"/>
    <col min="11002" max="11002" width="16" style="133" customWidth="1"/>
    <col min="11003" max="11003" width="16.5703125" style="133" customWidth="1"/>
    <col min="11004" max="11004" width="16.28515625" style="133" customWidth="1"/>
    <col min="11005" max="11005" width="18.28515625" style="133" customWidth="1"/>
    <col min="11006" max="11006" width="17.42578125" style="133" customWidth="1"/>
    <col min="11007" max="11007" width="15.85546875" style="133" customWidth="1"/>
    <col min="11008" max="11008" width="17" style="133" customWidth="1"/>
    <col min="11009" max="11009" width="19.7109375" style="133" customWidth="1"/>
    <col min="11010" max="11010" width="17.28515625" style="133" customWidth="1"/>
    <col min="11011" max="11011" width="18.140625" style="133" customWidth="1"/>
    <col min="11012" max="11012" width="21.7109375" style="133" customWidth="1"/>
    <col min="11013" max="11013" width="0.42578125" style="133" customWidth="1"/>
    <col min="11014" max="11014" width="16.140625" style="133" bestFit="1" customWidth="1"/>
    <col min="11015" max="11015" width="11.5703125" style="133" bestFit="1" customWidth="1"/>
    <col min="11016" max="11254" width="9.140625" style="133"/>
    <col min="11255" max="11255" width="33" style="133" customWidth="1"/>
    <col min="11256" max="11256" width="17.42578125" style="133" customWidth="1"/>
    <col min="11257" max="11257" width="17.140625" style="133" customWidth="1"/>
    <col min="11258" max="11258" width="16" style="133" customWidth="1"/>
    <col min="11259" max="11259" width="16.5703125" style="133" customWidth="1"/>
    <col min="11260" max="11260" width="16.28515625" style="133" customWidth="1"/>
    <col min="11261" max="11261" width="18.28515625" style="133" customWidth="1"/>
    <col min="11262" max="11262" width="17.42578125" style="133" customWidth="1"/>
    <col min="11263" max="11263" width="15.85546875" style="133" customWidth="1"/>
    <col min="11264" max="11264" width="17" style="133" customWidth="1"/>
    <col min="11265" max="11265" width="19.7109375" style="133" customWidth="1"/>
    <col min="11266" max="11266" width="17.28515625" style="133" customWidth="1"/>
    <col min="11267" max="11267" width="18.140625" style="133" customWidth="1"/>
    <col min="11268" max="11268" width="21.7109375" style="133" customWidth="1"/>
    <col min="11269" max="11269" width="0.42578125" style="133" customWidth="1"/>
    <col min="11270" max="11270" width="16.140625" style="133" bestFit="1" customWidth="1"/>
    <col min="11271" max="11271" width="11.5703125" style="133" bestFit="1" customWidth="1"/>
    <col min="11272" max="11510" width="9.140625" style="133"/>
    <col min="11511" max="11511" width="33" style="133" customWidth="1"/>
    <col min="11512" max="11512" width="17.42578125" style="133" customWidth="1"/>
    <col min="11513" max="11513" width="17.140625" style="133" customWidth="1"/>
    <col min="11514" max="11514" width="16" style="133" customWidth="1"/>
    <col min="11515" max="11515" width="16.5703125" style="133" customWidth="1"/>
    <col min="11516" max="11516" width="16.28515625" style="133" customWidth="1"/>
    <col min="11517" max="11517" width="18.28515625" style="133" customWidth="1"/>
    <col min="11518" max="11518" width="17.42578125" style="133" customWidth="1"/>
    <col min="11519" max="11519" width="15.85546875" style="133" customWidth="1"/>
    <col min="11520" max="11520" width="17" style="133" customWidth="1"/>
    <col min="11521" max="11521" width="19.7109375" style="133" customWidth="1"/>
    <col min="11522" max="11522" width="17.28515625" style="133" customWidth="1"/>
    <col min="11523" max="11523" width="18.140625" style="133" customWidth="1"/>
    <col min="11524" max="11524" width="21.7109375" style="133" customWidth="1"/>
    <col min="11525" max="11525" width="0.42578125" style="133" customWidth="1"/>
    <col min="11526" max="11526" width="16.140625" style="133" bestFit="1" customWidth="1"/>
    <col min="11527" max="11527" width="11.5703125" style="133" bestFit="1" customWidth="1"/>
    <col min="11528" max="11766" width="9.140625" style="133"/>
    <col min="11767" max="11767" width="33" style="133" customWidth="1"/>
    <col min="11768" max="11768" width="17.42578125" style="133" customWidth="1"/>
    <col min="11769" max="11769" width="17.140625" style="133" customWidth="1"/>
    <col min="11770" max="11770" width="16" style="133" customWidth="1"/>
    <col min="11771" max="11771" width="16.5703125" style="133" customWidth="1"/>
    <col min="11772" max="11772" width="16.28515625" style="133" customWidth="1"/>
    <col min="11773" max="11773" width="18.28515625" style="133" customWidth="1"/>
    <col min="11774" max="11774" width="17.42578125" style="133" customWidth="1"/>
    <col min="11775" max="11775" width="15.85546875" style="133" customWidth="1"/>
    <col min="11776" max="11776" width="17" style="133" customWidth="1"/>
    <col min="11777" max="11777" width="19.7109375" style="133" customWidth="1"/>
    <col min="11778" max="11778" width="17.28515625" style="133" customWidth="1"/>
    <col min="11779" max="11779" width="18.140625" style="133" customWidth="1"/>
    <col min="11780" max="11780" width="21.7109375" style="133" customWidth="1"/>
    <col min="11781" max="11781" width="0.42578125" style="133" customWidth="1"/>
    <col min="11782" max="11782" width="16.140625" style="133" bestFit="1" customWidth="1"/>
    <col min="11783" max="11783" width="11.5703125" style="133" bestFit="1" customWidth="1"/>
    <col min="11784" max="12022" width="9.140625" style="133"/>
    <col min="12023" max="12023" width="33" style="133" customWidth="1"/>
    <col min="12024" max="12024" width="17.42578125" style="133" customWidth="1"/>
    <col min="12025" max="12025" width="17.140625" style="133" customWidth="1"/>
    <col min="12026" max="12026" width="16" style="133" customWidth="1"/>
    <col min="12027" max="12027" width="16.5703125" style="133" customWidth="1"/>
    <col min="12028" max="12028" width="16.28515625" style="133" customWidth="1"/>
    <col min="12029" max="12029" width="18.28515625" style="133" customWidth="1"/>
    <col min="12030" max="12030" width="17.42578125" style="133" customWidth="1"/>
    <col min="12031" max="12031" width="15.85546875" style="133" customWidth="1"/>
    <col min="12032" max="12032" width="17" style="133" customWidth="1"/>
    <col min="12033" max="12033" width="19.7109375" style="133" customWidth="1"/>
    <col min="12034" max="12034" width="17.28515625" style="133" customWidth="1"/>
    <col min="12035" max="12035" width="18.140625" style="133" customWidth="1"/>
    <col min="12036" max="12036" width="21.7109375" style="133" customWidth="1"/>
    <col min="12037" max="12037" width="0.42578125" style="133" customWidth="1"/>
    <col min="12038" max="12038" width="16.140625" style="133" bestFit="1" customWidth="1"/>
    <col min="12039" max="12039" width="11.5703125" style="133" bestFit="1" customWidth="1"/>
    <col min="12040" max="12278" width="9.140625" style="133"/>
    <col min="12279" max="12279" width="33" style="133" customWidth="1"/>
    <col min="12280" max="12280" width="17.42578125" style="133" customWidth="1"/>
    <col min="12281" max="12281" width="17.140625" style="133" customWidth="1"/>
    <col min="12282" max="12282" width="16" style="133" customWidth="1"/>
    <col min="12283" max="12283" width="16.5703125" style="133" customWidth="1"/>
    <col min="12284" max="12284" width="16.28515625" style="133" customWidth="1"/>
    <col min="12285" max="12285" width="18.28515625" style="133" customWidth="1"/>
    <col min="12286" max="12286" width="17.42578125" style="133" customWidth="1"/>
    <col min="12287" max="12287" width="15.85546875" style="133" customWidth="1"/>
    <col min="12288" max="12288" width="17" style="133" customWidth="1"/>
    <col min="12289" max="12289" width="19.7109375" style="133" customWidth="1"/>
    <col min="12290" max="12290" width="17.28515625" style="133" customWidth="1"/>
    <col min="12291" max="12291" width="18.140625" style="133" customWidth="1"/>
    <col min="12292" max="12292" width="21.7109375" style="133" customWidth="1"/>
    <col min="12293" max="12293" width="0.42578125" style="133" customWidth="1"/>
    <col min="12294" max="12294" width="16.140625" style="133" bestFit="1" customWidth="1"/>
    <col min="12295" max="12295" width="11.5703125" style="133" bestFit="1" customWidth="1"/>
    <col min="12296" max="12534" width="9.140625" style="133"/>
    <col min="12535" max="12535" width="33" style="133" customWidth="1"/>
    <col min="12536" max="12536" width="17.42578125" style="133" customWidth="1"/>
    <col min="12537" max="12537" width="17.140625" style="133" customWidth="1"/>
    <col min="12538" max="12538" width="16" style="133" customWidth="1"/>
    <col min="12539" max="12539" width="16.5703125" style="133" customWidth="1"/>
    <col min="12540" max="12540" width="16.28515625" style="133" customWidth="1"/>
    <col min="12541" max="12541" width="18.28515625" style="133" customWidth="1"/>
    <col min="12542" max="12542" width="17.42578125" style="133" customWidth="1"/>
    <col min="12543" max="12543" width="15.85546875" style="133" customWidth="1"/>
    <col min="12544" max="12544" width="17" style="133" customWidth="1"/>
    <col min="12545" max="12545" width="19.7109375" style="133" customWidth="1"/>
    <col min="12546" max="12546" width="17.28515625" style="133" customWidth="1"/>
    <col min="12547" max="12547" width="18.140625" style="133" customWidth="1"/>
    <col min="12548" max="12548" width="21.7109375" style="133" customWidth="1"/>
    <col min="12549" max="12549" width="0.42578125" style="133" customWidth="1"/>
    <col min="12550" max="12550" width="16.140625" style="133" bestFit="1" customWidth="1"/>
    <col min="12551" max="12551" width="11.5703125" style="133" bestFit="1" customWidth="1"/>
    <col min="12552" max="12790" width="9.140625" style="133"/>
    <col min="12791" max="12791" width="33" style="133" customWidth="1"/>
    <col min="12792" max="12792" width="17.42578125" style="133" customWidth="1"/>
    <col min="12793" max="12793" width="17.140625" style="133" customWidth="1"/>
    <col min="12794" max="12794" width="16" style="133" customWidth="1"/>
    <col min="12795" max="12795" width="16.5703125" style="133" customWidth="1"/>
    <col min="12796" max="12796" width="16.28515625" style="133" customWidth="1"/>
    <col min="12797" max="12797" width="18.28515625" style="133" customWidth="1"/>
    <col min="12798" max="12798" width="17.42578125" style="133" customWidth="1"/>
    <col min="12799" max="12799" width="15.85546875" style="133" customWidth="1"/>
    <col min="12800" max="12800" width="17" style="133" customWidth="1"/>
    <col min="12801" max="12801" width="19.7109375" style="133" customWidth="1"/>
    <col min="12802" max="12802" width="17.28515625" style="133" customWidth="1"/>
    <col min="12803" max="12803" width="18.140625" style="133" customWidth="1"/>
    <col min="12804" max="12804" width="21.7109375" style="133" customWidth="1"/>
    <col min="12805" max="12805" width="0.42578125" style="133" customWidth="1"/>
    <col min="12806" max="12806" width="16.140625" style="133" bestFit="1" customWidth="1"/>
    <col min="12807" max="12807" width="11.5703125" style="133" bestFit="1" customWidth="1"/>
    <col min="12808" max="13046" width="9.140625" style="133"/>
    <col min="13047" max="13047" width="33" style="133" customWidth="1"/>
    <col min="13048" max="13048" width="17.42578125" style="133" customWidth="1"/>
    <col min="13049" max="13049" width="17.140625" style="133" customWidth="1"/>
    <col min="13050" max="13050" width="16" style="133" customWidth="1"/>
    <col min="13051" max="13051" width="16.5703125" style="133" customWidth="1"/>
    <col min="13052" max="13052" width="16.28515625" style="133" customWidth="1"/>
    <col min="13053" max="13053" width="18.28515625" style="133" customWidth="1"/>
    <col min="13054" max="13054" width="17.42578125" style="133" customWidth="1"/>
    <col min="13055" max="13055" width="15.85546875" style="133" customWidth="1"/>
    <col min="13056" max="13056" width="17" style="133" customWidth="1"/>
    <col min="13057" max="13057" width="19.7109375" style="133" customWidth="1"/>
    <col min="13058" max="13058" width="17.28515625" style="133" customWidth="1"/>
    <col min="13059" max="13059" width="18.140625" style="133" customWidth="1"/>
    <col min="13060" max="13060" width="21.7109375" style="133" customWidth="1"/>
    <col min="13061" max="13061" width="0.42578125" style="133" customWidth="1"/>
    <col min="13062" max="13062" width="16.140625" style="133" bestFit="1" customWidth="1"/>
    <col min="13063" max="13063" width="11.5703125" style="133" bestFit="1" customWidth="1"/>
    <col min="13064" max="13302" width="9.140625" style="133"/>
    <col min="13303" max="13303" width="33" style="133" customWidth="1"/>
    <col min="13304" max="13304" width="17.42578125" style="133" customWidth="1"/>
    <col min="13305" max="13305" width="17.140625" style="133" customWidth="1"/>
    <col min="13306" max="13306" width="16" style="133" customWidth="1"/>
    <col min="13307" max="13307" width="16.5703125" style="133" customWidth="1"/>
    <col min="13308" max="13308" width="16.28515625" style="133" customWidth="1"/>
    <col min="13309" max="13309" width="18.28515625" style="133" customWidth="1"/>
    <col min="13310" max="13310" width="17.42578125" style="133" customWidth="1"/>
    <col min="13311" max="13311" width="15.85546875" style="133" customWidth="1"/>
    <col min="13312" max="13312" width="17" style="133" customWidth="1"/>
    <col min="13313" max="13313" width="19.7109375" style="133" customWidth="1"/>
    <col min="13314" max="13314" width="17.28515625" style="133" customWidth="1"/>
    <col min="13315" max="13315" width="18.140625" style="133" customWidth="1"/>
    <col min="13316" max="13316" width="21.7109375" style="133" customWidth="1"/>
    <col min="13317" max="13317" width="0.42578125" style="133" customWidth="1"/>
    <col min="13318" max="13318" width="16.140625" style="133" bestFit="1" customWidth="1"/>
    <col min="13319" max="13319" width="11.5703125" style="133" bestFit="1" customWidth="1"/>
    <col min="13320" max="13558" width="9.140625" style="133"/>
    <col min="13559" max="13559" width="33" style="133" customWidth="1"/>
    <col min="13560" max="13560" width="17.42578125" style="133" customWidth="1"/>
    <col min="13561" max="13561" width="17.140625" style="133" customWidth="1"/>
    <col min="13562" max="13562" width="16" style="133" customWidth="1"/>
    <col min="13563" max="13563" width="16.5703125" style="133" customWidth="1"/>
    <col min="13564" max="13564" width="16.28515625" style="133" customWidth="1"/>
    <col min="13565" max="13565" width="18.28515625" style="133" customWidth="1"/>
    <col min="13566" max="13566" width="17.42578125" style="133" customWidth="1"/>
    <col min="13567" max="13567" width="15.85546875" style="133" customWidth="1"/>
    <col min="13568" max="13568" width="17" style="133" customWidth="1"/>
    <col min="13569" max="13569" width="19.7109375" style="133" customWidth="1"/>
    <col min="13570" max="13570" width="17.28515625" style="133" customWidth="1"/>
    <col min="13571" max="13571" width="18.140625" style="133" customWidth="1"/>
    <col min="13572" max="13572" width="21.7109375" style="133" customWidth="1"/>
    <col min="13573" max="13573" width="0.42578125" style="133" customWidth="1"/>
    <col min="13574" max="13574" width="16.140625" style="133" bestFit="1" customWidth="1"/>
    <col min="13575" max="13575" width="11.5703125" style="133" bestFit="1" customWidth="1"/>
    <col min="13576" max="13814" width="9.140625" style="133"/>
    <col min="13815" max="13815" width="33" style="133" customWidth="1"/>
    <col min="13816" max="13816" width="17.42578125" style="133" customWidth="1"/>
    <col min="13817" max="13817" width="17.140625" style="133" customWidth="1"/>
    <col min="13818" max="13818" width="16" style="133" customWidth="1"/>
    <col min="13819" max="13819" width="16.5703125" style="133" customWidth="1"/>
    <col min="13820" max="13820" width="16.28515625" style="133" customWidth="1"/>
    <col min="13821" max="13821" width="18.28515625" style="133" customWidth="1"/>
    <col min="13822" max="13822" width="17.42578125" style="133" customWidth="1"/>
    <col min="13823" max="13823" width="15.85546875" style="133" customWidth="1"/>
    <col min="13824" max="13824" width="17" style="133" customWidth="1"/>
    <col min="13825" max="13825" width="19.7109375" style="133" customWidth="1"/>
    <col min="13826" max="13826" width="17.28515625" style="133" customWidth="1"/>
    <col min="13827" max="13827" width="18.140625" style="133" customWidth="1"/>
    <col min="13828" max="13828" width="21.7109375" style="133" customWidth="1"/>
    <col min="13829" max="13829" width="0.42578125" style="133" customWidth="1"/>
    <col min="13830" max="13830" width="16.140625" style="133" bestFit="1" customWidth="1"/>
    <col min="13831" max="13831" width="11.5703125" style="133" bestFit="1" customWidth="1"/>
    <col min="13832" max="14070" width="9.140625" style="133"/>
    <col min="14071" max="14071" width="33" style="133" customWidth="1"/>
    <col min="14072" max="14072" width="17.42578125" style="133" customWidth="1"/>
    <col min="14073" max="14073" width="17.140625" style="133" customWidth="1"/>
    <col min="14074" max="14074" width="16" style="133" customWidth="1"/>
    <col min="14075" max="14075" width="16.5703125" style="133" customWidth="1"/>
    <col min="14076" max="14076" width="16.28515625" style="133" customWidth="1"/>
    <col min="14077" max="14077" width="18.28515625" style="133" customWidth="1"/>
    <col min="14078" max="14078" width="17.42578125" style="133" customWidth="1"/>
    <col min="14079" max="14079" width="15.85546875" style="133" customWidth="1"/>
    <col min="14080" max="14080" width="17" style="133" customWidth="1"/>
    <col min="14081" max="14081" width="19.7109375" style="133" customWidth="1"/>
    <col min="14082" max="14082" width="17.28515625" style="133" customWidth="1"/>
    <col min="14083" max="14083" width="18.140625" style="133" customWidth="1"/>
    <col min="14084" max="14084" width="21.7109375" style="133" customWidth="1"/>
    <col min="14085" max="14085" width="0.42578125" style="133" customWidth="1"/>
    <col min="14086" max="14086" width="16.140625" style="133" bestFit="1" customWidth="1"/>
    <col min="14087" max="14087" width="11.5703125" style="133" bestFit="1" customWidth="1"/>
    <col min="14088" max="14326" width="9.140625" style="133"/>
    <col min="14327" max="14327" width="33" style="133" customWidth="1"/>
    <col min="14328" max="14328" width="17.42578125" style="133" customWidth="1"/>
    <col min="14329" max="14329" width="17.140625" style="133" customWidth="1"/>
    <col min="14330" max="14330" width="16" style="133" customWidth="1"/>
    <col min="14331" max="14331" width="16.5703125" style="133" customWidth="1"/>
    <col min="14332" max="14332" width="16.28515625" style="133" customWidth="1"/>
    <col min="14333" max="14333" width="18.28515625" style="133" customWidth="1"/>
    <col min="14334" max="14334" width="17.42578125" style="133" customWidth="1"/>
    <col min="14335" max="14335" width="15.85546875" style="133" customWidth="1"/>
    <col min="14336" max="14336" width="17" style="133" customWidth="1"/>
    <col min="14337" max="14337" width="19.7109375" style="133" customWidth="1"/>
    <col min="14338" max="14338" width="17.28515625" style="133" customWidth="1"/>
    <col min="14339" max="14339" width="18.140625" style="133" customWidth="1"/>
    <col min="14340" max="14340" width="21.7109375" style="133" customWidth="1"/>
    <col min="14341" max="14341" width="0.42578125" style="133" customWidth="1"/>
    <col min="14342" max="14342" width="16.140625" style="133" bestFit="1" customWidth="1"/>
    <col min="14343" max="14343" width="11.5703125" style="133" bestFit="1" customWidth="1"/>
    <col min="14344" max="14582" width="9.140625" style="133"/>
    <col min="14583" max="14583" width="33" style="133" customWidth="1"/>
    <col min="14584" max="14584" width="17.42578125" style="133" customWidth="1"/>
    <col min="14585" max="14585" width="17.140625" style="133" customWidth="1"/>
    <col min="14586" max="14586" width="16" style="133" customWidth="1"/>
    <col min="14587" max="14587" width="16.5703125" style="133" customWidth="1"/>
    <col min="14588" max="14588" width="16.28515625" style="133" customWidth="1"/>
    <col min="14589" max="14589" width="18.28515625" style="133" customWidth="1"/>
    <col min="14590" max="14590" width="17.42578125" style="133" customWidth="1"/>
    <col min="14591" max="14591" width="15.85546875" style="133" customWidth="1"/>
    <col min="14592" max="14592" width="17" style="133" customWidth="1"/>
    <col min="14593" max="14593" width="19.7109375" style="133" customWidth="1"/>
    <col min="14594" max="14594" width="17.28515625" style="133" customWidth="1"/>
    <col min="14595" max="14595" width="18.140625" style="133" customWidth="1"/>
    <col min="14596" max="14596" width="21.7109375" style="133" customWidth="1"/>
    <col min="14597" max="14597" width="0.42578125" style="133" customWidth="1"/>
    <col min="14598" max="14598" width="16.140625" style="133" bestFit="1" customWidth="1"/>
    <col min="14599" max="14599" width="11.5703125" style="133" bestFit="1" customWidth="1"/>
    <col min="14600" max="14838" width="9.140625" style="133"/>
    <col min="14839" max="14839" width="33" style="133" customWidth="1"/>
    <col min="14840" max="14840" width="17.42578125" style="133" customWidth="1"/>
    <col min="14841" max="14841" width="17.140625" style="133" customWidth="1"/>
    <col min="14842" max="14842" width="16" style="133" customWidth="1"/>
    <col min="14843" max="14843" width="16.5703125" style="133" customWidth="1"/>
    <col min="14844" max="14844" width="16.28515625" style="133" customWidth="1"/>
    <col min="14845" max="14845" width="18.28515625" style="133" customWidth="1"/>
    <col min="14846" max="14846" width="17.42578125" style="133" customWidth="1"/>
    <col min="14847" max="14847" width="15.85546875" style="133" customWidth="1"/>
    <col min="14848" max="14848" width="17" style="133" customWidth="1"/>
    <col min="14849" max="14849" width="19.7109375" style="133" customWidth="1"/>
    <col min="14850" max="14850" width="17.28515625" style="133" customWidth="1"/>
    <col min="14851" max="14851" width="18.140625" style="133" customWidth="1"/>
    <col min="14852" max="14852" width="21.7109375" style="133" customWidth="1"/>
    <col min="14853" max="14853" width="0.42578125" style="133" customWidth="1"/>
    <col min="14854" max="14854" width="16.140625" style="133" bestFit="1" customWidth="1"/>
    <col min="14855" max="14855" width="11.5703125" style="133" bestFit="1" customWidth="1"/>
    <col min="14856" max="15094" width="9.140625" style="133"/>
    <col min="15095" max="15095" width="33" style="133" customWidth="1"/>
    <col min="15096" max="15096" width="17.42578125" style="133" customWidth="1"/>
    <col min="15097" max="15097" width="17.140625" style="133" customWidth="1"/>
    <col min="15098" max="15098" width="16" style="133" customWidth="1"/>
    <col min="15099" max="15099" width="16.5703125" style="133" customWidth="1"/>
    <col min="15100" max="15100" width="16.28515625" style="133" customWidth="1"/>
    <col min="15101" max="15101" width="18.28515625" style="133" customWidth="1"/>
    <col min="15102" max="15102" width="17.42578125" style="133" customWidth="1"/>
    <col min="15103" max="15103" width="15.85546875" style="133" customWidth="1"/>
    <col min="15104" max="15104" width="17" style="133" customWidth="1"/>
    <col min="15105" max="15105" width="19.7109375" style="133" customWidth="1"/>
    <col min="15106" max="15106" width="17.28515625" style="133" customWidth="1"/>
    <col min="15107" max="15107" width="18.140625" style="133" customWidth="1"/>
    <col min="15108" max="15108" width="21.7109375" style="133" customWidth="1"/>
    <col min="15109" max="15109" width="0.42578125" style="133" customWidth="1"/>
    <col min="15110" max="15110" width="16.140625" style="133" bestFit="1" customWidth="1"/>
    <col min="15111" max="15111" width="11.5703125" style="133" bestFit="1" customWidth="1"/>
    <col min="15112" max="15350" width="9.140625" style="133"/>
    <col min="15351" max="15351" width="33" style="133" customWidth="1"/>
    <col min="15352" max="15352" width="17.42578125" style="133" customWidth="1"/>
    <col min="15353" max="15353" width="17.140625" style="133" customWidth="1"/>
    <col min="15354" max="15354" width="16" style="133" customWidth="1"/>
    <col min="15355" max="15355" width="16.5703125" style="133" customWidth="1"/>
    <col min="15356" max="15356" width="16.28515625" style="133" customWidth="1"/>
    <col min="15357" max="15357" width="18.28515625" style="133" customWidth="1"/>
    <col min="15358" max="15358" width="17.42578125" style="133" customWidth="1"/>
    <col min="15359" max="15359" width="15.85546875" style="133" customWidth="1"/>
    <col min="15360" max="15360" width="17" style="133" customWidth="1"/>
    <col min="15361" max="15361" width="19.7109375" style="133" customWidth="1"/>
    <col min="15362" max="15362" width="17.28515625" style="133" customWidth="1"/>
    <col min="15363" max="15363" width="18.140625" style="133" customWidth="1"/>
    <col min="15364" max="15364" width="21.7109375" style="133" customWidth="1"/>
    <col min="15365" max="15365" width="0.42578125" style="133" customWidth="1"/>
    <col min="15366" max="15366" width="16.140625" style="133" bestFit="1" customWidth="1"/>
    <col min="15367" max="15367" width="11.5703125" style="133" bestFit="1" customWidth="1"/>
    <col min="15368" max="15606" width="9.140625" style="133"/>
    <col min="15607" max="15607" width="33" style="133" customWidth="1"/>
    <col min="15608" max="15608" width="17.42578125" style="133" customWidth="1"/>
    <col min="15609" max="15609" width="17.140625" style="133" customWidth="1"/>
    <col min="15610" max="15610" width="16" style="133" customWidth="1"/>
    <col min="15611" max="15611" width="16.5703125" style="133" customWidth="1"/>
    <col min="15612" max="15612" width="16.28515625" style="133" customWidth="1"/>
    <col min="15613" max="15613" width="18.28515625" style="133" customWidth="1"/>
    <col min="15614" max="15614" width="17.42578125" style="133" customWidth="1"/>
    <col min="15615" max="15615" width="15.85546875" style="133" customWidth="1"/>
    <col min="15616" max="15616" width="17" style="133" customWidth="1"/>
    <col min="15617" max="15617" width="19.7109375" style="133" customWidth="1"/>
    <col min="15618" max="15618" width="17.28515625" style="133" customWidth="1"/>
    <col min="15619" max="15619" width="18.140625" style="133" customWidth="1"/>
    <col min="15620" max="15620" width="21.7109375" style="133" customWidth="1"/>
    <col min="15621" max="15621" width="0.42578125" style="133" customWidth="1"/>
    <col min="15622" max="15622" width="16.140625" style="133" bestFit="1" customWidth="1"/>
    <col min="15623" max="15623" width="11.5703125" style="133" bestFit="1" customWidth="1"/>
    <col min="15624" max="15862" width="9.140625" style="133"/>
    <col min="15863" max="15863" width="33" style="133" customWidth="1"/>
    <col min="15864" max="15864" width="17.42578125" style="133" customWidth="1"/>
    <col min="15865" max="15865" width="17.140625" style="133" customWidth="1"/>
    <col min="15866" max="15866" width="16" style="133" customWidth="1"/>
    <col min="15867" max="15867" width="16.5703125" style="133" customWidth="1"/>
    <col min="15868" max="15868" width="16.28515625" style="133" customWidth="1"/>
    <col min="15869" max="15869" width="18.28515625" style="133" customWidth="1"/>
    <col min="15870" max="15870" width="17.42578125" style="133" customWidth="1"/>
    <col min="15871" max="15871" width="15.85546875" style="133" customWidth="1"/>
    <col min="15872" max="15872" width="17" style="133" customWidth="1"/>
    <col min="15873" max="15873" width="19.7109375" style="133" customWidth="1"/>
    <col min="15874" max="15874" width="17.28515625" style="133" customWidth="1"/>
    <col min="15875" max="15875" width="18.140625" style="133" customWidth="1"/>
    <col min="15876" max="15876" width="21.7109375" style="133" customWidth="1"/>
    <col min="15877" max="15877" width="0.42578125" style="133" customWidth="1"/>
    <col min="15878" max="15878" width="16.140625" style="133" bestFit="1" customWidth="1"/>
    <col min="15879" max="15879" width="11.5703125" style="133" bestFit="1" customWidth="1"/>
    <col min="15880" max="16118" width="9.140625" style="133"/>
    <col min="16119" max="16119" width="33" style="133" customWidth="1"/>
    <col min="16120" max="16120" width="17.42578125" style="133" customWidth="1"/>
    <col min="16121" max="16121" width="17.140625" style="133" customWidth="1"/>
    <col min="16122" max="16122" width="16" style="133" customWidth="1"/>
    <col min="16123" max="16123" width="16.5703125" style="133" customWidth="1"/>
    <col min="16124" max="16124" width="16.28515625" style="133" customWidth="1"/>
    <col min="16125" max="16125" width="18.28515625" style="133" customWidth="1"/>
    <col min="16126" max="16126" width="17.42578125" style="133" customWidth="1"/>
    <col min="16127" max="16127" width="15.85546875" style="133" customWidth="1"/>
    <col min="16128" max="16128" width="17" style="133" customWidth="1"/>
    <col min="16129" max="16129" width="19.7109375" style="133" customWidth="1"/>
    <col min="16130" max="16130" width="17.28515625" style="133" customWidth="1"/>
    <col min="16131" max="16131" width="18.140625" style="133" customWidth="1"/>
    <col min="16132" max="16132" width="21.7109375" style="133" customWidth="1"/>
    <col min="16133" max="16133" width="0.42578125" style="133" customWidth="1"/>
    <col min="16134" max="16134" width="16.140625" style="133" bestFit="1" customWidth="1"/>
    <col min="16135" max="16135" width="11.5703125" style="133" bestFit="1" customWidth="1"/>
    <col min="16136" max="16384" width="9.140625" style="133"/>
  </cols>
  <sheetData>
    <row r="1" spans="1:7" x14ac:dyDescent="0.25">
      <c r="B1" s="135" t="s">
        <v>85</v>
      </c>
    </row>
    <row r="2" spans="1:7" x14ac:dyDescent="0.25">
      <c r="A2" s="39"/>
      <c r="B2" s="135" t="s">
        <v>160</v>
      </c>
      <c r="C2" s="134"/>
      <c r="D2" s="134"/>
      <c r="E2" s="134"/>
    </row>
    <row r="3" spans="1:7" x14ac:dyDescent="0.25">
      <c r="A3" s="39"/>
      <c r="B3" s="135" t="s">
        <v>161</v>
      </c>
      <c r="C3" s="39"/>
      <c r="D3" s="39"/>
      <c r="E3" s="39"/>
      <c r="F3" s="39"/>
    </row>
    <row r="4" spans="1:7" ht="25.5" customHeight="1" x14ac:dyDescent="0.25">
      <c r="A4" s="482"/>
      <c r="B4" s="482"/>
      <c r="C4" s="482"/>
      <c r="D4" s="482"/>
      <c r="E4" s="482"/>
      <c r="F4" s="482"/>
    </row>
    <row r="5" spans="1:7" x14ac:dyDescent="0.25">
      <c r="A5" s="483" t="s">
        <v>180</v>
      </c>
      <c r="B5" s="484"/>
      <c r="C5" s="484"/>
      <c r="D5" s="484"/>
      <c r="E5" s="484"/>
      <c r="F5" s="485"/>
    </row>
    <row r="6" spans="1:7" x14ac:dyDescent="0.25">
      <c r="A6" s="135"/>
      <c r="B6" s="135"/>
      <c r="C6" s="135"/>
      <c r="D6" s="135"/>
      <c r="E6" s="135"/>
      <c r="F6" s="135"/>
    </row>
    <row r="7" spans="1:7" ht="20.100000000000001" customHeight="1" x14ac:dyDescent="0.25">
      <c r="A7" s="136" t="s">
        <v>179</v>
      </c>
      <c r="B7" s="42">
        <v>44197</v>
      </c>
      <c r="C7" s="42">
        <v>44228</v>
      </c>
      <c r="D7" s="42">
        <v>44256</v>
      </c>
      <c r="E7" s="42">
        <v>44287</v>
      </c>
      <c r="F7" s="43" t="s">
        <v>1</v>
      </c>
    </row>
    <row r="8" spans="1:7" ht="20.100000000000001" customHeight="1" x14ac:dyDescent="0.25">
      <c r="A8" s="132" t="s">
        <v>162</v>
      </c>
      <c r="B8" s="45">
        <v>2155137.62</v>
      </c>
      <c r="C8" s="45">
        <v>2633786</v>
      </c>
      <c r="D8" s="45">
        <v>2430955.73</v>
      </c>
      <c r="E8" s="45">
        <v>2465434.13</v>
      </c>
      <c r="F8" s="46">
        <f t="shared" ref="F8:F13" si="0">SUM(B8:E8)</f>
        <v>9685313.4800000004</v>
      </c>
    </row>
    <row r="9" spans="1:7" ht="20.100000000000001" customHeight="1" x14ac:dyDescent="0.25">
      <c r="A9" s="132" t="s">
        <v>163</v>
      </c>
      <c r="B9" s="45">
        <v>0</v>
      </c>
      <c r="C9" s="45">
        <v>0</v>
      </c>
      <c r="D9" s="45">
        <v>0</v>
      </c>
      <c r="E9" s="45">
        <v>0</v>
      </c>
      <c r="F9" s="46">
        <f t="shared" si="0"/>
        <v>0</v>
      </c>
      <c r="G9" s="47"/>
    </row>
    <row r="10" spans="1:7" ht="20.100000000000001" customHeight="1" x14ac:dyDescent="0.25">
      <c r="A10" s="132" t="s">
        <v>166</v>
      </c>
      <c r="B10" s="45">
        <f>180515.91</f>
        <v>180515.91</v>
      </c>
      <c r="C10" s="45">
        <v>229527.05</v>
      </c>
      <c r="D10" s="45">
        <v>243094.13</v>
      </c>
      <c r="E10" s="45">
        <v>207615.02</v>
      </c>
      <c r="F10" s="46">
        <f t="shared" si="0"/>
        <v>860752.11</v>
      </c>
      <c r="G10" s="114"/>
    </row>
    <row r="11" spans="1:7" ht="20.100000000000001" customHeight="1" x14ac:dyDescent="0.25">
      <c r="A11" s="132" t="s">
        <v>164</v>
      </c>
      <c r="B11" s="45">
        <v>0</v>
      </c>
      <c r="C11" s="45">
        <v>0</v>
      </c>
      <c r="D11" s="45">
        <v>0</v>
      </c>
      <c r="E11" s="45">
        <v>0</v>
      </c>
      <c r="F11" s="46">
        <f t="shared" si="0"/>
        <v>0</v>
      </c>
      <c r="G11" s="114"/>
    </row>
    <row r="12" spans="1:7" ht="20.100000000000001" customHeight="1" x14ac:dyDescent="0.25">
      <c r="A12" s="132" t="s">
        <v>168</v>
      </c>
      <c r="B12" s="45">
        <v>0</v>
      </c>
      <c r="C12" s="45">
        <f>12285.54+595.12</f>
        <v>12880.660000000002</v>
      </c>
      <c r="D12" s="45">
        <f>12285.54+595.12</f>
        <v>12880.660000000002</v>
      </c>
      <c r="E12" s="45">
        <f>12285.54+595.12</f>
        <v>12880.660000000002</v>
      </c>
      <c r="F12" s="46">
        <f t="shared" si="0"/>
        <v>38641.980000000003</v>
      </c>
      <c r="G12" s="114"/>
    </row>
    <row r="13" spans="1:7" ht="19.5" customHeight="1" x14ac:dyDescent="0.25">
      <c r="A13" s="132" t="s">
        <v>165</v>
      </c>
      <c r="B13" s="45"/>
      <c r="C13" s="45"/>
      <c r="D13" s="45"/>
      <c r="E13" s="45"/>
      <c r="F13" s="46">
        <f t="shared" si="0"/>
        <v>0</v>
      </c>
      <c r="G13" s="114"/>
    </row>
    <row r="14" spans="1:7" ht="9.75" customHeight="1" x14ac:dyDescent="0.25">
      <c r="A14" s="44"/>
      <c r="B14" s="45"/>
      <c r="C14" s="45"/>
      <c r="D14" s="45"/>
      <c r="E14" s="45"/>
      <c r="F14" s="46"/>
      <c r="G14" s="114"/>
    </row>
    <row r="15" spans="1:7" s="156" customFormat="1" ht="19.5" customHeight="1" x14ac:dyDescent="0.25">
      <c r="A15" s="44" t="s">
        <v>167</v>
      </c>
      <c r="B15" s="46">
        <f>SUM(B8:B13)</f>
        <v>2335653.5300000003</v>
      </c>
      <c r="C15" s="46">
        <f>SUM(C8:C13)</f>
        <v>2876193.71</v>
      </c>
      <c r="D15" s="46">
        <f>SUM(D8:D13)</f>
        <v>2686930.52</v>
      </c>
      <c r="E15" s="46">
        <f>SUM(E8:E13)</f>
        <v>2685929.81</v>
      </c>
      <c r="F15" s="46">
        <f>SUM(F8:F13)</f>
        <v>10584707.57</v>
      </c>
      <c r="G15" s="155"/>
    </row>
    <row r="16" spans="1:7" ht="10.5" customHeight="1" x14ac:dyDescent="0.25">
      <c r="A16" s="44"/>
      <c r="B16" s="45"/>
      <c r="C16" s="45"/>
      <c r="D16" s="45"/>
      <c r="E16" s="45"/>
      <c r="F16" s="46"/>
      <c r="G16" s="114"/>
    </row>
    <row r="17" spans="1:7" ht="20.100000000000001" customHeight="1" x14ac:dyDescent="0.25">
      <c r="A17" s="55" t="s">
        <v>186</v>
      </c>
      <c r="B17" s="131">
        <v>0</v>
      </c>
      <c r="C17" s="131">
        <v>0</v>
      </c>
      <c r="D17" s="131">
        <v>0</v>
      </c>
      <c r="E17" s="131">
        <v>0</v>
      </c>
      <c r="F17" s="46">
        <f>SUM(B17:E17)</f>
        <v>0</v>
      </c>
    </row>
    <row r="18" spans="1:7" ht="10.5" customHeight="1" x14ac:dyDescent="0.25">
      <c r="A18" s="55"/>
      <c r="B18" s="131"/>
      <c r="C18" s="131"/>
      <c r="D18" s="131"/>
      <c r="E18" s="131"/>
      <c r="F18" s="50"/>
    </row>
    <row r="19" spans="1:7" ht="20.100000000000001" customHeight="1" x14ac:dyDescent="0.25">
      <c r="A19" s="48" t="s">
        <v>178</v>
      </c>
      <c r="B19" s="48">
        <f>B15-B17</f>
        <v>2335653.5300000003</v>
      </c>
      <c r="C19" s="48">
        <f>C15-C17</f>
        <v>2876193.71</v>
      </c>
      <c r="D19" s="48">
        <f>D15-D17</f>
        <v>2686930.52</v>
      </c>
      <c r="E19" s="48">
        <f>E15-E17</f>
        <v>2685929.81</v>
      </c>
      <c r="F19" s="48">
        <f>F15-F17</f>
        <v>10584707.57</v>
      </c>
    </row>
    <row r="20" spans="1:7" ht="9" customHeight="1" x14ac:dyDescent="0.25">
      <c r="A20" s="48"/>
      <c r="B20" s="48"/>
      <c r="C20" s="48"/>
      <c r="D20" s="48"/>
      <c r="E20" s="48"/>
      <c r="F20" s="48"/>
    </row>
    <row r="21" spans="1:7" ht="20.100000000000001" customHeight="1" x14ac:dyDescent="0.25">
      <c r="A21" s="49" t="s">
        <v>176</v>
      </c>
      <c r="B21" s="49">
        <f>Receitas!B37</f>
        <v>0</v>
      </c>
      <c r="C21" s="49">
        <f>Receitas!C37</f>
        <v>0</v>
      </c>
      <c r="D21" s="49">
        <f>Receitas!D37</f>
        <v>0</v>
      </c>
      <c r="E21" s="49">
        <f>Receitas!E37</f>
        <v>0</v>
      </c>
      <c r="F21" s="157">
        <f>SUM(B21:E21)</f>
        <v>0</v>
      </c>
      <c r="G21" s="138"/>
    </row>
    <row r="22" spans="1:7" ht="9.75" customHeight="1" x14ac:dyDescent="0.25">
      <c r="A22" s="48"/>
      <c r="B22" s="48"/>
      <c r="C22" s="48"/>
      <c r="D22" s="48"/>
      <c r="E22" s="48"/>
      <c r="F22" s="50"/>
      <c r="G22" s="138"/>
    </row>
    <row r="23" spans="1:7" ht="20.100000000000001" customHeight="1" x14ac:dyDescent="0.25">
      <c r="A23" s="48" t="s">
        <v>86</v>
      </c>
      <c r="B23" s="53" t="e">
        <f>B19/B21</f>
        <v>#DIV/0!</v>
      </c>
      <c r="C23" s="53" t="e">
        <f>C19/C21</f>
        <v>#DIV/0!</v>
      </c>
      <c r="D23" s="53" t="e">
        <f>D19/D21</f>
        <v>#DIV/0!</v>
      </c>
      <c r="E23" s="53" t="e">
        <f>E19/E21</f>
        <v>#DIV/0!</v>
      </c>
      <c r="F23" s="53" t="e">
        <f>F19/F21</f>
        <v>#DIV/0!</v>
      </c>
    </row>
    <row r="24" spans="1:7" x14ac:dyDescent="0.25">
      <c r="D24" s="115"/>
    </row>
    <row r="25" spans="1:7" ht="26.25" customHeight="1" x14ac:dyDescent="0.3">
      <c r="B25" s="138"/>
      <c r="C25" s="138"/>
      <c r="D25" s="138"/>
      <c r="E25" s="138"/>
      <c r="F25" s="160" t="e">
        <f>F23</f>
        <v>#DIV/0!</v>
      </c>
    </row>
    <row r="26" spans="1:7" x14ac:dyDescent="0.25">
      <c r="A26" s="133" t="s">
        <v>183</v>
      </c>
      <c r="F26" s="51"/>
    </row>
    <row r="27" spans="1:7" x14ac:dyDescent="0.25">
      <c r="A27" s="72"/>
      <c r="F27" s="51"/>
    </row>
    <row r="28" spans="1:7" ht="16.5" customHeight="1" x14ac:dyDescent="0.25">
      <c r="A28" s="72"/>
    </row>
    <row r="29" spans="1:7" ht="16.5" customHeight="1" x14ac:dyDescent="0.25">
      <c r="A29" s="165" t="s">
        <v>184</v>
      </c>
    </row>
    <row r="30" spans="1:7" x14ac:dyDescent="0.25">
      <c r="A30" s="158" t="s">
        <v>185</v>
      </c>
    </row>
    <row r="31" spans="1:7" x14ac:dyDescent="0.25">
      <c r="A31" s="134"/>
    </row>
    <row r="32" spans="1:7" x14ac:dyDescent="0.25">
      <c r="A32" s="134"/>
    </row>
    <row r="33" spans="1:6" x14ac:dyDescent="0.25">
      <c r="A33" s="134"/>
      <c r="B33" s="51"/>
      <c r="C33" s="51"/>
      <c r="D33" s="51"/>
      <c r="E33" s="51"/>
    </row>
    <row r="34" spans="1:6" x14ac:dyDescent="0.25">
      <c r="A34" s="134"/>
      <c r="B34" s="51"/>
      <c r="C34" s="51"/>
      <c r="D34" s="51"/>
      <c r="E34" s="51"/>
    </row>
    <row r="35" spans="1:6" x14ac:dyDescent="0.25">
      <c r="A35" s="134"/>
      <c r="B35" s="141"/>
      <c r="C35" s="141"/>
      <c r="D35" s="141"/>
      <c r="E35" s="141"/>
    </row>
    <row r="41" spans="1:6" x14ac:dyDescent="0.25">
      <c r="F41" s="36"/>
    </row>
    <row r="42" spans="1:6" x14ac:dyDescent="0.25">
      <c r="F42" s="36"/>
    </row>
    <row r="43" spans="1:6" x14ac:dyDescent="0.25">
      <c r="F43" s="139"/>
    </row>
    <row r="44" spans="1:6" x14ac:dyDescent="0.25">
      <c r="B44" s="135" t="s">
        <v>85</v>
      </c>
    </row>
    <row r="45" spans="1:6" x14ac:dyDescent="0.25">
      <c r="A45" s="39"/>
      <c r="B45" s="135" t="s">
        <v>160</v>
      </c>
      <c r="C45" s="134"/>
      <c r="D45" s="134"/>
      <c r="E45" s="134"/>
    </row>
    <row r="46" spans="1:6" x14ac:dyDescent="0.25">
      <c r="A46" s="39"/>
      <c r="B46" s="135" t="s">
        <v>161</v>
      </c>
      <c r="C46" s="39"/>
      <c r="D46" s="39"/>
      <c r="E46" s="39"/>
      <c r="F46" s="39"/>
    </row>
    <row r="47" spans="1:6" x14ac:dyDescent="0.25">
      <c r="A47" s="482"/>
      <c r="B47" s="482"/>
      <c r="C47" s="482"/>
      <c r="D47" s="482"/>
      <c r="E47" s="482"/>
      <c r="F47" s="482"/>
    </row>
    <row r="48" spans="1:6" x14ac:dyDescent="0.25">
      <c r="A48" s="483" t="s">
        <v>182</v>
      </c>
      <c r="B48" s="484"/>
      <c r="C48" s="484"/>
      <c r="D48" s="484"/>
      <c r="E48" s="484"/>
      <c r="F48" s="485"/>
    </row>
    <row r="49" spans="1:12" x14ac:dyDescent="0.25">
      <c r="A49" s="135"/>
      <c r="B49" s="135"/>
      <c r="C49" s="135"/>
      <c r="D49" s="135"/>
      <c r="E49" s="135"/>
      <c r="F49" s="135"/>
    </row>
    <row r="50" spans="1:12" x14ac:dyDescent="0.25">
      <c r="A50" s="136" t="s">
        <v>179</v>
      </c>
      <c r="B50" s="42">
        <v>44197</v>
      </c>
      <c r="C50" s="42">
        <v>44228</v>
      </c>
      <c r="D50" s="42">
        <v>44256</v>
      </c>
      <c r="E50" s="42">
        <v>44287</v>
      </c>
      <c r="F50" s="43" t="s">
        <v>1</v>
      </c>
    </row>
    <row r="51" spans="1:12" x14ac:dyDescent="0.25">
      <c r="A51" s="132" t="s">
        <v>162</v>
      </c>
      <c r="B51" s="45">
        <f>2155137.62-93314.8</f>
        <v>2061822.82</v>
      </c>
      <c r="C51" s="45">
        <f>2633786-93314.8</f>
        <v>2540471.2000000002</v>
      </c>
      <c r="D51" s="45">
        <f>2430955.73-93314.8</f>
        <v>2337640.9300000002</v>
      </c>
      <c r="E51" s="45">
        <f>2465434.13-93314.8</f>
        <v>2372119.33</v>
      </c>
      <c r="F51" s="46">
        <f t="shared" ref="F51:F56" si="1">SUM(B51:E51)</f>
        <v>9312054.2800000012</v>
      </c>
    </row>
    <row r="52" spans="1:12" x14ac:dyDescent="0.25">
      <c r="A52" s="132" t="s">
        <v>163</v>
      </c>
      <c r="B52" s="45">
        <v>0</v>
      </c>
      <c r="C52" s="45">
        <v>0</v>
      </c>
      <c r="D52" s="45">
        <v>0</v>
      </c>
      <c r="E52" s="45">
        <v>0</v>
      </c>
      <c r="F52" s="46">
        <f t="shared" si="1"/>
        <v>0</v>
      </c>
    </row>
    <row r="53" spans="1:12" x14ac:dyDescent="0.25">
      <c r="A53" s="132" t="s">
        <v>166</v>
      </c>
      <c r="B53" s="45">
        <f>180515.91-20062.68</f>
        <v>160453.23000000001</v>
      </c>
      <c r="C53" s="45">
        <f>229527.05-20062.68</f>
        <v>209464.37</v>
      </c>
      <c r="D53" s="45">
        <f>243094.13-20062.68</f>
        <v>223031.45</v>
      </c>
      <c r="E53" s="45">
        <f>207615.02-20062.68</f>
        <v>187552.34</v>
      </c>
      <c r="F53" s="46">
        <f t="shared" si="1"/>
        <v>780501.39</v>
      </c>
    </row>
    <row r="54" spans="1:12" x14ac:dyDescent="0.25">
      <c r="A54" s="132" t="s">
        <v>164</v>
      </c>
      <c r="B54" s="45">
        <v>0</v>
      </c>
      <c r="C54" s="45">
        <v>0</v>
      </c>
      <c r="D54" s="45">
        <v>0</v>
      </c>
      <c r="E54" s="45">
        <v>0</v>
      </c>
      <c r="F54" s="46">
        <f t="shared" si="1"/>
        <v>0</v>
      </c>
    </row>
    <row r="55" spans="1:12" x14ac:dyDescent="0.25">
      <c r="A55" s="132" t="s">
        <v>168</v>
      </c>
      <c r="B55" s="45">
        <v>0</v>
      </c>
      <c r="C55" s="45">
        <f>12285.54+595.12</f>
        <v>12880.660000000002</v>
      </c>
      <c r="D55" s="45">
        <f>12285.54+595.12</f>
        <v>12880.660000000002</v>
      </c>
      <c r="E55" s="45">
        <f>12285.54+595.12</f>
        <v>12880.660000000002</v>
      </c>
      <c r="F55" s="46">
        <f t="shared" si="1"/>
        <v>38641.980000000003</v>
      </c>
    </row>
    <row r="56" spans="1:12" x14ac:dyDescent="0.25">
      <c r="A56" s="132" t="s">
        <v>165</v>
      </c>
      <c r="B56" s="45"/>
      <c r="C56" s="45"/>
      <c r="D56" s="45"/>
      <c r="E56" s="45"/>
      <c r="F56" s="46">
        <f t="shared" si="1"/>
        <v>0</v>
      </c>
    </row>
    <row r="57" spans="1:12" x14ac:dyDescent="0.25">
      <c r="A57" s="44"/>
      <c r="B57" s="161"/>
      <c r="C57" s="161"/>
      <c r="D57" s="161"/>
      <c r="E57" s="161"/>
      <c r="F57" s="46"/>
    </row>
    <row r="58" spans="1:12" x14ac:dyDescent="0.25">
      <c r="A58" s="44" t="s">
        <v>167</v>
      </c>
      <c r="B58" s="46">
        <f>SUM(B51:B56)</f>
        <v>2222276.0500000003</v>
      </c>
      <c r="C58" s="46">
        <f>SUM(C51:C56)</f>
        <v>2762816.2300000004</v>
      </c>
      <c r="D58" s="46">
        <f>SUM(D51:D56)</f>
        <v>2573553.0400000005</v>
      </c>
      <c r="E58" s="46">
        <f>SUM(E51:E56)</f>
        <v>2572552.33</v>
      </c>
      <c r="F58" s="46">
        <f>SUM(F51:F56)</f>
        <v>10131197.650000002</v>
      </c>
    </row>
    <row r="59" spans="1:12" x14ac:dyDescent="0.25">
      <c r="A59" s="44"/>
      <c r="B59" s="45"/>
      <c r="C59" s="45"/>
      <c r="D59" s="45"/>
      <c r="E59" s="45"/>
      <c r="F59" s="46"/>
    </row>
    <row r="60" spans="1:12" x14ac:dyDescent="0.25">
      <c r="A60" s="55" t="s">
        <v>186</v>
      </c>
      <c r="B60" s="131">
        <v>0</v>
      </c>
      <c r="C60" s="131">
        <v>0</v>
      </c>
      <c r="D60" s="131">
        <v>0</v>
      </c>
      <c r="E60" s="131">
        <v>0</v>
      </c>
      <c r="F60" s="46">
        <f>SUM(B60:E60)</f>
        <v>0</v>
      </c>
      <c r="H60" s="72"/>
      <c r="I60" s="72"/>
      <c r="J60" s="72"/>
      <c r="K60" s="72"/>
      <c r="L60" s="72"/>
    </row>
    <row r="61" spans="1:12" x14ac:dyDescent="0.25">
      <c r="A61" s="55"/>
      <c r="B61" s="131"/>
      <c r="C61" s="131"/>
      <c r="D61" s="131"/>
      <c r="E61" s="131"/>
      <c r="F61" s="50"/>
      <c r="H61" s="51">
        <v>93314.8</v>
      </c>
      <c r="I61" s="118">
        <f>H61</f>
        <v>93314.8</v>
      </c>
      <c r="J61" s="118">
        <f>I61</f>
        <v>93314.8</v>
      </c>
      <c r="K61" s="163">
        <f>J61</f>
        <v>93314.8</v>
      </c>
      <c r="L61" s="72"/>
    </row>
    <row r="62" spans="1:12" x14ac:dyDescent="0.25">
      <c r="A62" s="48" t="s">
        <v>178</v>
      </c>
      <c r="B62" s="48">
        <f>B58-B60</f>
        <v>2222276.0500000003</v>
      </c>
      <c r="C62" s="48">
        <f>C58-C60</f>
        <v>2762816.2300000004</v>
      </c>
      <c r="D62" s="48">
        <f>D58-D60</f>
        <v>2573553.0400000005</v>
      </c>
      <c r="E62" s="48">
        <f>E58-E60</f>
        <v>2572552.33</v>
      </c>
      <c r="F62" s="48">
        <f>F58-F60</f>
        <v>10131197.650000002</v>
      </c>
      <c r="G62" s="137">
        <f>F19-F62</f>
        <v>453509.91999999806</v>
      </c>
      <c r="H62" s="41">
        <f>H61*21.5%</f>
        <v>20062.682000000001</v>
      </c>
      <c r="I62" s="41">
        <f t="shared" ref="I62:K62" si="2">I61*21.5%</f>
        <v>20062.682000000001</v>
      </c>
      <c r="J62" s="41">
        <f t="shared" si="2"/>
        <v>20062.682000000001</v>
      </c>
      <c r="K62" s="41">
        <f t="shared" si="2"/>
        <v>20062.682000000001</v>
      </c>
      <c r="L62" s="72"/>
    </row>
    <row r="63" spans="1:12" x14ac:dyDescent="0.25">
      <c r="A63" s="48"/>
      <c r="B63" s="48"/>
      <c r="C63" s="48"/>
      <c r="D63" s="48"/>
      <c r="E63" s="48"/>
      <c r="F63" s="48"/>
      <c r="H63" s="140"/>
      <c r="I63" s="36"/>
      <c r="J63" s="36"/>
      <c r="K63" s="41">
        <f>SUM(K61:K62)</f>
        <v>113377.482</v>
      </c>
    </row>
    <row r="64" spans="1:12" x14ac:dyDescent="0.25">
      <c r="A64" s="49" t="s">
        <v>176</v>
      </c>
      <c r="B64" s="49">
        <f>B21</f>
        <v>0</v>
      </c>
      <c r="C64" s="49">
        <f t="shared" ref="C64:E64" si="3">C21</f>
        <v>0</v>
      </c>
      <c r="D64" s="49">
        <f t="shared" si="3"/>
        <v>0</v>
      </c>
      <c r="E64" s="49">
        <f t="shared" si="3"/>
        <v>0</v>
      </c>
      <c r="F64" s="157">
        <f>SUM(B64:E64)</f>
        <v>0</v>
      </c>
    </row>
    <row r="65" spans="1:8" x14ac:dyDescent="0.25">
      <c r="A65" s="48"/>
      <c r="B65" s="48"/>
      <c r="C65" s="48"/>
      <c r="D65" s="48"/>
      <c r="E65" s="48"/>
      <c r="F65" s="50"/>
    </row>
    <row r="66" spans="1:8" x14ac:dyDescent="0.25">
      <c r="A66" s="48" t="s">
        <v>86</v>
      </c>
      <c r="B66" s="53" t="e">
        <f>B62/B64</f>
        <v>#DIV/0!</v>
      </c>
      <c r="C66" s="53" t="e">
        <f>C62/C64</f>
        <v>#DIV/0!</v>
      </c>
      <c r="D66" s="53" t="e">
        <f>D62/D64</f>
        <v>#DIV/0!</v>
      </c>
      <c r="E66" s="53" t="e">
        <f>E62/E64</f>
        <v>#DIV/0!</v>
      </c>
      <c r="F66" s="53" t="e">
        <f>F62/F64</f>
        <v>#DIV/0!</v>
      </c>
      <c r="G66" s="137">
        <f>G62/4</f>
        <v>113377.47999999952</v>
      </c>
      <c r="H66" s="137">
        <f>G66*13.3</f>
        <v>1507920.4839999937</v>
      </c>
    </row>
    <row r="67" spans="1:8" x14ac:dyDescent="0.25">
      <c r="D67" s="115"/>
    </row>
    <row r="68" spans="1:8" ht="20.25" x14ac:dyDescent="0.3">
      <c r="B68" s="138"/>
      <c r="C68" s="138"/>
      <c r="D68" s="138"/>
      <c r="E68" s="138"/>
      <c r="F68" s="160" t="e">
        <f>F66</f>
        <v>#DIV/0!</v>
      </c>
      <c r="G68" s="164" t="e">
        <f>F25-F68</f>
        <v>#DIV/0!</v>
      </c>
    </row>
    <row r="69" spans="1:8" x14ac:dyDescent="0.25">
      <c r="A69" s="133" t="s">
        <v>183</v>
      </c>
    </row>
    <row r="70" spans="1:8" s="72" customFormat="1" ht="15" x14ac:dyDescent="0.2"/>
    <row r="71" spans="1:8" s="72" customFormat="1" ht="15" x14ac:dyDescent="0.2"/>
    <row r="72" spans="1:8" s="72" customFormat="1" ht="15" x14ac:dyDescent="0.2">
      <c r="A72" s="165" t="s">
        <v>184</v>
      </c>
    </row>
    <row r="73" spans="1:8" x14ac:dyDescent="0.25">
      <c r="A73" s="158" t="s">
        <v>185</v>
      </c>
    </row>
    <row r="78" spans="1:8" ht="15.75" customHeight="1" x14ac:dyDescent="0.25">
      <c r="A78" s="499" t="s">
        <v>187</v>
      </c>
      <c r="B78" s="499"/>
      <c r="C78" s="499"/>
      <c r="D78" s="499"/>
      <c r="E78" s="499"/>
      <c r="F78" s="499"/>
    </row>
    <row r="79" spans="1:8" ht="43.5" customHeight="1" x14ac:dyDescent="0.25">
      <c r="A79" s="499"/>
      <c r="B79" s="499"/>
      <c r="C79" s="499"/>
      <c r="D79" s="499"/>
      <c r="E79" s="499"/>
      <c r="F79" s="499"/>
    </row>
    <row r="80" spans="1:8" x14ac:dyDescent="0.25">
      <c r="A80" s="166"/>
      <c r="B80" s="166"/>
      <c r="C80" s="166"/>
      <c r="D80" s="166"/>
      <c r="E80" s="166"/>
      <c r="F80" s="166"/>
    </row>
    <row r="81" spans="1:6" x14ac:dyDescent="0.25">
      <c r="A81" s="166"/>
      <c r="B81" s="166"/>
      <c r="C81" s="166"/>
      <c r="D81" s="166"/>
      <c r="E81" s="166"/>
      <c r="F81" s="166"/>
    </row>
    <row r="82" spans="1:6" x14ac:dyDescent="0.25">
      <c r="A82" s="166"/>
      <c r="B82" s="166"/>
      <c r="C82" s="166"/>
      <c r="D82" s="166"/>
      <c r="E82" s="166"/>
      <c r="F82" s="166"/>
    </row>
    <row r="83" spans="1:6" x14ac:dyDescent="0.25">
      <c r="A83" s="166"/>
      <c r="B83" s="166"/>
      <c r="C83" s="166"/>
      <c r="D83" s="166"/>
      <c r="E83" s="166"/>
      <c r="F83" s="166"/>
    </row>
    <row r="84" spans="1:6" x14ac:dyDescent="0.25">
      <c r="A84" s="166"/>
      <c r="B84" s="166"/>
      <c r="C84" s="166"/>
      <c r="D84" s="166"/>
      <c r="E84" s="166"/>
      <c r="F84" s="166"/>
    </row>
    <row r="91" spans="1:6" x14ac:dyDescent="0.25">
      <c r="B91" s="135" t="s">
        <v>85</v>
      </c>
    </row>
    <row r="92" spans="1:6" x14ac:dyDescent="0.25">
      <c r="A92" s="39"/>
      <c r="B92" s="135" t="s">
        <v>160</v>
      </c>
      <c r="C92" s="134"/>
      <c r="D92" s="134"/>
      <c r="E92" s="134"/>
    </row>
    <row r="93" spans="1:6" x14ac:dyDescent="0.25">
      <c r="A93" s="39"/>
      <c r="B93" s="135" t="s">
        <v>161</v>
      </c>
      <c r="C93" s="39"/>
      <c r="D93" s="39"/>
      <c r="E93" s="39"/>
      <c r="F93" s="39"/>
    </row>
    <row r="94" spans="1:6" x14ac:dyDescent="0.25">
      <c r="A94" s="482"/>
      <c r="B94" s="482"/>
      <c r="C94" s="482"/>
      <c r="D94" s="482"/>
      <c r="E94" s="482"/>
      <c r="F94" s="482"/>
    </row>
    <row r="95" spans="1:6" x14ac:dyDescent="0.25">
      <c r="A95" s="483" t="s">
        <v>181</v>
      </c>
      <c r="B95" s="484"/>
      <c r="C95" s="484"/>
      <c r="D95" s="484"/>
      <c r="E95" s="484"/>
      <c r="F95" s="485"/>
    </row>
    <row r="96" spans="1:6" x14ac:dyDescent="0.25">
      <c r="A96" s="135"/>
      <c r="B96" s="135"/>
      <c r="C96" s="135"/>
      <c r="D96" s="135"/>
      <c r="E96" s="135"/>
      <c r="F96" s="135"/>
    </row>
    <row r="97" spans="1:11" x14ac:dyDescent="0.25">
      <c r="A97" s="136" t="s">
        <v>179</v>
      </c>
      <c r="B97" s="42">
        <v>44197</v>
      </c>
      <c r="C97" s="42">
        <v>44228</v>
      </c>
      <c r="D97" s="42">
        <v>44256</v>
      </c>
      <c r="E97" s="42">
        <v>44287</v>
      </c>
      <c r="F97" s="43" t="s">
        <v>1</v>
      </c>
    </row>
    <row r="98" spans="1:11" x14ac:dyDescent="0.25">
      <c r="A98" s="132" t="s">
        <v>162</v>
      </c>
      <c r="B98" s="45">
        <f>2155137.62-93314.8</f>
        <v>2061822.82</v>
      </c>
      <c r="C98" s="45">
        <f>2633786-93314.8</f>
        <v>2540471.2000000002</v>
      </c>
      <c r="D98" s="45">
        <f>2430955.73-93314.8</f>
        <v>2337640.9300000002</v>
      </c>
      <c r="E98" s="45">
        <f>2465434.13-93314.8</f>
        <v>2372119.33</v>
      </c>
      <c r="F98" s="46">
        <f t="shared" ref="F98:F103" si="4">SUM(B98:E98)</f>
        <v>9312054.2800000012</v>
      </c>
    </row>
    <row r="99" spans="1:11" x14ac:dyDescent="0.25">
      <c r="A99" s="132" t="s">
        <v>163</v>
      </c>
      <c r="B99" s="45">
        <v>0</v>
      </c>
      <c r="C99" s="45">
        <v>0</v>
      </c>
      <c r="D99" s="45">
        <v>0</v>
      </c>
      <c r="E99" s="45">
        <v>0</v>
      </c>
      <c r="F99" s="46">
        <f t="shared" si="4"/>
        <v>0</v>
      </c>
    </row>
    <row r="100" spans="1:11" x14ac:dyDescent="0.25">
      <c r="A100" s="132" t="s">
        <v>166</v>
      </c>
      <c r="B100" s="45">
        <f>180515.91-7816.12</f>
        <v>172699.79</v>
      </c>
      <c r="C100" s="45">
        <f>229527.05-8132.12</f>
        <v>221394.93</v>
      </c>
      <c r="D100" s="45">
        <f>243094.13-9331.42</f>
        <v>233762.71</v>
      </c>
      <c r="E100" s="45">
        <f>207615.02-7858.07</f>
        <v>199756.94999999998</v>
      </c>
      <c r="F100" s="46">
        <f t="shared" si="4"/>
        <v>827614.37999999989</v>
      </c>
    </row>
    <row r="101" spans="1:11" x14ac:dyDescent="0.25">
      <c r="A101" s="132" t="s">
        <v>164</v>
      </c>
      <c r="B101" s="45">
        <v>0</v>
      </c>
      <c r="C101" s="45">
        <v>0</v>
      </c>
      <c r="D101" s="45">
        <v>0</v>
      </c>
      <c r="E101" s="45">
        <v>0</v>
      </c>
      <c r="F101" s="46">
        <f t="shared" si="4"/>
        <v>0</v>
      </c>
    </row>
    <row r="102" spans="1:11" x14ac:dyDescent="0.25">
      <c r="A102" s="132" t="s">
        <v>168</v>
      </c>
      <c r="B102" s="45">
        <v>0</v>
      </c>
      <c r="C102" s="45">
        <f>12285.54+595.12</f>
        <v>12880.660000000002</v>
      </c>
      <c r="D102" s="45">
        <f>12285.54+595.12</f>
        <v>12880.660000000002</v>
      </c>
      <c r="E102" s="45">
        <f>12285.54+595.12</f>
        <v>12880.660000000002</v>
      </c>
      <c r="F102" s="46">
        <f t="shared" si="4"/>
        <v>38641.980000000003</v>
      </c>
    </row>
    <row r="103" spans="1:11" x14ac:dyDescent="0.25">
      <c r="A103" s="132" t="s">
        <v>165</v>
      </c>
      <c r="B103" s="45"/>
      <c r="C103" s="45"/>
      <c r="D103" s="45"/>
      <c r="E103" s="45"/>
      <c r="F103" s="46">
        <f t="shared" si="4"/>
        <v>0</v>
      </c>
    </row>
    <row r="104" spans="1:11" x14ac:dyDescent="0.25">
      <c r="A104" s="44"/>
      <c r="B104" s="161"/>
      <c r="C104" s="161"/>
      <c r="D104" s="161"/>
      <c r="E104" s="161"/>
      <c r="F104" s="46"/>
      <c r="H104" s="159">
        <f>B10/B8</f>
        <v>8.37607345001012E-2</v>
      </c>
      <c r="I104" s="159">
        <f>C10/C8</f>
        <v>8.7147190394360058E-2</v>
      </c>
      <c r="J104" s="159">
        <f>D10/D8</f>
        <v>9.9999406406302602E-2</v>
      </c>
      <c r="K104" s="159">
        <f>E10/E8</f>
        <v>8.4210329318350111E-2</v>
      </c>
    </row>
    <row r="105" spans="1:11" x14ac:dyDescent="0.25">
      <c r="A105" s="44" t="s">
        <v>167</v>
      </c>
      <c r="B105" s="46">
        <f>SUM(B98:B103)</f>
        <v>2234522.61</v>
      </c>
      <c r="C105" s="46">
        <f>SUM(C98:C103)</f>
        <v>2774746.7900000005</v>
      </c>
      <c r="D105" s="46">
        <f>SUM(D98:D103)</f>
        <v>2584284.3000000003</v>
      </c>
      <c r="E105" s="46">
        <f>SUM(E98:E103)</f>
        <v>2584756.9400000004</v>
      </c>
      <c r="F105" s="46">
        <f>SUM(F98:F103)</f>
        <v>10178310.640000001</v>
      </c>
      <c r="H105" s="51"/>
      <c r="I105" s="139"/>
      <c r="J105" s="139"/>
      <c r="K105" s="51"/>
    </row>
    <row r="106" spans="1:11" x14ac:dyDescent="0.25">
      <c r="A106" s="44"/>
      <c r="B106" s="45"/>
      <c r="C106" s="45"/>
      <c r="D106" s="45"/>
      <c r="E106" s="45"/>
      <c r="F106" s="46"/>
      <c r="H106" s="41"/>
      <c r="I106" s="36"/>
      <c r="J106" s="36"/>
      <c r="K106" s="41"/>
    </row>
    <row r="107" spans="1:11" x14ac:dyDescent="0.25">
      <c r="A107" s="55" t="s">
        <v>101</v>
      </c>
      <c r="B107" s="131">
        <v>0</v>
      </c>
      <c r="C107" s="131">
        <v>0</v>
      </c>
      <c r="D107" s="131">
        <v>0</v>
      </c>
      <c r="E107" s="131">
        <v>0</v>
      </c>
      <c r="F107" s="46">
        <f>SUM(B107:E107)</f>
        <v>0</v>
      </c>
      <c r="H107" s="140"/>
      <c r="I107" s="36"/>
      <c r="J107" s="36"/>
      <c r="K107" s="41"/>
    </row>
    <row r="108" spans="1:11" x14ac:dyDescent="0.25">
      <c r="A108" s="55"/>
      <c r="B108" s="131"/>
      <c r="C108" s="131"/>
      <c r="D108" s="131"/>
      <c r="E108" s="131"/>
      <c r="F108" s="50"/>
      <c r="H108" s="51">
        <v>93314.8</v>
      </c>
      <c r="I108" s="36">
        <f>H108</f>
        <v>93314.8</v>
      </c>
      <c r="J108" s="36">
        <f>I108</f>
        <v>93314.8</v>
      </c>
      <c r="K108" s="163">
        <f>J108</f>
        <v>93314.8</v>
      </c>
    </row>
    <row r="109" spans="1:11" x14ac:dyDescent="0.25">
      <c r="A109" s="48" t="s">
        <v>178</v>
      </c>
      <c r="B109" s="48">
        <f>B105-B107</f>
        <v>2234522.61</v>
      </c>
      <c r="C109" s="48">
        <f>C105-C107</f>
        <v>2774746.7900000005</v>
      </c>
      <c r="D109" s="48">
        <f>D105-D107</f>
        <v>2584284.3000000003</v>
      </c>
      <c r="E109" s="48">
        <f>E105-E107</f>
        <v>2584756.9400000004</v>
      </c>
      <c r="F109" s="48">
        <f>F105-F107</f>
        <v>10178310.640000001</v>
      </c>
      <c r="G109" s="137">
        <f>F19-F109</f>
        <v>406396.9299999997</v>
      </c>
      <c r="H109" s="162">
        <f>H104</f>
        <v>8.37607345001012E-2</v>
      </c>
      <c r="I109" s="162">
        <f t="shared" ref="I109:K109" si="5">I104</f>
        <v>8.7147190394360058E-2</v>
      </c>
      <c r="J109" s="162">
        <f t="shared" si="5"/>
        <v>9.9999406406302602E-2</v>
      </c>
      <c r="K109" s="162">
        <f t="shared" si="5"/>
        <v>8.4210329318350111E-2</v>
      </c>
    </row>
    <row r="110" spans="1:11" x14ac:dyDescent="0.25">
      <c r="A110" s="48"/>
      <c r="B110" s="48"/>
      <c r="C110" s="48"/>
      <c r="D110" s="48"/>
      <c r="E110" s="48"/>
      <c r="F110" s="48"/>
      <c r="H110" s="51">
        <f>H108*H109</f>
        <v>7816.1161877300437</v>
      </c>
      <c r="I110" s="51">
        <f>I108*I109</f>
        <v>8132.1226422116306</v>
      </c>
      <c r="J110" s="51">
        <f t="shared" ref="J110:K110" si="6">J108*J109</f>
        <v>9331.4246089228454</v>
      </c>
      <c r="K110" s="51">
        <f t="shared" si="6"/>
        <v>7858.0700382759769</v>
      </c>
    </row>
    <row r="111" spans="1:11" x14ac:dyDescent="0.25">
      <c r="A111" s="49" t="s">
        <v>176</v>
      </c>
      <c r="B111" s="49">
        <f>B21</f>
        <v>0</v>
      </c>
      <c r="C111" s="49">
        <f>C21</f>
        <v>0</v>
      </c>
      <c r="D111" s="49">
        <f>D21</f>
        <v>0</v>
      </c>
      <c r="E111" s="49">
        <f>E21</f>
        <v>0</v>
      </c>
      <c r="F111" s="157">
        <f>SUM(B111:E111)</f>
        <v>0</v>
      </c>
    </row>
    <row r="112" spans="1:11" x14ac:dyDescent="0.25">
      <c r="A112" s="48"/>
      <c r="B112" s="48"/>
      <c r="C112" s="48"/>
      <c r="D112" s="48"/>
      <c r="E112" s="48"/>
      <c r="F112" s="50"/>
    </row>
    <row r="113" spans="1:8" x14ac:dyDescent="0.25">
      <c r="A113" s="48" t="s">
        <v>86</v>
      </c>
      <c r="B113" s="53" t="e">
        <f>B109/B111</f>
        <v>#DIV/0!</v>
      </c>
      <c r="C113" s="53" t="e">
        <f>C109/C111</f>
        <v>#DIV/0!</v>
      </c>
      <c r="D113" s="53" t="e">
        <f>D109/D111</f>
        <v>#DIV/0!</v>
      </c>
      <c r="E113" s="53" t="e">
        <f>E109/E111</f>
        <v>#DIV/0!</v>
      </c>
      <c r="F113" s="53" t="e">
        <f>F109/F111</f>
        <v>#DIV/0!</v>
      </c>
      <c r="G113" s="137">
        <f>G109/4</f>
        <v>101599.23249999993</v>
      </c>
      <c r="H113" s="137">
        <f>G113*13.3</f>
        <v>1351269.792249999</v>
      </c>
    </row>
    <row r="114" spans="1:8" x14ac:dyDescent="0.25">
      <c r="D114" s="115"/>
    </row>
    <row r="115" spans="1:8" ht="20.25" x14ac:dyDescent="0.3">
      <c r="B115" s="138"/>
      <c r="C115" s="138"/>
      <c r="D115" s="138"/>
      <c r="E115" s="138"/>
      <c r="F115" s="160" t="e">
        <f>F113</f>
        <v>#DIV/0!</v>
      </c>
    </row>
  </sheetData>
  <mergeCells count="7">
    <mergeCell ref="A95:F95"/>
    <mergeCell ref="A47:F47"/>
    <mergeCell ref="A48:F48"/>
    <mergeCell ref="A78:F79"/>
    <mergeCell ref="A4:F4"/>
    <mergeCell ref="A5:F5"/>
    <mergeCell ref="A94:F94"/>
  </mergeCells>
  <pageMargins left="0.511811024" right="0.511811024" top="0.78740157499999996" bottom="0.78740157499999996" header="0.31496062000000002" footer="0.31496062000000002"/>
  <pageSetup paperSize="9" scale="69" orientation="landscape" horizontalDpi="360" verticalDpi="360" r:id="rId1"/>
  <rowBreaks count="1" manualBreakCount="1">
    <brk id="42" max="5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E7EC-CB49-4A1C-8D6D-255537C1811C}">
  <sheetPr>
    <pageSetUpPr fitToPage="1"/>
  </sheetPr>
  <dimension ref="A1:L38"/>
  <sheetViews>
    <sheetView zoomScaleNormal="100" workbookViewId="0">
      <selection activeCell="E34" sqref="E34"/>
    </sheetView>
  </sheetViews>
  <sheetFormatPr defaultRowHeight="12.75" x14ac:dyDescent="0.2"/>
  <cols>
    <col min="1" max="1" width="49.5703125" style="119" bestFit="1" customWidth="1"/>
    <col min="2" max="4" width="16.85546875" style="119" bestFit="1" customWidth="1"/>
    <col min="5" max="6" width="13.7109375" style="119" bestFit="1" customWidth="1"/>
    <col min="7" max="11" width="12.85546875" style="119" bestFit="1" customWidth="1"/>
    <col min="12" max="12" width="14" style="119" bestFit="1" customWidth="1"/>
    <col min="13" max="16384" width="9.140625" style="119"/>
  </cols>
  <sheetData>
    <row r="1" spans="1:12" x14ac:dyDescent="0.2">
      <c r="A1" s="502" t="s">
        <v>373</v>
      </c>
      <c r="B1" s="503"/>
      <c r="C1" s="503"/>
      <c r="D1" s="175"/>
      <c r="E1" s="175"/>
      <c r="F1" s="175"/>
      <c r="G1" s="175"/>
      <c r="H1" s="175"/>
      <c r="I1" s="175"/>
      <c r="J1" s="175"/>
      <c r="K1" s="175"/>
      <c r="L1" s="175"/>
    </row>
    <row r="2" spans="1:12" x14ac:dyDescent="0.2">
      <c r="A2" s="301"/>
      <c r="B2" s="301"/>
      <c r="C2" s="301"/>
      <c r="D2" s="175"/>
      <c r="E2" s="175"/>
      <c r="F2" s="175"/>
      <c r="G2" s="175"/>
      <c r="H2" s="175"/>
      <c r="I2" s="175"/>
      <c r="J2" s="175"/>
      <c r="K2" s="175"/>
      <c r="L2" s="175"/>
    </row>
    <row r="4" spans="1:12" x14ac:dyDescent="0.2">
      <c r="A4" s="504" t="s">
        <v>374</v>
      </c>
      <c r="B4" s="505"/>
      <c r="C4" s="506"/>
      <c r="D4" s="290"/>
      <c r="E4" s="290"/>
      <c r="F4" s="290"/>
      <c r="G4" s="290"/>
      <c r="H4" s="290"/>
      <c r="I4" s="290"/>
      <c r="J4" s="290"/>
      <c r="K4" s="292"/>
    </row>
    <row r="5" spans="1:12" x14ac:dyDescent="0.2">
      <c r="A5" s="319" t="s">
        <v>375</v>
      </c>
      <c r="B5" s="507"/>
      <c r="C5" s="507"/>
      <c r="D5" s="290"/>
      <c r="E5" s="290"/>
      <c r="F5" s="290"/>
      <c r="G5" s="290"/>
      <c r="H5" s="290"/>
      <c r="I5" s="290"/>
      <c r="J5" s="290"/>
      <c r="K5" s="292"/>
    </row>
    <row r="6" spans="1:12" x14ac:dyDescent="0.2">
      <c r="A6" s="293" t="s">
        <v>255</v>
      </c>
      <c r="B6" s="508">
        <f>Receitas!N46</f>
        <v>12387991.1</v>
      </c>
      <c r="C6" s="508"/>
      <c r="D6" s="290"/>
      <c r="E6" s="290"/>
      <c r="F6" s="290"/>
      <c r="G6" s="290"/>
      <c r="H6" s="290"/>
      <c r="I6" s="290"/>
      <c r="J6" s="290"/>
      <c r="K6" s="292"/>
    </row>
    <row r="7" spans="1:12" x14ac:dyDescent="0.2">
      <c r="A7" s="293" t="s">
        <v>252</v>
      </c>
      <c r="B7" s="508">
        <f>Receitas!N47</f>
        <v>50287.64</v>
      </c>
      <c r="C7" s="508"/>
      <c r="D7" s="290"/>
      <c r="E7" s="290"/>
      <c r="F7" s="290"/>
      <c r="G7" s="290"/>
      <c r="H7" s="290"/>
      <c r="I7" s="290"/>
      <c r="J7" s="290"/>
      <c r="K7" s="292"/>
    </row>
    <row r="8" spans="1:12" x14ac:dyDescent="0.2">
      <c r="A8" s="293" t="s">
        <v>253</v>
      </c>
      <c r="B8" s="508">
        <f>Receitas!N48</f>
        <v>4632130.83</v>
      </c>
      <c r="C8" s="508"/>
      <c r="D8" s="291"/>
      <c r="E8" s="291"/>
      <c r="F8" s="291"/>
      <c r="G8" s="291"/>
      <c r="H8" s="291"/>
      <c r="I8" s="291"/>
      <c r="J8" s="291"/>
      <c r="K8" s="291"/>
    </row>
    <row r="9" spans="1:12" x14ac:dyDescent="0.2">
      <c r="A9" s="293" t="s">
        <v>254</v>
      </c>
      <c r="B9" s="508">
        <f>Receitas!N51</f>
        <v>2078139.4999999998</v>
      </c>
      <c r="C9" s="508"/>
      <c r="D9" s="291"/>
      <c r="E9" s="291"/>
      <c r="F9" s="291"/>
      <c r="G9" s="291"/>
      <c r="H9" s="291"/>
      <c r="I9" s="291"/>
      <c r="J9" s="291"/>
      <c r="K9" s="291"/>
    </row>
    <row r="10" spans="1:12" x14ac:dyDescent="0.2">
      <c r="A10" s="294" t="s">
        <v>240</v>
      </c>
      <c r="B10" s="509">
        <f>SUM(B5:C9)</f>
        <v>19148549.07</v>
      </c>
      <c r="C10" s="509"/>
      <c r="D10" s="288"/>
      <c r="E10" s="288"/>
    </row>
    <row r="11" spans="1:12" x14ac:dyDescent="0.2">
      <c r="D11" s="121"/>
    </row>
    <row r="12" spans="1:12" ht="15" x14ac:dyDescent="0.25">
      <c r="A12" s="510" t="s">
        <v>376</v>
      </c>
      <c r="B12" s="510"/>
      <c r="C12" s="510"/>
      <c r="D12" s="175"/>
      <c r="E12" s="36"/>
      <c r="F12" s="175"/>
      <c r="G12" s="175"/>
      <c r="H12" s="175"/>
      <c r="I12" s="175"/>
      <c r="J12" s="175"/>
      <c r="K12" s="175"/>
      <c r="L12" s="175"/>
    </row>
    <row r="13" spans="1:12" ht="15" x14ac:dyDescent="0.25">
      <c r="A13" s="320"/>
      <c r="B13" s="321"/>
      <c r="C13" s="322"/>
      <c r="E13" s="36"/>
    </row>
    <row r="14" spans="1:12" x14ac:dyDescent="0.2">
      <c r="A14" s="318" t="s">
        <v>229</v>
      </c>
      <c r="B14" s="318" t="s">
        <v>231</v>
      </c>
      <c r="C14" s="318" t="s">
        <v>233</v>
      </c>
    </row>
    <row r="15" spans="1:12" x14ac:dyDescent="0.2">
      <c r="A15" s="295" t="s">
        <v>377</v>
      </c>
      <c r="B15" s="296">
        <v>0.7</v>
      </c>
      <c r="C15" s="297">
        <f>Educação!O44</f>
        <v>13714692.109999999</v>
      </c>
      <c r="D15" s="288"/>
    </row>
    <row r="16" spans="1:12" x14ac:dyDescent="0.2">
      <c r="A16" s="500" t="s">
        <v>249</v>
      </c>
      <c r="B16" s="501"/>
      <c r="C16" s="298">
        <f>SUM(C15:C15)</f>
        <v>13714692.109999999</v>
      </c>
      <c r="D16" s="121"/>
      <c r="H16" s="287"/>
    </row>
    <row r="17" spans="1:8" x14ac:dyDescent="0.2">
      <c r="A17" s="500" t="s">
        <v>235</v>
      </c>
      <c r="B17" s="501"/>
      <c r="C17" s="299">
        <f>(C16-B5)/B10</f>
        <v>0.71622617775708053</v>
      </c>
      <c r="D17" s="289"/>
      <c r="H17" s="287"/>
    </row>
    <row r="18" spans="1:8" x14ac:dyDescent="0.2">
      <c r="A18" s="323"/>
      <c r="B18" s="301"/>
      <c r="C18" s="324"/>
      <c r="H18" s="302"/>
    </row>
    <row r="19" spans="1:8" x14ac:dyDescent="0.2">
      <c r="A19" s="318" t="s">
        <v>229</v>
      </c>
      <c r="B19" s="318" t="s">
        <v>231</v>
      </c>
      <c r="C19" s="318" t="s">
        <v>233</v>
      </c>
      <c r="D19" s="289"/>
      <c r="E19" s="288"/>
      <c r="H19" s="287"/>
    </row>
    <row r="20" spans="1:8" x14ac:dyDescent="0.2">
      <c r="A20" s="295" t="s">
        <v>377</v>
      </c>
      <c r="B20" s="296">
        <v>0.3</v>
      </c>
      <c r="C20" s="300">
        <f>Educação!O49-Educação!O54</f>
        <v>4862524.8099999996</v>
      </c>
    </row>
    <row r="21" spans="1:8" x14ac:dyDescent="0.2">
      <c r="A21" s="295" t="s">
        <v>234</v>
      </c>
      <c r="B21" s="296">
        <v>0.3</v>
      </c>
      <c r="C21" s="300">
        <f>Educação!O54</f>
        <v>321997.74</v>
      </c>
    </row>
    <row r="22" spans="1:8" x14ac:dyDescent="0.2">
      <c r="A22" s="500" t="s">
        <v>250</v>
      </c>
      <c r="B22" s="501"/>
      <c r="C22" s="298">
        <f>SUM(C20:C21)</f>
        <v>5184522.55</v>
      </c>
      <c r="D22" s="288"/>
      <c r="E22" s="288"/>
      <c r="F22" s="288"/>
    </row>
    <row r="23" spans="1:8" x14ac:dyDescent="0.2">
      <c r="A23" s="500" t="s">
        <v>235</v>
      </c>
      <c r="B23" s="501"/>
      <c r="C23" s="299">
        <f>C22/B10</f>
        <v>0.27075276205248272</v>
      </c>
      <c r="D23" s="289"/>
    </row>
    <row r="26" spans="1:8" x14ac:dyDescent="0.2">
      <c r="A26" s="512" t="s">
        <v>243</v>
      </c>
      <c r="B26" s="512"/>
      <c r="C26" s="512"/>
    </row>
    <row r="27" spans="1:8" x14ac:dyDescent="0.2">
      <c r="A27" s="325"/>
      <c r="C27" s="326"/>
    </row>
    <row r="28" spans="1:8" x14ac:dyDescent="0.2">
      <c r="A28" s="242" t="s">
        <v>229</v>
      </c>
      <c r="B28" s="242" t="s">
        <v>231</v>
      </c>
      <c r="C28" s="242" t="s">
        <v>233</v>
      </c>
    </row>
    <row r="29" spans="1:8" x14ac:dyDescent="0.2">
      <c r="A29" s="303" t="s">
        <v>377</v>
      </c>
      <c r="B29" s="304" t="s">
        <v>236</v>
      </c>
      <c r="C29" s="305">
        <f>1004504.09+353767.16</f>
        <v>1358271.25</v>
      </c>
      <c r="D29" s="121"/>
    </row>
    <row r="30" spans="1:8" x14ac:dyDescent="0.2">
      <c r="A30" s="303" t="s">
        <v>378</v>
      </c>
      <c r="B30" s="304" t="s">
        <v>236</v>
      </c>
      <c r="C30" s="305">
        <f>2264968.61+203592.57</f>
        <v>2468561.1799999997</v>
      </c>
    </row>
    <row r="31" spans="1:8" x14ac:dyDescent="0.2">
      <c r="A31" s="512" t="s">
        <v>237</v>
      </c>
      <c r="B31" s="512"/>
      <c r="C31" s="306">
        <f>SUM(C29:C30)</f>
        <v>3826832.4299999997</v>
      </c>
    </row>
    <row r="34" spans="1:3" x14ac:dyDescent="0.2">
      <c r="A34" s="513" t="s">
        <v>239</v>
      </c>
      <c r="B34" s="513"/>
      <c r="C34" s="513"/>
    </row>
    <row r="35" spans="1:3" x14ac:dyDescent="0.2">
      <c r="A35" s="325"/>
      <c r="C35" s="326"/>
    </row>
    <row r="36" spans="1:3" ht="39" customHeight="1" x14ac:dyDescent="0.2">
      <c r="A36" s="511" t="s">
        <v>379</v>
      </c>
      <c r="B36" s="511"/>
      <c r="C36" s="511"/>
    </row>
    <row r="37" spans="1:3" x14ac:dyDescent="0.2">
      <c r="A37" s="325"/>
      <c r="C37" s="326"/>
    </row>
    <row r="38" spans="1:3" ht="27.75" customHeight="1" x14ac:dyDescent="0.2">
      <c r="A38" s="511" t="s">
        <v>380</v>
      </c>
      <c r="B38" s="511"/>
      <c r="C38" s="511"/>
    </row>
  </sheetData>
  <mergeCells count="18">
    <mergeCell ref="A38:C38"/>
    <mergeCell ref="A23:B23"/>
    <mergeCell ref="A26:C26"/>
    <mergeCell ref="A31:B31"/>
    <mergeCell ref="A34:C34"/>
    <mergeCell ref="A36:C36"/>
    <mergeCell ref="A22:B22"/>
    <mergeCell ref="A1:C1"/>
    <mergeCell ref="A4:C4"/>
    <mergeCell ref="B5:C5"/>
    <mergeCell ref="B6:C6"/>
    <mergeCell ref="B7:C7"/>
    <mergeCell ref="B8:C8"/>
    <mergeCell ref="B9:C9"/>
    <mergeCell ref="B10:C10"/>
    <mergeCell ref="A12:C12"/>
    <mergeCell ref="A16:B16"/>
    <mergeCell ref="A17:B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6</vt:i4>
      </vt:variant>
    </vt:vector>
  </HeadingPairs>
  <TitlesOfParts>
    <vt:vector size="19" baseType="lpstr">
      <vt:lpstr>Receitas</vt:lpstr>
      <vt:lpstr>Despesas</vt:lpstr>
      <vt:lpstr>Resumo Índices</vt:lpstr>
      <vt:lpstr>Pessoal 54%</vt:lpstr>
      <vt:lpstr>Saúde 15%</vt:lpstr>
      <vt:lpstr>Educação</vt:lpstr>
      <vt:lpstr>VAAT</vt:lpstr>
      <vt:lpstr>Resposta oficio</vt:lpstr>
      <vt:lpstr>Sec Educação 22</vt:lpstr>
      <vt:lpstr>´COMPARACAO</vt:lpstr>
      <vt:lpstr>Sec Educação 21</vt:lpstr>
      <vt:lpstr>RREO 8</vt:lpstr>
      <vt:lpstr>Planilha1</vt:lpstr>
      <vt:lpstr>Educação!Area_de_impressao</vt:lpstr>
      <vt:lpstr>'Pessoal 54%'!Area_de_impressao</vt:lpstr>
      <vt:lpstr>'Resposta oficio'!Area_de_impressao</vt:lpstr>
      <vt:lpstr>'Resumo Índices'!Area_de_impressao</vt:lpstr>
      <vt:lpstr>'Sec Educação 21'!Area_de_impressao</vt:lpstr>
      <vt:lpstr>'Sec Educação 22'!Area_de_impressao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Lopes Consultoria</cp:lastModifiedBy>
  <cp:lastPrinted>2023-01-24T12:55:37Z</cp:lastPrinted>
  <dcterms:created xsi:type="dcterms:W3CDTF">2014-11-30T22:34:26Z</dcterms:created>
  <dcterms:modified xsi:type="dcterms:W3CDTF">2025-05-07T19:57:10Z</dcterms:modified>
</cp:coreProperties>
</file>