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es Consultoria\Downloads\"/>
    </mc:Choice>
  </mc:AlternateContent>
  <xr:revisionPtr revIDLastSave="0" documentId="13_ncr:1_{E3575F49-4524-4431-91D2-871561C5029F}" xr6:coauthVersionLast="47" xr6:coauthVersionMax="47" xr10:uidLastSave="{00000000-0000-0000-0000-000000000000}"/>
  <bookViews>
    <workbookView xWindow="-120" yWindow="-120" windowWidth="20730" windowHeight="11160" tabRatio="874" activeTab="5" xr2:uid="{00000000-000D-0000-FFFF-FFFF00000000}"/>
  </bookViews>
  <sheets>
    <sheet name="Despesas" sheetId="57" r:id="rId1"/>
    <sheet name="RECEITAS" sheetId="22" r:id="rId2"/>
    <sheet name="Saúde 15%" sheetId="13" r:id="rId3"/>
    <sheet name="Educação" sheetId="12" r:id="rId4"/>
    <sheet name="Pessoal 54%" sheetId="41" r:id="rId5"/>
    <sheet name="Resumo Índices" sheetId="20" r:id="rId6"/>
    <sheet name="Controles FR" sheetId="58" r:id="rId7"/>
    <sheet name="Planilha2" sheetId="59" r:id="rId8"/>
    <sheet name="Resumo 2023" sheetId="60" r:id="rId9"/>
    <sheet name="Planilha1" sheetId="50" state="hidden" r:id="rId10"/>
  </sheets>
  <definedNames>
    <definedName name="_xlnm.Print_Area" localSheetId="6">'Controles FR'!$A$1:$K$51</definedName>
    <definedName name="_xlnm.Print_Area" localSheetId="3">Educação!$A$1:$T$57</definedName>
    <definedName name="_xlnm.Print_Area" localSheetId="4">'Pessoal 54%'!$A$1:$N$97</definedName>
    <definedName name="_xlnm.Print_Area" localSheetId="5">'Resumo Índices'!$A$1:$C$45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0" l="1"/>
  <c r="C26" i="20"/>
  <c r="C25" i="20"/>
  <c r="B26" i="20"/>
  <c r="B25" i="20"/>
  <c r="B8" i="20"/>
  <c r="M160" i="22"/>
  <c r="M38" i="41"/>
  <c r="M145" i="22"/>
  <c r="M149" i="22" s="1"/>
  <c r="L145" i="22"/>
  <c r="L149" i="22" s="1"/>
  <c r="K145" i="22"/>
  <c r="K149" i="22" s="1"/>
  <c r="J145" i="22"/>
  <c r="I145" i="22"/>
  <c r="I149" i="22" s="1"/>
  <c r="H145" i="22"/>
  <c r="H149" i="22" s="1"/>
  <c r="G145" i="22"/>
  <c r="G149" i="22" s="1"/>
  <c r="B145" i="22"/>
  <c r="C145" i="22"/>
  <c r="D145" i="22"/>
  <c r="E145" i="22"/>
  <c r="E149" i="22" s="1"/>
  <c r="F145" i="22"/>
  <c r="K164" i="22"/>
  <c r="K163" i="22"/>
  <c r="K159" i="22"/>
  <c r="K158" i="22"/>
  <c r="B154" i="22"/>
  <c r="F149" i="22"/>
  <c r="D149" i="22"/>
  <c r="C149" i="22"/>
  <c r="N147" i="22"/>
  <c r="M159" i="22" s="1"/>
  <c r="J149" i="22"/>
  <c r="N142" i="22"/>
  <c r="N141" i="22"/>
  <c r="M164" i="22" s="1"/>
  <c r="N140" i="22"/>
  <c r="G139" i="22"/>
  <c r="G143" i="22" s="1"/>
  <c r="F139" i="22"/>
  <c r="F143" i="22" s="1"/>
  <c r="N137" i="22"/>
  <c r="M135" i="22"/>
  <c r="M139" i="22" s="1"/>
  <c r="M143" i="22" s="1"/>
  <c r="L135" i="22"/>
  <c r="L139" i="22" s="1"/>
  <c r="L143" i="22" s="1"/>
  <c r="G135" i="22"/>
  <c r="F135" i="22"/>
  <c r="E135" i="22"/>
  <c r="E139" i="22" s="1"/>
  <c r="E143" i="22" s="1"/>
  <c r="D135" i="22"/>
  <c r="D139" i="22" s="1"/>
  <c r="D143" i="22" s="1"/>
  <c r="D151" i="22" s="1"/>
  <c r="M133" i="22"/>
  <c r="L133" i="22"/>
  <c r="K133" i="22"/>
  <c r="K135" i="22" s="1"/>
  <c r="K139" i="22" s="1"/>
  <c r="K143" i="22" s="1"/>
  <c r="J133" i="22"/>
  <c r="J135" i="22" s="1"/>
  <c r="J139" i="22" s="1"/>
  <c r="J143" i="22" s="1"/>
  <c r="J151" i="22" s="1"/>
  <c r="I133" i="22"/>
  <c r="I135" i="22" s="1"/>
  <c r="I139" i="22" s="1"/>
  <c r="I143" i="22" s="1"/>
  <c r="H133" i="22"/>
  <c r="H135" i="22" s="1"/>
  <c r="H139" i="22" s="1"/>
  <c r="H143" i="22" s="1"/>
  <c r="G133" i="22"/>
  <c r="F133" i="22"/>
  <c r="E133" i="22"/>
  <c r="D133" i="22"/>
  <c r="C133" i="22"/>
  <c r="C135" i="22" s="1"/>
  <c r="C139" i="22" s="1"/>
  <c r="C143" i="22" s="1"/>
  <c r="C151" i="22" s="1"/>
  <c r="B133" i="22"/>
  <c r="B135" i="22" s="1"/>
  <c r="B139" i="22" s="1"/>
  <c r="N132" i="22"/>
  <c r="N131" i="22"/>
  <c r="N130" i="22"/>
  <c r="N129" i="22"/>
  <c r="N128" i="22"/>
  <c r="C22" i="20"/>
  <c r="C21" i="20"/>
  <c r="B22" i="20"/>
  <c r="B21" i="20"/>
  <c r="B29" i="57"/>
  <c r="B28" i="57"/>
  <c r="B26" i="57"/>
  <c r="B24" i="57"/>
  <c r="B119" i="22"/>
  <c r="B118" i="22"/>
  <c r="B117" i="22"/>
  <c r="B116" i="22"/>
  <c r="B115" i="22"/>
  <c r="B113" i="22"/>
  <c r="B112" i="22"/>
  <c r="B111" i="22"/>
  <c r="B110" i="22"/>
  <c r="C31" i="20"/>
  <c r="C18" i="20"/>
  <c r="C17" i="20"/>
  <c r="C16" i="20"/>
  <c r="C15" i="20"/>
  <c r="C14" i="20"/>
  <c r="C13" i="20"/>
  <c r="B18" i="20"/>
  <c r="B17" i="20"/>
  <c r="B16" i="20"/>
  <c r="B15" i="20"/>
  <c r="B14" i="20"/>
  <c r="B13" i="20"/>
  <c r="B10" i="20"/>
  <c r="B9" i="20"/>
  <c r="S87" i="22"/>
  <c r="S5" i="57"/>
  <c r="S85" i="22"/>
  <c r="S83" i="22"/>
  <c r="S81" i="22"/>
  <c r="C101" i="22"/>
  <c r="C100" i="22"/>
  <c r="C99" i="22"/>
  <c r="D99" i="22" s="1"/>
  <c r="B99" i="22"/>
  <c r="C97" i="22"/>
  <c r="D97" i="22" s="1"/>
  <c r="B97" i="22"/>
  <c r="C95" i="22"/>
  <c r="B95" i="22"/>
  <c r="E95" i="22" s="1"/>
  <c r="A99" i="22"/>
  <c r="A97" i="22"/>
  <c r="A95" i="22"/>
  <c r="S79" i="22"/>
  <c r="S4" i="57"/>
  <c r="S3" i="57"/>
  <c r="S2" i="57"/>
  <c r="R4" i="57"/>
  <c r="R3" i="57"/>
  <c r="R2" i="57"/>
  <c r="M83" i="22"/>
  <c r="L83" i="22"/>
  <c r="K83" i="22"/>
  <c r="J83" i="22"/>
  <c r="I83" i="22"/>
  <c r="H83" i="22"/>
  <c r="G83" i="22"/>
  <c r="O15" i="57"/>
  <c r="O18" i="57"/>
  <c r="O24" i="57"/>
  <c r="O22" i="57"/>
  <c r="O21" i="57"/>
  <c r="O23" i="57" s="1"/>
  <c r="N18" i="57"/>
  <c r="M17" i="57"/>
  <c r="L17" i="57"/>
  <c r="K17" i="57"/>
  <c r="J17" i="57"/>
  <c r="I17" i="57"/>
  <c r="H17" i="57"/>
  <c r="G17" i="57"/>
  <c r="F17" i="57"/>
  <c r="E17" i="57"/>
  <c r="D17" i="57"/>
  <c r="C17" i="57"/>
  <c r="B17" i="57"/>
  <c r="N17" i="57" s="1"/>
  <c r="M15" i="57"/>
  <c r="N15" i="57" s="1"/>
  <c r="N14" i="57"/>
  <c r="N13" i="57"/>
  <c r="N12" i="57"/>
  <c r="N11" i="57"/>
  <c r="L10" i="57"/>
  <c r="K10" i="57"/>
  <c r="J10" i="57"/>
  <c r="I10" i="57"/>
  <c r="H10" i="57"/>
  <c r="G10" i="57"/>
  <c r="G4" i="57" s="1"/>
  <c r="G3" i="57" s="1"/>
  <c r="F10" i="57"/>
  <c r="F4" i="57" s="1"/>
  <c r="F3" i="57" s="1"/>
  <c r="E10" i="57"/>
  <c r="D10" i="57"/>
  <c r="C10" i="57"/>
  <c r="B10" i="57"/>
  <c r="N9" i="57"/>
  <c r="N8" i="57"/>
  <c r="N7" i="57"/>
  <c r="N6" i="57"/>
  <c r="M5" i="57"/>
  <c r="L5" i="57"/>
  <c r="L4" i="57" s="1"/>
  <c r="L3" i="57" s="1"/>
  <c r="K5" i="57"/>
  <c r="K4" i="57" s="1"/>
  <c r="K3" i="57" s="1"/>
  <c r="J5" i="57"/>
  <c r="J4" i="57" s="1"/>
  <c r="J3" i="57" s="1"/>
  <c r="I5" i="57"/>
  <c r="I4" i="57" s="1"/>
  <c r="I3" i="57" s="1"/>
  <c r="H5" i="57"/>
  <c r="H4" i="57" s="1"/>
  <c r="H3" i="57" s="1"/>
  <c r="G5" i="57"/>
  <c r="F5" i="57"/>
  <c r="E5" i="57"/>
  <c r="D5" i="57"/>
  <c r="D4" i="57" s="1"/>
  <c r="D3" i="57" s="1"/>
  <c r="C5" i="57"/>
  <c r="C4" i="57" s="1"/>
  <c r="C3" i="57" s="1"/>
  <c r="B5" i="57"/>
  <c r="N5" i="57" s="1"/>
  <c r="E4" i="57"/>
  <c r="E3" i="57" s="1"/>
  <c r="S65" i="22"/>
  <c r="R65" i="22"/>
  <c r="R64" i="22"/>
  <c r="R62" i="22"/>
  <c r="S61" i="22"/>
  <c r="R61" i="22"/>
  <c r="S59" i="22"/>
  <c r="S60" i="22" s="1"/>
  <c r="S62" i="22" s="1"/>
  <c r="R59" i="22"/>
  <c r="S58" i="22"/>
  <c r="R58" i="22"/>
  <c r="S57" i="22"/>
  <c r="R57" i="22"/>
  <c r="M87" i="22"/>
  <c r="L87" i="22"/>
  <c r="K87" i="22"/>
  <c r="J87" i="22"/>
  <c r="I87" i="22"/>
  <c r="H87" i="22"/>
  <c r="G87" i="22"/>
  <c r="F87" i="22"/>
  <c r="E87" i="22"/>
  <c r="E86" i="22" s="1"/>
  <c r="D87" i="22"/>
  <c r="C87" i="22"/>
  <c r="C86" i="22" s="1"/>
  <c r="B87" i="22"/>
  <c r="M84" i="22"/>
  <c r="L84" i="22"/>
  <c r="K84" i="22"/>
  <c r="J84" i="22"/>
  <c r="I84" i="22"/>
  <c r="H84" i="22"/>
  <c r="G84" i="22"/>
  <c r="F84" i="22"/>
  <c r="E84" i="22"/>
  <c r="E83" i="22" s="1"/>
  <c r="D84" i="22"/>
  <c r="D83" i="22" s="1"/>
  <c r="C84" i="22"/>
  <c r="C83" i="22" s="1"/>
  <c r="B84" i="22"/>
  <c r="B82" i="22"/>
  <c r="M81" i="22"/>
  <c r="L81" i="22"/>
  <c r="K81" i="22"/>
  <c r="J81" i="22"/>
  <c r="I81" i="22"/>
  <c r="H81" i="22"/>
  <c r="G81" i="22"/>
  <c r="F81" i="22"/>
  <c r="E81" i="22"/>
  <c r="E90" i="22" s="1"/>
  <c r="D81" i="22"/>
  <c r="C82" i="22"/>
  <c r="C81" i="22"/>
  <c r="B81" i="22"/>
  <c r="M82" i="22"/>
  <c r="L82" i="22"/>
  <c r="K82" i="22"/>
  <c r="J82" i="22"/>
  <c r="I82" i="22"/>
  <c r="H82" i="22"/>
  <c r="G82" i="22"/>
  <c r="F82" i="22"/>
  <c r="F80" i="22" s="1"/>
  <c r="E82" i="22"/>
  <c r="D82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J69" i="22"/>
  <c r="M69" i="22"/>
  <c r="L69" i="22"/>
  <c r="K69" i="22"/>
  <c r="I69" i="22"/>
  <c r="H69" i="22"/>
  <c r="G69" i="22"/>
  <c r="F69" i="22"/>
  <c r="E69" i="22"/>
  <c r="D69" i="22"/>
  <c r="C69" i="22"/>
  <c r="B69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M65" i="22"/>
  <c r="L65" i="22"/>
  <c r="K65" i="22"/>
  <c r="J65" i="22"/>
  <c r="I65" i="22"/>
  <c r="H65" i="22"/>
  <c r="I12" i="12"/>
  <c r="G65" i="22"/>
  <c r="F65" i="22"/>
  <c r="E65" i="22"/>
  <c r="D65" i="22"/>
  <c r="C65" i="22"/>
  <c r="B65" i="22"/>
  <c r="M64" i="22"/>
  <c r="L64" i="22"/>
  <c r="K64" i="22"/>
  <c r="J64" i="22"/>
  <c r="B64" i="22"/>
  <c r="B63" i="22" s="1"/>
  <c r="C64" i="22"/>
  <c r="D64" i="22"/>
  <c r="E64" i="22"/>
  <c r="F64" i="22"/>
  <c r="G64" i="22"/>
  <c r="H64" i="22"/>
  <c r="I64" i="22"/>
  <c r="M61" i="22"/>
  <c r="L61" i="22"/>
  <c r="K61" i="22"/>
  <c r="J61" i="22"/>
  <c r="I61" i="22"/>
  <c r="H61" i="22"/>
  <c r="G61" i="22"/>
  <c r="F61" i="22"/>
  <c r="E61" i="22"/>
  <c r="D61" i="22"/>
  <c r="C61" i="22"/>
  <c r="B61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N88" i="22"/>
  <c r="M86" i="22"/>
  <c r="K86" i="22"/>
  <c r="J86" i="22"/>
  <c r="I86" i="22"/>
  <c r="L86" i="22"/>
  <c r="F86" i="22"/>
  <c r="D86" i="22"/>
  <c r="N85" i="22"/>
  <c r="F83" i="22"/>
  <c r="L90" i="22"/>
  <c r="I90" i="22"/>
  <c r="G80" i="22"/>
  <c r="D90" i="22"/>
  <c r="C90" i="22"/>
  <c r="H80" i="22"/>
  <c r="N71" i="22"/>
  <c r="N70" i="22"/>
  <c r="L11" i="41"/>
  <c r="E11" i="41"/>
  <c r="D11" i="41"/>
  <c r="N11" i="41"/>
  <c r="M11" i="41"/>
  <c r="K11" i="41"/>
  <c r="J11" i="41"/>
  <c r="I11" i="41"/>
  <c r="H11" i="41"/>
  <c r="G11" i="41"/>
  <c r="F11" i="41"/>
  <c r="C11" i="41"/>
  <c r="B11" i="41"/>
  <c r="O22" i="60"/>
  <c r="O19" i="60"/>
  <c r="O16" i="60"/>
  <c r="O13" i="60"/>
  <c r="L22" i="60"/>
  <c r="K22" i="60"/>
  <c r="M22" i="60" s="1"/>
  <c r="O21" i="60"/>
  <c r="N21" i="60"/>
  <c r="M21" i="60"/>
  <c r="L19" i="60"/>
  <c r="L25" i="60" s="1"/>
  <c r="K19" i="60"/>
  <c r="M19" i="60" s="1"/>
  <c r="N18" i="60"/>
  <c r="M18" i="60"/>
  <c r="K16" i="60"/>
  <c r="M16" i="60" s="1"/>
  <c r="N15" i="60"/>
  <c r="M15" i="60"/>
  <c r="O15" i="60" s="1"/>
  <c r="N12" i="60"/>
  <c r="N24" i="60" s="1"/>
  <c r="L12" i="60"/>
  <c r="L24" i="60" s="1"/>
  <c r="K12" i="60"/>
  <c r="K13" i="60" s="1"/>
  <c r="M13" i="60" s="1"/>
  <c r="M10" i="60"/>
  <c r="M9" i="60"/>
  <c r="M8" i="60"/>
  <c r="M7" i="60"/>
  <c r="M6" i="60"/>
  <c r="M5" i="60"/>
  <c r="M4" i="60"/>
  <c r="M3" i="60"/>
  <c r="M12" i="60" s="1"/>
  <c r="O12" i="60" s="1"/>
  <c r="G21" i="60"/>
  <c r="G12" i="60"/>
  <c r="F24" i="60"/>
  <c r="E24" i="60"/>
  <c r="G18" i="60"/>
  <c r="G15" i="60"/>
  <c r="C22" i="60"/>
  <c r="B22" i="60"/>
  <c r="D21" i="60"/>
  <c r="C19" i="60"/>
  <c r="B19" i="60"/>
  <c r="D18" i="60"/>
  <c r="B16" i="60"/>
  <c r="D16" i="60" s="1"/>
  <c r="D15" i="60"/>
  <c r="H15" i="60" s="1"/>
  <c r="C12" i="60"/>
  <c r="C24" i="60" s="1"/>
  <c r="B12" i="60"/>
  <c r="B13" i="60" s="1"/>
  <c r="D13" i="60" s="1"/>
  <c r="H13" i="60" s="1"/>
  <c r="D4" i="60"/>
  <c r="D5" i="60"/>
  <c r="D6" i="60"/>
  <c r="D7" i="60"/>
  <c r="D8" i="60"/>
  <c r="D9" i="60"/>
  <c r="D10" i="60"/>
  <c r="D3" i="60"/>
  <c r="M151" i="22" l="1"/>
  <c r="L151" i="22"/>
  <c r="K151" i="22"/>
  <c r="I151" i="22"/>
  <c r="H151" i="22"/>
  <c r="G151" i="22"/>
  <c r="F151" i="22"/>
  <c r="E151" i="22"/>
  <c r="N145" i="22"/>
  <c r="M158" i="22" s="1"/>
  <c r="M161" i="22" s="1"/>
  <c r="N135" i="22"/>
  <c r="N139" i="22"/>
  <c r="M163" i="22" s="1"/>
  <c r="M165" i="22" s="1"/>
  <c r="B143" i="22"/>
  <c r="B149" i="22"/>
  <c r="N149" i="22" s="1"/>
  <c r="N133" i="22"/>
  <c r="B114" i="22"/>
  <c r="B109" i="22"/>
  <c r="E99" i="22"/>
  <c r="D100" i="22"/>
  <c r="D101" i="22"/>
  <c r="C103" i="22"/>
  <c r="E97" i="22"/>
  <c r="D95" i="22"/>
  <c r="B103" i="22"/>
  <c r="B4" i="57"/>
  <c r="M10" i="57"/>
  <c r="J80" i="22"/>
  <c r="G90" i="22"/>
  <c r="N84" i="22"/>
  <c r="H90" i="22"/>
  <c r="N81" i="22"/>
  <c r="N87" i="22"/>
  <c r="O87" i="22" s="1"/>
  <c r="O88" i="22" s="1"/>
  <c r="N82" i="22"/>
  <c r="M90" i="22"/>
  <c r="K90" i="22"/>
  <c r="F90" i="22"/>
  <c r="N75" i="22"/>
  <c r="J79" i="22"/>
  <c r="F79" i="22"/>
  <c r="F63" i="22"/>
  <c r="H63" i="22"/>
  <c r="B83" i="22"/>
  <c r="N83" i="22" s="1"/>
  <c r="S66" i="22" s="1"/>
  <c r="J90" i="22"/>
  <c r="C80" i="22"/>
  <c r="K80" i="22"/>
  <c r="H86" i="22"/>
  <c r="H79" i="22" s="1"/>
  <c r="B80" i="22"/>
  <c r="G86" i="22"/>
  <c r="G79" i="22" s="1"/>
  <c r="B90" i="22"/>
  <c r="D80" i="22"/>
  <c r="L80" i="22"/>
  <c r="I80" i="22"/>
  <c r="E80" i="22"/>
  <c r="M80" i="22"/>
  <c r="B86" i="22"/>
  <c r="O24" i="60"/>
  <c r="O25" i="60" s="1"/>
  <c r="O18" i="60"/>
  <c r="K24" i="60"/>
  <c r="H16" i="60"/>
  <c r="H18" i="60"/>
  <c r="C25" i="60"/>
  <c r="D22" i="60"/>
  <c r="H22" i="60" s="1"/>
  <c r="D12" i="60"/>
  <c r="H12" i="60" s="1"/>
  <c r="H21" i="60"/>
  <c r="G24" i="60"/>
  <c r="D19" i="60"/>
  <c r="H19" i="60" s="1"/>
  <c r="B24" i="60"/>
  <c r="D24" i="60" s="1"/>
  <c r="M54" i="12"/>
  <c r="P70" i="12"/>
  <c r="B6" i="59"/>
  <c r="B3" i="59"/>
  <c r="B8" i="59" s="1"/>
  <c r="B9" i="59" s="1"/>
  <c r="C89" i="20"/>
  <c r="A27" i="20"/>
  <c r="K42" i="41"/>
  <c r="K41" i="41"/>
  <c r="K37" i="41"/>
  <c r="K36" i="41"/>
  <c r="N15" i="58"/>
  <c r="I13" i="22"/>
  <c r="I46" i="22"/>
  <c r="D74" i="58"/>
  <c r="D75" i="58" s="1"/>
  <c r="D76" i="58" s="1"/>
  <c r="H46" i="22"/>
  <c r="D64" i="58"/>
  <c r="G46" i="22"/>
  <c r="N24" i="22"/>
  <c r="M167" i="22" l="1"/>
  <c r="B151" i="22"/>
  <c r="N143" i="22"/>
  <c r="N151" i="22" s="1"/>
  <c r="N153" i="22" s="1"/>
  <c r="B122" i="22"/>
  <c r="E103" i="22"/>
  <c r="D103" i="22"/>
  <c r="N4" i="57"/>
  <c r="N3" i="57" s="1"/>
  <c r="B3" i="57"/>
  <c r="N10" i="57"/>
  <c r="M4" i="57"/>
  <c r="M3" i="57" s="1"/>
  <c r="N90" i="22"/>
  <c r="N67" i="22"/>
  <c r="G63" i="22"/>
  <c r="L79" i="22"/>
  <c r="L63" i="22"/>
  <c r="N86" i="22"/>
  <c r="K79" i="22"/>
  <c r="E79" i="22"/>
  <c r="E63" i="22"/>
  <c r="K63" i="22"/>
  <c r="M79" i="22"/>
  <c r="C79" i="22"/>
  <c r="C63" i="22"/>
  <c r="J63" i="22"/>
  <c r="D79" i="22"/>
  <c r="D63" i="22"/>
  <c r="I79" i="22"/>
  <c r="I63" i="22"/>
  <c r="N80" i="22"/>
  <c r="B79" i="22"/>
  <c r="M24" i="60"/>
  <c r="K25" i="60"/>
  <c r="M25" i="60" s="1"/>
  <c r="H24" i="60"/>
  <c r="H25" i="60" s="1"/>
  <c r="B25" i="60"/>
  <c r="D25" i="60" s="1"/>
  <c r="F46" i="22"/>
  <c r="F29" i="12" s="1"/>
  <c r="I21" i="58"/>
  <c r="I23" i="58"/>
  <c r="I26" i="58"/>
  <c r="I27" i="58"/>
  <c r="K13" i="58"/>
  <c r="K14" i="58"/>
  <c r="K15" i="58"/>
  <c r="K16" i="58"/>
  <c r="K17" i="58"/>
  <c r="K18" i="58"/>
  <c r="K19" i="58"/>
  <c r="K20" i="58"/>
  <c r="K21" i="58"/>
  <c r="K22" i="58"/>
  <c r="K23" i="58"/>
  <c r="K24" i="58"/>
  <c r="K25" i="58"/>
  <c r="K26" i="58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45" i="58"/>
  <c r="K46" i="58"/>
  <c r="K47" i="58"/>
  <c r="K48" i="58"/>
  <c r="K49" i="58"/>
  <c r="K6" i="58"/>
  <c r="I16" i="58"/>
  <c r="I17" i="58"/>
  <c r="I18" i="58"/>
  <c r="I19" i="58"/>
  <c r="I20" i="58"/>
  <c r="I28" i="58"/>
  <c r="I29" i="58"/>
  <c r="I30" i="58"/>
  <c r="I31" i="58"/>
  <c r="I33" i="58"/>
  <c r="I34" i="58"/>
  <c r="I35" i="58"/>
  <c r="I36" i="58"/>
  <c r="I37" i="58"/>
  <c r="I38" i="58"/>
  <c r="I39" i="58"/>
  <c r="I40" i="58"/>
  <c r="I46" i="58"/>
  <c r="I47" i="58"/>
  <c r="I15" i="58"/>
  <c r="I6" i="58"/>
  <c r="G26" i="58"/>
  <c r="G27" i="58"/>
  <c r="G28" i="58"/>
  <c r="G29" i="58"/>
  <c r="G30" i="58"/>
  <c r="G31" i="58"/>
  <c r="G33" i="58"/>
  <c r="G34" i="58"/>
  <c r="G35" i="58"/>
  <c r="G36" i="58"/>
  <c r="G37" i="58"/>
  <c r="G38" i="58"/>
  <c r="G39" i="58"/>
  <c r="G40" i="58"/>
  <c r="G46" i="58"/>
  <c r="G47" i="58"/>
  <c r="G23" i="58"/>
  <c r="G20" i="58"/>
  <c r="G21" i="58"/>
  <c r="G19" i="58"/>
  <c r="G18" i="58"/>
  <c r="G17" i="58"/>
  <c r="G16" i="58"/>
  <c r="G15" i="58"/>
  <c r="G6" i="58"/>
  <c r="E20" i="58"/>
  <c r="E21" i="58"/>
  <c r="E23" i="58"/>
  <c r="E26" i="58"/>
  <c r="E27" i="58"/>
  <c r="E28" i="58"/>
  <c r="E29" i="58"/>
  <c r="E30" i="58"/>
  <c r="E31" i="58"/>
  <c r="E33" i="58"/>
  <c r="E34" i="58"/>
  <c r="E35" i="58"/>
  <c r="E36" i="58"/>
  <c r="E37" i="58"/>
  <c r="E38" i="58"/>
  <c r="E39" i="58"/>
  <c r="E40" i="58"/>
  <c r="E46" i="58"/>
  <c r="E47" i="58"/>
  <c r="E15" i="58"/>
  <c r="E16" i="58"/>
  <c r="E17" i="58"/>
  <c r="E18" i="58"/>
  <c r="E19" i="58"/>
  <c r="E6" i="58"/>
  <c r="J7" i="58"/>
  <c r="J3" i="58"/>
  <c r="H11" i="58"/>
  <c r="H9" i="58"/>
  <c r="H7" i="58"/>
  <c r="H3" i="58"/>
  <c r="D9" i="58"/>
  <c r="D11" i="58"/>
  <c r="D7" i="58"/>
  <c r="D3" i="58"/>
  <c r="F11" i="58"/>
  <c r="F9" i="58"/>
  <c r="F7" i="58"/>
  <c r="F3" i="58"/>
  <c r="F39" i="13"/>
  <c r="G39" i="13"/>
  <c r="E39" i="13"/>
  <c r="G65" i="20"/>
  <c r="A18" i="20"/>
  <c r="A22" i="20"/>
  <c r="A21" i="20"/>
  <c r="A17" i="20"/>
  <c r="N25" i="41"/>
  <c r="M37" i="41" s="1"/>
  <c r="B32" i="41"/>
  <c r="N19" i="41" s="1"/>
  <c r="M42" i="41" s="1"/>
  <c r="B24" i="13"/>
  <c r="B42" i="12"/>
  <c r="C43" i="12"/>
  <c r="D43" i="12"/>
  <c r="B43" i="12"/>
  <c r="B56" i="12"/>
  <c r="C49" i="12"/>
  <c r="D49" i="12"/>
  <c r="E49" i="12"/>
  <c r="F49" i="12"/>
  <c r="G49" i="12"/>
  <c r="H49" i="12"/>
  <c r="I49" i="12"/>
  <c r="J49" i="12"/>
  <c r="K49" i="12"/>
  <c r="L49" i="12"/>
  <c r="M49" i="12"/>
  <c r="B49" i="12"/>
  <c r="C44" i="12"/>
  <c r="D44" i="12"/>
  <c r="E44" i="12"/>
  <c r="F44" i="12"/>
  <c r="G44" i="12"/>
  <c r="H44" i="12"/>
  <c r="I44" i="12"/>
  <c r="J44" i="12"/>
  <c r="K44" i="12"/>
  <c r="L44" i="12"/>
  <c r="M44" i="12"/>
  <c r="B44" i="12"/>
  <c r="N48" i="12"/>
  <c r="E29" i="12"/>
  <c r="G29" i="12"/>
  <c r="H29" i="12"/>
  <c r="I29" i="12"/>
  <c r="J29" i="12"/>
  <c r="K29" i="12"/>
  <c r="L29" i="12"/>
  <c r="M29" i="12"/>
  <c r="C22" i="12"/>
  <c r="D22" i="12"/>
  <c r="E22" i="12"/>
  <c r="F22" i="12"/>
  <c r="G22" i="12"/>
  <c r="H22" i="12"/>
  <c r="I22" i="12"/>
  <c r="J22" i="12"/>
  <c r="K22" i="12"/>
  <c r="L22" i="12"/>
  <c r="M22" i="12"/>
  <c r="B22" i="12"/>
  <c r="C16" i="12"/>
  <c r="D16" i="12"/>
  <c r="E16" i="12"/>
  <c r="F16" i="12"/>
  <c r="G16" i="12"/>
  <c r="H16" i="12"/>
  <c r="I16" i="12"/>
  <c r="J16" i="12"/>
  <c r="K16" i="12"/>
  <c r="L16" i="12"/>
  <c r="M16" i="12"/>
  <c r="B16" i="12"/>
  <c r="C15" i="12"/>
  <c r="D15" i="12"/>
  <c r="E15" i="12"/>
  <c r="F15" i="12"/>
  <c r="G15" i="12"/>
  <c r="H15" i="12"/>
  <c r="I15" i="12"/>
  <c r="J15" i="12"/>
  <c r="K15" i="12"/>
  <c r="L15" i="12"/>
  <c r="M15" i="12"/>
  <c r="B15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C13" i="12"/>
  <c r="D13" i="12"/>
  <c r="E13" i="12"/>
  <c r="F13" i="12"/>
  <c r="G13" i="12"/>
  <c r="H13" i="12"/>
  <c r="I13" i="12"/>
  <c r="J13" i="12"/>
  <c r="K13" i="12"/>
  <c r="L13" i="12"/>
  <c r="M13" i="12"/>
  <c r="B13" i="12"/>
  <c r="C12" i="12"/>
  <c r="D12" i="12"/>
  <c r="E12" i="12"/>
  <c r="F12" i="12"/>
  <c r="G12" i="12"/>
  <c r="H12" i="12"/>
  <c r="J12" i="12"/>
  <c r="K12" i="12"/>
  <c r="L12" i="12"/>
  <c r="M12" i="12"/>
  <c r="B12" i="12"/>
  <c r="C11" i="12"/>
  <c r="D11" i="12"/>
  <c r="E11" i="12"/>
  <c r="F11" i="12"/>
  <c r="G11" i="12"/>
  <c r="H11" i="12"/>
  <c r="I11" i="12"/>
  <c r="J11" i="12"/>
  <c r="K11" i="12"/>
  <c r="L11" i="12"/>
  <c r="M11" i="12"/>
  <c r="B11" i="12"/>
  <c r="C8" i="12"/>
  <c r="D8" i="12"/>
  <c r="E8" i="12"/>
  <c r="F8" i="12"/>
  <c r="G8" i="12"/>
  <c r="H8" i="12"/>
  <c r="I8" i="12"/>
  <c r="J8" i="12"/>
  <c r="K8" i="12"/>
  <c r="L8" i="12"/>
  <c r="M8" i="12"/>
  <c r="B8" i="12"/>
  <c r="C7" i="12"/>
  <c r="D7" i="12"/>
  <c r="E7" i="12"/>
  <c r="F7" i="12"/>
  <c r="G7" i="12"/>
  <c r="H7" i="12"/>
  <c r="I7" i="12"/>
  <c r="J7" i="12"/>
  <c r="K7" i="12"/>
  <c r="L7" i="12"/>
  <c r="M7" i="12"/>
  <c r="B7" i="12"/>
  <c r="C6" i="12"/>
  <c r="D6" i="12"/>
  <c r="E6" i="12"/>
  <c r="F6" i="12"/>
  <c r="G6" i="12"/>
  <c r="H6" i="12"/>
  <c r="I6" i="12"/>
  <c r="J6" i="12"/>
  <c r="K6" i="12"/>
  <c r="L6" i="12"/>
  <c r="M6" i="12"/>
  <c r="B6" i="12"/>
  <c r="C5" i="12"/>
  <c r="D5" i="12"/>
  <c r="E5" i="12"/>
  <c r="F5" i="12"/>
  <c r="G5" i="12"/>
  <c r="H5" i="12"/>
  <c r="I5" i="12"/>
  <c r="J5" i="12"/>
  <c r="K5" i="12"/>
  <c r="L5" i="12"/>
  <c r="M5" i="12"/>
  <c r="B5" i="12"/>
  <c r="D30" i="22"/>
  <c r="D46" i="22"/>
  <c r="D29" i="12" s="1"/>
  <c r="C51" i="22"/>
  <c r="C34" i="12" s="1"/>
  <c r="D51" i="22"/>
  <c r="D34" i="12" s="1"/>
  <c r="E51" i="22"/>
  <c r="E34" i="12" s="1"/>
  <c r="F51" i="22"/>
  <c r="F34" i="12" s="1"/>
  <c r="G51" i="22"/>
  <c r="G34" i="12" s="1"/>
  <c r="H51" i="22"/>
  <c r="H34" i="12" s="1"/>
  <c r="I51" i="22"/>
  <c r="I34" i="12" s="1"/>
  <c r="J51" i="22"/>
  <c r="J34" i="12" s="1"/>
  <c r="K51" i="22"/>
  <c r="K34" i="12" s="1"/>
  <c r="L51" i="22"/>
  <c r="L34" i="12" s="1"/>
  <c r="M51" i="22"/>
  <c r="M34" i="12" s="1"/>
  <c r="C48" i="22"/>
  <c r="C31" i="12" s="1"/>
  <c r="D48" i="22"/>
  <c r="D31" i="12" s="1"/>
  <c r="E48" i="22"/>
  <c r="E31" i="12" s="1"/>
  <c r="F48" i="22"/>
  <c r="F31" i="12" s="1"/>
  <c r="G48" i="22"/>
  <c r="G31" i="12" s="1"/>
  <c r="H48" i="22"/>
  <c r="H31" i="12" s="1"/>
  <c r="I48" i="22"/>
  <c r="I31" i="12" s="1"/>
  <c r="J48" i="22"/>
  <c r="J31" i="12" s="1"/>
  <c r="K48" i="22"/>
  <c r="K31" i="12" s="1"/>
  <c r="L48" i="22"/>
  <c r="L31" i="12" s="1"/>
  <c r="M48" i="22"/>
  <c r="M31" i="12" s="1"/>
  <c r="D45" i="22"/>
  <c r="D28" i="12" s="1"/>
  <c r="D37" i="12" s="1"/>
  <c r="E45" i="22"/>
  <c r="E28" i="12" s="1"/>
  <c r="F45" i="22"/>
  <c r="F28" i="12" s="1"/>
  <c r="G45" i="22"/>
  <c r="G28" i="12" s="1"/>
  <c r="H45" i="22"/>
  <c r="H28" i="12" s="1"/>
  <c r="I45" i="22"/>
  <c r="I28" i="12" s="1"/>
  <c r="J45" i="22"/>
  <c r="J28" i="12" s="1"/>
  <c r="K45" i="22"/>
  <c r="K28" i="12" s="1"/>
  <c r="L45" i="22"/>
  <c r="L28" i="12" s="1"/>
  <c r="M45" i="22"/>
  <c r="M28" i="12" s="1"/>
  <c r="C45" i="22"/>
  <c r="C28" i="12" s="1"/>
  <c r="N39" i="22"/>
  <c r="N36" i="22"/>
  <c r="C46" i="22"/>
  <c r="C29" i="12" s="1"/>
  <c r="B46" i="22"/>
  <c r="B29" i="12" s="1"/>
  <c r="B51" i="22"/>
  <c r="B34" i="12" s="1"/>
  <c r="B48" i="22"/>
  <c r="B31" i="12" s="1"/>
  <c r="B45" i="22"/>
  <c r="B28" i="12" s="1"/>
  <c r="B37" i="12" s="1"/>
  <c r="N25" i="22"/>
  <c r="N23" i="22"/>
  <c r="N49" i="22"/>
  <c r="N57" i="12"/>
  <c r="N62" i="12" s="1"/>
  <c r="C37" i="12" l="1"/>
  <c r="N64" i="22"/>
  <c r="N69" i="22"/>
  <c r="M63" i="22"/>
  <c r="N66" i="22"/>
  <c r="N79" i="22"/>
  <c r="M43" i="12"/>
  <c r="L43" i="12"/>
  <c r="K43" i="12"/>
  <c r="J43" i="12"/>
  <c r="I43" i="12"/>
  <c r="J50" i="58"/>
  <c r="H43" i="12"/>
  <c r="F43" i="12"/>
  <c r="G43" i="12"/>
  <c r="F50" i="58"/>
  <c r="H50" i="58"/>
  <c r="D50" i="58"/>
  <c r="E43" i="12"/>
  <c r="N44" i="12"/>
  <c r="O79" i="22" l="1"/>
  <c r="O80" i="22" s="1"/>
  <c r="O5" i="57"/>
  <c r="S64" i="22"/>
  <c r="O10" i="57"/>
  <c r="N68" i="22"/>
  <c r="N43" i="12"/>
  <c r="B84" i="12"/>
  <c r="C74" i="20" s="1"/>
  <c r="N65" i="22" l="1"/>
  <c r="N63" i="22"/>
  <c r="N34" i="22"/>
  <c r="N33" i="22"/>
  <c r="N22" i="22"/>
  <c r="N19" i="22"/>
  <c r="N18" i="22"/>
  <c r="N17" i="22"/>
  <c r="N21" i="22"/>
  <c r="C9" i="58" s="1"/>
  <c r="N20" i="22"/>
  <c r="N31" i="22"/>
  <c r="N30" i="22"/>
  <c r="N29" i="22"/>
  <c r="N28" i="22"/>
  <c r="B14" i="13" s="1"/>
  <c r="N27" i="22"/>
  <c r="N26" i="22"/>
  <c r="N16" i="22"/>
  <c r="N15" i="22"/>
  <c r="N14" i="22"/>
  <c r="N11" i="22"/>
  <c r="N10" i="22"/>
  <c r="N9" i="22"/>
  <c r="N7" i="22"/>
  <c r="B8" i="13" s="1"/>
  <c r="N6" i="22"/>
  <c r="B6" i="13" s="1"/>
  <c r="N5" i="22"/>
  <c r="B7" i="13" s="1"/>
  <c r="N4" i="22"/>
  <c r="N8" i="22"/>
  <c r="B12" i="13" l="1"/>
  <c r="B13" i="13"/>
  <c r="B11" i="13"/>
  <c r="B10" i="13"/>
  <c r="B5" i="13"/>
  <c r="I9" i="58"/>
  <c r="K9" i="58"/>
  <c r="G9" i="58"/>
  <c r="E9" i="58"/>
  <c r="C11" i="58"/>
  <c r="N12" i="12"/>
  <c r="N3" i="22"/>
  <c r="N52" i="12"/>
  <c r="N51" i="12"/>
  <c r="N50" i="12"/>
  <c r="N46" i="12"/>
  <c r="N45" i="12"/>
  <c r="J3" i="22"/>
  <c r="K3" i="22"/>
  <c r="L3" i="22"/>
  <c r="M3" i="22"/>
  <c r="I3" i="22"/>
  <c r="I37" i="22" s="1"/>
  <c r="I38" i="22" s="1"/>
  <c r="N32" i="22"/>
  <c r="N13" i="22" s="1"/>
  <c r="C3" i="22"/>
  <c r="D3" i="22"/>
  <c r="E3" i="22"/>
  <c r="F3" i="22"/>
  <c r="G3" i="22"/>
  <c r="H3" i="22"/>
  <c r="B3" i="22"/>
  <c r="B13" i="22"/>
  <c r="B37" i="22" l="1"/>
  <c r="B38" i="22" s="1"/>
  <c r="B40" i="22" s="1"/>
  <c r="B23" i="41" s="1"/>
  <c r="B27" i="41" s="1"/>
  <c r="C3" i="58"/>
  <c r="K3" i="58" s="1"/>
  <c r="I11" i="58"/>
  <c r="K11" i="58"/>
  <c r="E11" i="58"/>
  <c r="G11" i="58"/>
  <c r="C65" i="12"/>
  <c r="C63" i="12"/>
  <c r="G3" i="58" l="1"/>
  <c r="I3" i="58"/>
  <c r="E3" i="58"/>
  <c r="A67" i="12"/>
  <c r="A65" i="12"/>
  <c r="A63" i="12"/>
  <c r="N20" i="41"/>
  <c r="N18" i="41"/>
  <c r="N15" i="41"/>
  <c r="N10" i="41"/>
  <c r="N8" i="41"/>
  <c r="N6" i="41"/>
  <c r="I13" i="41"/>
  <c r="I17" i="41" s="1"/>
  <c r="I21" i="41" s="1"/>
  <c r="A15" i="20"/>
  <c r="A16" i="20"/>
  <c r="N53" i="12"/>
  <c r="N51" i="22"/>
  <c r="N48" i="22"/>
  <c r="N45" i="22"/>
  <c r="N17" i="12"/>
  <c r="I56" i="12"/>
  <c r="J56" i="12"/>
  <c r="K56" i="12"/>
  <c r="K42" i="12" s="1"/>
  <c r="L56" i="12"/>
  <c r="L42" i="12" s="1"/>
  <c r="H56" i="12"/>
  <c r="N18" i="12"/>
  <c r="D56" i="12"/>
  <c r="D42" i="12" s="1"/>
  <c r="E56" i="12"/>
  <c r="E42" i="12" s="1"/>
  <c r="F56" i="12"/>
  <c r="G56" i="12"/>
  <c r="F13" i="22"/>
  <c r="F37" i="22" s="1"/>
  <c r="F38" i="22" s="1"/>
  <c r="F40" i="22" s="1"/>
  <c r="F23" i="41" s="1"/>
  <c r="F27" i="41" s="1"/>
  <c r="R19" i="12"/>
  <c r="R17" i="12"/>
  <c r="A13" i="20" s="1"/>
  <c r="R18" i="12"/>
  <c r="A14" i="20" s="1"/>
  <c r="R12" i="12"/>
  <c r="R11" i="12"/>
  <c r="R9" i="12"/>
  <c r="R8" i="12"/>
  <c r="R6" i="12"/>
  <c r="R5" i="12"/>
  <c r="R4" i="12"/>
  <c r="C56" i="12"/>
  <c r="C42" i="12" s="1"/>
  <c r="I40" i="22" l="1"/>
  <c r="I23" i="41" s="1"/>
  <c r="I27" i="41" s="1"/>
  <c r="I29" i="41" s="1"/>
  <c r="C68" i="12"/>
  <c r="N23" i="12"/>
  <c r="M23" i="12" s="1"/>
  <c r="N47" i="12"/>
  <c r="C67" i="12" s="1"/>
  <c r="N54" i="12"/>
  <c r="B79" i="12" s="1"/>
  <c r="J42" i="12"/>
  <c r="N31" i="12"/>
  <c r="J33" i="12"/>
  <c r="N28" i="12"/>
  <c r="I33" i="12"/>
  <c r="N46" i="22"/>
  <c r="C7" i="58" s="1"/>
  <c r="K33" i="12"/>
  <c r="N29" i="12"/>
  <c r="L33" i="12"/>
  <c r="M27" i="12"/>
  <c r="M33" i="12"/>
  <c r="N35" i="12"/>
  <c r="N32" i="12"/>
  <c r="M56" i="12"/>
  <c r="M42" i="12" s="1"/>
  <c r="H42" i="12"/>
  <c r="H37" i="12"/>
  <c r="N14" i="12"/>
  <c r="K27" i="12"/>
  <c r="L37" i="12"/>
  <c r="J37" i="12"/>
  <c r="J4" i="12"/>
  <c r="J24" i="12" s="1"/>
  <c r="G33" i="12"/>
  <c r="K37" i="12"/>
  <c r="H27" i="12"/>
  <c r="H33" i="12"/>
  <c r="N13" i="12"/>
  <c r="F33" i="12"/>
  <c r="N15" i="12"/>
  <c r="L10" i="12"/>
  <c r="L27" i="12"/>
  <c r="J27" i="12"/>
  <c r="M10" i="12"/>
  <c r="K10" i="12"/>
  <c r="J10" i="12"/>
  <c r="M4" i="12"/>
  <c r="M24" i="12" s="1"/>
  <c r="L4" i="12"/>
  <c r="L24" i="12" s="1"/>
  <c r="K4" i="12"/>
  <c r="H10" i="12"/>
  <c r="G37" i="12"/>
  <c r="H4" i="12"/>
  <c r="H24" i="12" s="1"/>
  <c r="F42" i="12"/>
  <c r="F37" i="12"/>
  <c r="I4" i="12"/>
  <c r="G42" i="12"/>
  <c r="G27" i="12"/>
  <c r="I10" i="12"/>
  <c r="G10" i="12"/>
  <c r="G4" i="12"/>
  <c r="G24" i="12" s="1"/>
  <c r="F50" i="22"/>
  <c r="G50" i="22"/>
  <c r="H50" i="22"/>
  <c r="I50" i="22"/>
  <c r="J50" i="22"/>
  <c r="K50" i="22"/>
  <c r="L50" i="22"/>
  <c r="M50" i="22"/>
  <c r="F47" i="22"/>
  <c r="G47" i="22"/>
  <c r="G30" i="12" s="1"/>
  <c r="H47" i="22"/>
  <c r="I47" i="22"/>
  <c r="I30" i="12" s="1"/>
  <c r="J47" i="22"/>
  <c r="J30" i="12" s="1"/>
  <c r="K47" i="22"/>
  <c r="K30" i="12" s="1"/>
  <c r="L47" i="22"/>
  <c r="M47" i="22"/>
  <c r="M30" i="12" s="1"/>
  <c r="F44" i="22"/>
  <c r="G44" i="22"/>
  <c r="H44" i="22"/>
  <c r="I44" i="22"/>
  <c r="J44" i="22"/>
  <c r="K44" i="22"/>
  <c r="L44" i="22"/>
  <c r="M44" i="22"/>
  <c r="N52" i="22"/>
  <c r="B50" i="22"/>
  <c r="C50" i="22"/>
  <c r="D50" i="22"/>
  <c r="B47" i="22"/>
  <c r="C47" i="22"/>
  <c r="D47" i="22"/>
  <c r="B44" i="22"/>
  <c r="C44" i="22"/>
  <c r="D44" i="22"/>
  <c r="E50" i="22"/>
  <c r="E47" i="22"/>
  <c r="E44" i="22"/>
  <c r="N16" i="12"/>
  <c r="N11" i="12"/>
  <c r="N8" i="12"/>
  <c r="N7" i="12"/>
  <c r="N6" i="12"/>
  <c r="N5" i="12"/>
  <c r="M13" i="41"/>
  <c r="F13" i="41"/>
  <c r="G13" i="41"/>
  <c r="G17" i="41" s="1"/>
  <c r="H13" i="41"/>
  <c r="J13" i="41"/>
  <c r="J17" i="41" s="1"/>
  <c r="J21" i="41" s="1"/>
  <c r="K13" i="41"/>
  <c r="L13" i="41"/>
  <c r="N7" i="41"/>
  <c r="N9" i="41"/>
  <c r="B13" i="41"/>
  <c r="B17" i="41" s="1"/>
  <c r="B21" i="41" s="1"/>
  <c r="B29" i="41" s="1"/>
  <c r="C13" i="22"/>
  <c r="D13" i="22"/>
  <c r="D37" i="22" s="1"/>
  <c r="D38" i="22" s="1"/>
  <c r="E13" i="22"/>
  <c r="E37" i="22" s="1"/>
  <c r="G13" i="22"/>
  <c r="G37" i="22" s="1"/>
  <c r="G38" i="22" s="1"/>
  <c r="G40" i="22" s="1"/>
  <c r="G23" i="41" s="1"/>
  <c r="H13" i="22"/>
  <c r="H37" i="22" s="1"/>
  <c r="H38" i="22" s="1"/>
  <c r="H40" i="22" s="1"/>
  <c r="H23" i="41" s="1"/>
  <c r="J13" i="22"/>
  <c r="J37" i="22" s="1"/>
  <c r="J38" i="22" s="1"/>
  <c r="J40" i="22" s="1"/>
  <c r="J23" i="41" s="1"/>
  <c r="J27" i="41" s="1"/>
  <c r="K13" i="22"/>
  <c r="K37" i="22" s="1"/>
  <c r="K38" i="22" s="1"/>
  <c r="K40" i="22" s="1"/>
  <c r="K23" i="41" s="1"/>
  <c r="K27" i="41" s="1"/>
  <c r="L13" i="22"/>
  <c r="L37" i="22" s="1"/>
  <c r="L38" i="22" s="1"/>
  <c r="L40" i="22" s="1"/>
  <c r="L23" i="41" s="1"/>
  <c r="L27" i="41" s="1"/>
  <c r="M13" i="22"/>
  <c r="M37" i="22" s="1"/>
  <c r="E13" i="41"/>
  <c r="D13" i="41"/>
  <c r="D17" i="41" s="1"/>
  <c r="D21" i="41" s="1"/>
  <c r="C13" i="41"/>
  <c r="B30" i="12"/>
  <c r="C30" i="12"/>
  <c r="D30" i="12"/>
  <c r="E30" i="12"/>
  <c r="F30" i="12"/>
  <c r="B33" i="12"/>
  <c r="C33" i="12"/>
  <c r="D33" i="12"/>
  <c r="B27" i="12"/>
  <c r="C27" i="12"/>
  <c r="D27" i="12"/>
  <c r="F27" i="12"/>
  <c r="F4" i="12"/>
  <c r="D4" i="12"/>
  <c r="D24" i="12" s="1"/>
  <c r="C4" i="12"/>
  <c r="C24" i="12" s="1"/>
  <c r="B4" i="12"/>
  <c r="B24" i="12" s="1"/>
  <c r="D10" i="12"/>
  <c r="F10" i="12"/>
  <c r="C10" i="12"/>
  <c r="B10" i="12"/>
  <c r="M38" i="22" l="1"/>
  <c r="M40" i="22" s="1"/>
  <c r="M23" i="41" s="1"/>
  <c r="M27" i="41" s="1"/>
  <c r="J29" i="41"/>
  <c r="H27" i="41"/>
  <c r="G21" i="41"/>
  <c r="G27" i="41"/>
  <c r="C50" i="58"/>
  <c r="I7" i="58"/>
  <c r="G7" i="58"/>
  <c r="E7" i="58"/>
  <c r="K7" i="58"/>
  <c r="E38" i="22"/>
  <c r="H17" i="41"/>
  <c r="H21" i="41" s="1"/>
  <c r="E17" i="41"/>
  <c r="F17" i="41"/>
  <c r="F21" i="41" s="1"/>
  <c r="F29" i="41" s="1"/>
  <c r="C17" i="41"/>
  <c r="C21" i="41" s="1"/>
  <c r="C69" i="12"/>
  <c r="C37" i="22"/>
  <c r="C38" i="22" s="1"/>
  <c r="C40" i="22"/>
  <c r="C23" i="41" s="1"/>
  <c r="N56" i="12"/>
  <c r="O71" i="12" s="1"/>
  <c r="J20" i="12"/>
  <c r="B85" i="12"/>
  <c r="I20" i="12"/>
  <c r="K20" i="12"/>
  <c r="N49" i="12"/>
  <c r="L17" i="41"/>
  <c r="L21" i="41" s="1"/>
  <c r="L29" i="41" s="1"/>
  <c r="M17" i="41"/>
  <c r="M21" i="41" s="1"/>
  <c r="K17" i="41"/>
  <c r="K21" i="41" s="1"/>
  <c r="K29" i="41" s="1"/>
  <c r="N13" i="41"/>
  <c r="I37" i="12"/>
  <c r="I27" i="12"/>
  <c r="I26" i="12" s="1"/>
  <c r="N34" i="12"/>
  <c r="O34" i="12" s="1"/>
  <c r="O35" i="12" s="1"/>
  <c r="L43" i="22"/>
  <c r="F43" i="22"/>
  <c r="M43" i="22"/>
  <c r="G43" i="22"/>
  <c r="M26" i="12"/>
  <c r="K43" i="22"/>
  <c r="J43" i="22"/>
  <c r="K26" i="12"/>
  <c r="I43" i="22"/>
  <c r="D43" i="22"/>
  <c r="C43" i="22"/>
  <c r="N50" i="22"/>
  <c r="H43" i="22"/>
  <c r="N44" i="22"/>
  <c r="B43" i="22"/>
  <c r="E43" i="22"/>
  <c r="N47" i="22"/>
  <c r="J26" i="12"/>
  <c r="H30" i="12"/>
  <c r="H26" i="12" s="1"/>
  <c r="L30" i="12"/>
  <c r="L26" i="12" s="1"/>
  <c r="M20" i="12"/>
  <c r="K24" i="12"/>
  <c r="L20" i="12"/>
  <c r="H20" i="12"/>
  <c r="I24" i="12"/>
  <c r="E37" i="12"/>
  <c r="E33" i="12"/>
  <c r="G26" i="12"/>
  <c r="G20" i="12"/>
  <c r="B9" i="13"/>
  <c r="E27" i="12"/>
  <c r="E40" i="22"/>
  <c r="E23" i="41" s="1"/>
  <c r="E27" i="41" s="1"/>
  <c r="E10" i="12"/>
  <c r="N10" i="12" s="1"/>
  <c r="E4" i="12"/>
  <c r="E24" i="12" s="1"/>
  <c r="F26" i="12"/>
  <c r="D26" i="12"/>
  <c r="C26" i="12"/>
  <c r="B26" i="12"/>
  <c r="C20" i="12"/>
  <c r="F20" i="12"/>
  <c r="F24" i="12"/>
  <c r="B20" i="12"/>
  <c r="D20" i="12"/>
  <c r="M29" i="41" l="1"/>
  <c r="N17" i="41"/>
  <c r="M41" i="41" s="1"/>
  <c r="M43" i="41" s="1"/>
  <c r="H29" i="41"/>
  <c r="G29" i="41"/>
  <c r="N37" i="22"/>
  <c r="G50" i="58"/>
  <c r="E50" i="58"/>
  <c r="K50" i="58"/>
  <c r="I50" i="58"/>
  <c r="E21" i="41"/>
  <c r="N21" i="41" s="1"/>
  <c r="N82" i="12"/>
  <c r="C27" i="41"/>
  <c r="C29" i="41"/>
  <c r="C71" i="12"/>
  <c r="S17" i="12"/>
  <c r="S19" i="12"/>
  <c r="S18" i="12"/>
  <c r="I42" i="12"/>
  <c r="N42" i="12"/>
  <c r="N27" i="12"/>
  <c r="N43" i="22"/>
  <c r="N33" i="12"/>
  <c r="B77" i="12" s="1"/>
  <c r="B78" i="12" s="1"/>
  <c r="B81" i="12" s="1"/>
  <c r="N30" i="12"/>
  <c r="N24" i="12"/>
  <c r="N4" i="12"/>
  <c r="S4" i="12" s="1"/>
  <c r="S5" i="12"/>
  <c r="E26" i="12"/>
  <c r="N26" i="12" s="1"/>
  <c r="O44" i="12" s="1"/>
  <c r="E20" i="12"/>
  <c r="K82" i="41"/>
  <c r="F82" i="41"/>
  <c r="G82" i="41"/>
  <c r="H82" i="41"/>
  <c r="I82" i="41"/>
  <c r="J82" i="41"/>
  <c r="S30" i="12" l="1"/>
  <c r="S28" i="12"/>
  <c r="E29" i="41"/>
  <c r="B63" i="12"/>
  <c r="D63" i="12" s="1"/>
  <c r="B65" i="12"/>
  <c r="D65" i="12" s="1"/>
  <c r="B67" i="12"/>
  <c r="O26" i="12"/>
  <c r="O27" i="12" s="1"/>
  <c r="S13" i="12"/>
  <c r="S38" i="12" s="1"/>
  <c r="S40" i="12"/>
  <c r="N20" i="12"/>
  <c r="S20" i="12"/>
  <c r="O54" i="12"/>
  <c r="S12" i="12"/>
  <c r="S11" i="12"/>
  <c r="S26" i="12" s="1"/>
  <c r="O49" i="12"/>
  <c r="E65" i="12" l="1"/>
  <c r="B71" i="12"/>
  <c r="E71" i="12" s="1"/>
  <c r="E67" i="12"/>
  <c r="B80" i="12"/>
  <c r="S6" i="12"/>
  <c r="S7" i="12" s="1"/>
  <c r="E63" i="12"/>
  <c r="D69" i="12"/>
  <c r="D67" i="12"/>
  <c r="D68" i="12"/>
  <c r="D71" i="12" l="1"/>
  <c r="F97" i="41" l="1"/>
  <c r="H72" i="41"/>
  <c r="G72" i="41"/>
  <c r="F70" i="41" l="1"/>
  <c r="F68" i="41"/>
  <c r="D72" i="41" l="1"/>
  <c r="B68" i="41" l="1"/>
  <c r="C67" i="41"/>
  <c r="B67" i="41"/>
  <c r="B70" i="41"/>
  <c r="B71" i="41"/>
  <c r="C70" i="41"/>
  <c r="C68" i="41"/>
  <c r="C66" i="41"/>
  <c r="C71" i="41"/>
  <c r="B84" i="41" l="1"/>
  <c r="B4" i="13" l="1"/>
  <c r="B17" i="13" l="1"/>
  <c r="B28" i="13" s="1"/>
  <c r="B26" i="13" l="1"/>
  <c r="L77" i="41"/>
  <c r="B29" i="13" l="1"/>
  <c r="C32" i="20"/>
  <c r="E72" i="41"/>
  <c r="F72" i="41"/>
  <c r="I72" i="41"/>
  <c r="J72" i="41"/>
  <c r="K72" i="41"/>
  <c r="L72" i="41"/>
  <c r="M72" i="41"/>
  <c r="N72" i="41"/>
  <c r="B72" i="41"/>
  <c r="C72" i="41"/>
  <c r="D40" i="22" l="1"/>
  <c r="N38" i="22"/>
  <c r="C64" i="20" s="1"/>
  <c r="N40" i="22" l="1"/>
  <c r="B7" i="20" s="1"/>
  <c r="D23" i="41"/>
  <c r="N23" i="41" s="1"/>
  <c r="M36" i="41" l="1"/>
  <c r="M39" i="41" s="1"/>
  <c r="M45" i="41" s="1"/>
  <c r="D27" i="41"/>
  <c r="N27" i="41" s="1"/>
  <c r="N29" i="41" s="1"/>
  <c r="D29" i="41"/>
  <c r="M37" i="12"/>
  <c r="N37" i="12" s="1"/>
  <c r="N22" i="12"/>
  <c r="O72" i="12" l="1"/>
  <c r="O73" i="12" s="1"/>
  <c r="O75" i="12" s="1"/>
  <c r="N81" i="12"/>
  <c r="N83" i="12" s="1"/>
  <c r="C57" i="20" s="1"/>
  <c r="N31" i="41"/>
  <c r="S8" i="12"/>
  <c r="T34" i="12" s="1"/>
  <c r="N61" i="12"/>
  <c r="N63" i="12" s="1"/>
  <c r="N64" i="12" s="1"/>
  <c r="S39" i="12" l="1"/>
  <c r="S42" i="12" s="1"/>
  <c r="S9" i="12"/>
  <c r="S32" i="12" s="1"/>
  <c r="S34" i="12"/>
  <c r="O57" i="12" l="1"/>
  <c r="E57" i="22" l="1"/>
  <c r="E77" i="22" l="1"/>
  <c r="E73" i="22"/>
  <c r="N60" i="22" l="1"/>
  <c r="N58" i="22"/>
  <c r="B57" i="22"/>
  <c r="B73" i="22" s="1"/>
  <c r="C57" i="22"/>
  <c r="C73" i="22" s="1"/>
  <c r="D57" i="22"/>
  <c r="D77" i="22" s="1"/>
  <c r="F57" i="22"/>
  <c r="F77" i="22" s="1"/>
  <c r="B77" i="22" l="1"/>
  <c r="C77" i="22"/>
  <c r="D73" i="22"/>
  <c r="N61" i="22"/>
  <c r="F73" i="22"/>
  <c r="G57" i="22"/>
  <c r="G73" i="22" s="1"/>
  <c r="H57" i="22"/>
  <c r="G77" i="22" l="1"/>
  <c r="H73" i="22"/>
  <c r="H77" i="22"/>
  <c r="I57" i="22"/>
  <c r="I77" i="22" s="1"/>
  <c r="I73" i="22" l="1"/>
  <c r="J57" i="22"/>
  <c r="J77" i="22" l="1"/>
  <c r="J73" i="22"/>
  <c r="K57" i="22"/>
  <c r="K77" i="22" s="1"/>
  <c r="K73" i="22" l="1"/>
  <c r="L57" i="22"/>
  <c r="L73" i="22" s="1"/>
  <c r="N59" i="22"/>
  <c r="M57" i="22"/>
  <c r="M73" i="22" s="1"/>
  <c r="N57" i="22" l="1"/>
  <c r="N73" i="22" s="1"/>
  <c r="M77" i="22"/>
  <c r="L77" i="22"/>
  <c r="N77" i="22" l="1"/>
</calcChain>
</file>

<file path=xl/sharedStrings.xml><?xml version="1.0" encoding="utf-8"?>
<sst xmlns="http://schemas.openxmlformats.org/spreadsheetml/2006/main" count="619" uniqueCount="373">
  <si>
    <t>TRANSFERÊNCIAS CORRENTES</t>
  </si>
  <si>
    <t>TOTAL</t>
  </si>
  <si>
    <t>No Ano</t>
  </si>
  <si>
    <t>DESPESAS CORRENTES</t>
  </si>
  <si>
    <t>DESPESAS DE CAPITAL</t>
  </si>
  <si>
    <t>RECEITAS DO FUNDEB</t>
  </si>
  <si>
    <t>RECEITAS REALIZADAS</t>
  </si>
  <si>
    <t>% ATINGIDO</t>
  </si>
  <si>
    <t>EDUCAÇÃO 25%</t>
  </si>
  <si>
    <t>DESPESAS REALIZADAS</t>
  </si>
  <si>
    <t>1. RECEITA DE IMPOSTOS</t>
  </si>
  <si>
    <t>RECEITA PARA APURAÇÃO DA APLICAÇÃO EM AÇÕES E SERVIÇOS PÚBLICOS DE SAÚDE</t>
  </si>
  <si>
    <t>RECEITA DE IMPOSTOS LÍQUIDA (I)</t>
  </si>
  <si>
    <t>Impostos Predial e Territorial - IPTU</t>
  </si>
  <si>
    <t>Imposto Sobre Transmissão de Bens Intervivos - ITBI</t>
  </si>
  <si>
    <t>Imposto de Renda Retido na Fonte - IRRF</t>
  </si>
  <si>
    <t>Cota-parte FPM</t>
  </si>
  <si>
    <t>Cota-Parte ITR</t>
  </si>
  <si>
    <t>Cota-Parte IPVA</t>
  </si>
  <si>
    <t>Cota-Parte ICMS</t>
  </si>
  <si>
    <t>Cota-Parte IPI -Exportação</t>
  </si>
  <si>
    <t>Desoneração ICMS (LC 87/96)</t>
  </si>
  <si>
    <t>Outras</t>
  </si>
  <si>
    <t>TOTAL DAS RECEITAS PARA APURAÇÃO EM AÇÕES E SERVIÇOS PÚBLICOS DE SAÚDE (III) = I + II</t>
  </si>
  <si>
    <t xml:space="preserve">DESPESAS COM SAÚDE </t>
  </si>
  <si>
    <t>(Por grupo de Natureza da Despesa)</t>
  </si>
  <si>
    <t>Receita Patrimonial</t>
  </si>
  <si>
    <t>DEMOSTRATIVO DAS RECEITAS E DESPESAS COM EDUCAÇÃO</t>
  </si>
  <si>
    <t xml:space="preserve">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</si>
  <si>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</si>
  <si>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</si>
  <si>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</si>
  <si>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</si>
  <si>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</si>
  <si>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</si>
  <si>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</si>
  <si>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</si>
  <si>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</si>
  <si>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</si>
  <si>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</si>
  <si>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</si>
  <si>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ESPECIFICAÇÕES</t>
  </si>
  <si>
    <t>IPTU</t>
  </si>
  <si>
    <t>ISS</t>
  </si>
  <si>
    <t>ITBI</t>
  </si>
  <si>
    <t>IRRF</t>
  </si>
  <si>
    <t>Contribuições</t>
  </si>
  <si>
    <t>PERCENTUAL COM PESSOAL</t>
  </si>
  <si>
    <t>PROGRAMAS FEDERAIS - DESPESAS EXCLUIDAS EM CONFORMIDADE COM A INSTRUÇAO 03/2018 TCM/BA</t>
  </si>
  <si>
    <t>NO ANO</t>
  </si>
  <si>
    <t>EMP. 70 FONTE 29</t>
  </si>
  <si>
    <t>EMP. 68 FONTE 29</t>
  </si>
  <si>
    <t>EMP. 4 FONTE 14 (PSF)</t>
  </si>
  <si>
    <t>EMP. 5 FONTE 14 MAC</t>
  </si>
  <si>
    <t>EMP. 6 FONTE 14 CEO</t>
  </si>
  <si>
    <t>EMP. 7 FONTE 14 NASF</t>
  </si>
  <si>
    <t>Saúde da Família - SF</t>
  </si>
  <si>
    <t>Saúde Bucal</t>
  </si>
  <si>
    <t>Média e Alta Complexidade</t>
  </si>
  <si>
    <t>Assistência Social</t>
  </si>
  <si>
    <t>Atenção Psicossocial</t>
  </si>
  <si>
    <t>Núcleo de Apoio à Saúde da Família - NASF</t>
  </si>
  <si>
    <t>DESPESAS EXCLUIDAS (IN. 003/2018)</t>
  </si>
  <si>
    <t>Indireta por Preço Unitário</t>
  </si>
  <si>
    <t>EMP. 9 CAPS FONTE 14</t>
  </si>
  <si>
    <t>Os dados disponibilizados nesta consulta são declaratórios, sob a responsabilidade da respectiva entidade.</t>
  </si>
  <si>
    <t>Núm. Licitação</t>
  </si>
  <si>
    <t>Modalidade</t>
  </si>
  <si>
    <t>Data Homologação</t>
  </si>
  <si>
    <t>Execução</t>
  </si>
  <si>
    <t>Objeto</t>
  </si>
  <si>
    <t>Valor Estimado</t>
  </si>
  <si>
    <t>Valor Homologado</t>
  </si>
  <si>
    <t>PERP0003/2020</t>
  </si>
  <si>
    <t>Pregão eletrônico para registro de preço</t>
  </si>
  <si>
    <t>Não Aplicável</t>
  </si>
  <si>
    <t>Contratação de ...</t>
  </si>
  <si>
    <t>PERP0015/2019</t>
  </si>
  <si>
    <t>PERP0017/2019</t>
  </si>
  <si>
    <t>TP0001/2020</t>
  </si>
  <si>
    <t>Tomada de preço para compras e serviços</t>
  </si>
  <si>
    <t>Indireta por Preço Global</t>
  </si>
  <si>
    <t>TP0013/2019</t>
  </si>
  <si>
    <t>Tomada de preço p/obras e serviços de engenharia</t>
  </si>
  <si>
    <r>
      <t>TOTAL Estimado : </t>
    </r>
    <r>
      <rPr>
        <sz val="11"/>
        <color theme="1"/>
        <rFont val="Calibri"/>
        <family val="2"/>
        <scheme val="minor"/>
      </rPr>
      <t>R$ 6.261.823,75</t>
    </r>
  </si>
  <si>
    <r>
      <t>TOTAL Homologado : </t>
    </r>
    <r>
      <rPr>
        <sz val="11"/>
        <color theme="1"/>
        <rFont val="Calibri"/>
        <family val="2"/>
        <scheme val="minor"/>
      </rPr>
      <t>R$ 30.028.628,71</t>
    </r>
  </si>
  <si>
    <t>Caps</t>
  </si>
  <si>
    <t>Nasf</t>
  </si>
  <si>
    <t>Psf</t>
  </si>
  <si>
    <t>Samu</t>
  </si>
  <si>
    <t>COVID</t>
  </si>
  <si>
    <t>social</t>
  </si>
  <si>
    <t>RECEITA RESULTANTE DE IMPOSTOS (caput do art. 212 da CF)</t>
  </si>
  <si>
    <t>1.1- Receita Resultante do Imposto sobre a Propriedade Predial e Territorial Urbana – IPTU</t>
  </si>
  <si>
    <t>1.2- Receita Resultante do Imposto sobre Transmissão Inter Vivos – ITBI</t>
  </si>
  <si>
    <t>1.3- Receita Resultante do Imposto sobre Serviços de Qualquer Natureza – ISS</t>
  </si>
  <si>
    <t>1.4- Receita Resultante do Imposto de Renda Retido na Fonte – IRRF</t>
  </si>
  <si>
    <t>2- RECEITA DE TRANSFERÊNCIAS CONSTITUCIONAIS E LEGAIS</t>
  </si>
  <si>
    <t>2.1- Cota-Parte FPM</t>
  </si>
  <si>
    <t>2.2- Cota-Parte ICMS</t>
  </si>
  <si>
    <t>2.4- Cota-Parte ITR</t>
  </si>
  <si>
    <t>2.5- Cota-Parte IPVA</t>
  </si>
  <si>
    <t>2.6- Cota-Parte IOF-Ouro</t>
  </si>
  <si>
    <t>3- TOTAL DA RECEITA DE IMPOSTOS (1 + 2)</t>
  </si>
  <si>
    <t xml:space="preserve">   2.1.1- Cota-Parte FPM (1% julho e dezembro)</t>
  </si>
  <si>
    <t>4- TOTAL DESTINADO AO FUNDEB - 20% DE ((2.1) + (2.2) + (2.3) + (2.4) + (2.5))</t>
  </si>
  <si>
    <t>2.3- Cota-Parte IPI-Exportação (LC 61/89)</t>
  </si>
  <si>
    <t>5- VALOR MÍNIMO A SER APLICADO ALÉM DO VALOR DESTINADO AO FUNDEB - 5% DE ((2.2) + (2.3) + (2.4) + (2.5)) + 25% DE ((1.1) + (1.2) + (1.3) + (1.4) + (2.1.1) + (2.6)+ (2.7))</t>
  </si>
  <si>
    <t>ACUMULADO ANO</t>
  </si>
  <si>
    <t>2.7- Comp. Financeiras Prov. de Impostos e Transf. Constitucionais</t>
  </si>
  <si>
    <t>6- RECEITAS RECEBIDAS DO FUNDEB</t>
  </si>
  <si>
    <t>6.1- FUNDEB - Impostos e Transferências de Impostos</t>
  </si>
  <si>
    <t>6.1.1- Principal</t>
  </si>
  <si>
    <t>6.1.2- Rendimentos de Aplicação Financeira</t>
  </si>
  <si>
    <t>6.2- FUNDEB - Complementação da União - VAAF</t>
  </si>
  <si>
    <t>6.2.1- Principal</t>
  </si>
  <si>
    <t>6.2.2- Rendimentos de Aplicação Financeira</t>
  </si>
  <si>
    <t>6.3- FUNDEB - Complementação da União - VAAT</t>
  </si>
  <si>
    <t>6.3.1- Principal</t>
  </si>
  <si>
    <t>6.3.2- Rendimentos de Aplicação Financeira</t>
  </si>
  <si>
    <t>7- RESULTADO LÍQUIDO DAS TRANSFERÊNCIAS DO FUNDEB (6.1.1 – 4)</t>
  </si>
  <si>
    <t>Vencimentos e Vantagens (salarios) (ED 319011)</t>
  </si>
  <si>
    <t>Contratação tempo Determinado (ED 319004)</t>
  </si>
  <si>
    <t>INATIVOS</t>
  </si>
  <si>
    <t>Outras Despesas com Pessoal (ED 319035, 36 e 39)</t>
  </si>
  <si>
    <t>Obrigações Patronais INSS - (319013)</t>
  </si>
  <si>
    <t>DESPESA BRUTA COM PESSOAL</t>
  </si>
  <si>
    <t>Despesa Pessoal Rateio Consórcio (ED 317170)</t>
  </si>
  <si>
    <t>Outros Impostos e Taxas</t>
  </si>
  <si>
    <t>ICMS</t>
  </si>
  <si>
    <t>IPVA</t>
  </si>
  <si>
    <t>ITR</t>
  </si>
  <si>
    <t>Dedução p/ formação do FUNDEB</t>
  </si>
  <si>
    <t>RECEITA CORRENTE LÍQUIDA</t>
  </si>
  <si>
    <t>RECEITA DE CAPITAL</t>
  </si>
  <si>
    <t>ESPECIFICAÇÃO</t>
  </si>
  <si>
    <t>José Marcos Oliveira Lopes</t>
  </si>
  <si>
    <t>CRC-BA 36.449/O-0</t>
  </si>
  <si>
    <t>LC 61/89 (IPI-Exportação)</t>
  </si>
  <si>
    <t xml:space="preserve"> - Principal</t>
  </si>
  <si>
    <t xml:space="preserve"> - Rend de Aplicação Financeira</t>
  </si>
  <si>
    <t xml:space="preserve"> - FUNDEB - Comp da União - VAAF</t>
  </si>
  <si>
    <t xml:space="preserve"> - FUNDEB - Comp da União - VAAT</t>
  </si>
  <si>
    <t xml:space="preserve"> - FUNDEB - Imp. e Transferências</t>
  </si>
  <si>
    <t>DESPESAS DO MDE</t>
  </si>
  <si>
    <t>DESPESAS MDE</t>
  </si>
  <si>
    <t>APLICAÇÃO FUNDEB 70%</t>
  </si>
  <si>
    <t>RESUMO</t>
  </si>
  <si>
    <t>APURAÇÃO</t>
  </si>
  <si>
    <t>VALOR ACUMULADO</t>
  </si>
  <si>
    <t>3.1 - MÍNIMO A SER APLICADO (25%</t>
  </si>
  <si>
    <t>APLICAÇÃO MDE 25% (TOTAL)</t>
  </si>
  <si>
    <t>RECEITA DE TRANSFERÊNCIAS CONSTITUCIONAIS E LEGAIS (II)</t>
  </si>
  <si>
    <t>DEMOSTRATIVO DAS RECEITAS E DESPESAS COM SAUDE (APLICAÇÃO 15%)</t>
  </si>
  <si>
    <t>MUNICÍPIO DE ITARANTIM                                                                        RESUMO ÍNDICES</t>
  </si>
  <si>
    <t>DESPESA TOTAL MDE</t>
  </si>
  <si>
    <t>%</t>
  </si>
  <si>
    <t xml:space="preserve"> DEMONSTRATIVO DO PESSOAL RELATIVO AO EXERCICIO DE 2021 - PELO PAGAMENTO</t>
  </si>
  <si>
    <t>DESPESA TOTAL EM APLICAÇÕES NA EDUCAÇÃO</t>
  </si>
  <si>
    <t>6.3- Complementação FUNDEB</t>
  </si>
  <si>
    <t>2022 DESPESA LÍQUIDA COM PESSOAL</t>
  </si>
  <si>
    <t>2022 RECEITA CORRENTE LÍQUIDA</t>
  </si>
  <si>
    <t>Exploração de Recursos Naturais</t>
  </si>
  <si>
    <t>Sistema Único de Saúde - SUS</t>
  </si>
  <si>
    <t>FNDE</t>
  </si>
  <si>
    <t>FNAS</t>
  </si>
  <si>
    <t>CIDE</t>
  </si>
  <si>
    <t>Outras Receitas do Estado</t>
  </si>
  <si>
    <t>FUNDEB - fundo</t>
  </si>
  <si>
    <t>FUNDEB VAAT</t>
  </si>
  <si>
    <t>FUNDEB VAAF</t>
  </si>
  <si>
    <t>RECEITAS</t>
  </si>
  <si>
    <t>Receita de Serviços</t>
  </si>
  <si>
    <t>TOTAL RECEITA</t>
  </si>
  <si>
    <t>DESPESA MDE 25%</t>
  </si>
  <si>
    <t>CALCULO 12 MESES DA DESPESA PESSOAL</t>
  </si>
  <si>
    <t>RECEITA CORRENTE LIQUIDA 12 MESES</t>
  </si>
  <si>
    <t>ÍNDICES CONSTITUIÇÕES E LEGAIS</t>
  </si>
  <si>
    <t>RECEITAS DO FUNDEB (IMPOSTOS E COMPLEMENTAÇÃO)</t>
  </si>
  <si>
    <t>DEDUÇÃO EMENDAS PARLAMENTAR</t>
  </si>
  <si>
    <t>RCL AJUSTADA</t>
  </si>
  <si>
    <t>CONTROLE RECURSOS DO FUNDEB</t>
  </si>
  <si>
    <t>RECEITA</t>
  </si>
  <si>
    <t>DESPESA</t>
  </si>
  <si>
    <t>SALDO</t>
  </si>
  <si>
    <t>TOTAIS</t>
  </si>
  <si>
    <t>Meta dos 15% de aplicação em despesa de Capital</t>
  </si>
  <si>
    <t>Despesa efetivamente realizada</t>
  </si>
  <si>
    <t>% realizado da despesa</t>
  </si>
  <si>
    <t>Deficít apurado até o mês (necessário aplicar para cumprir o indicador)</t>
  </si>
  <si>
    <t xml:space="preserve">Estimativa anual para a Despesa de Capital com recursos da Complementação VAAT </t>
  </si>
  <si>
    <t>Receita da Complementação FUNDEB VAAT até o mês</t>
  </si>
  <si>
    <t>APLICAÇÃO DO FUNDEB NO 25%</t>
  </si>
  <si>
    <t>CONTRIBUIÇÃO AO FUNDEB (20%)</t>
  </si>
  <si>
    <t>APLICAÇÃO FONTE 01</t>
  </si>
  <si>
    <t>TOTAL APLICADO NO MDE</t>
  </si>
  <si>
    <t>6.3.1 - Complementação FUNDEB VAAT - Educação Infantil</t>
  </si>
  <si>
    <t>6.3.2 - Complementação FUNDEB VAAT - Despesa de Capital</t>
  </si>
  <si>
    <t>Transferencias da União (LC 176/2020 e ICMS EC 123/2022)</t>
  </si>
  <si>
    <t>Outras Transferencias da União</t>
  </si>
  <si>
    <t>OUTRAS Receitas Correntes</t>
  </si>
  <si>
    <t>FUNDEB FR 1540.1070 (FUNDO ESTADUAL)</t>
  </si>
  <si>
    <t>FUNDEB FR 1541.1070 (VAAF)</t>
  </si>
  <si>
    <t>FUNDEB FR 1542.1070 (VAAT)</t>
  </si>
  <si>
    <t>FUNDEB FR 1540 (FUNDO ESTADUAL)</t>
  </si>
  <si>
    <t>FUNDEB FR 1541 (VAAF)</t>
  </si>
  <si>
    <t>FUNDEB FR 1542 (VAAT - Despesa de Capital)</t>
  </si>
  <si>
    <t>FUNDEB FR 1542 (VAAT - Educação Infantil)</t>
  </si>
  <si>
    <t>FUNDEB FR 1542 (VAAT - outros)</t>
  </si>
  <si>
    <t>MDE - FR 1500.1001</t>
  </si>
  <si>
    <t>DESPESAS PAGAS DO FUNDEB</t>
  </si>
  <si>
    <t>FUNDEB FR 1542.1070 (VAAT - Educação Infantil)</t>
  </si>
  <si>
    <t>CONTRIBUIÇÃO FUNDEB + PAGTO MDE</t>
  </si>
  <si>
    <t>PAGTO EFETUADOS FUNDEB + PAGTO EFETUADO MDE</t>
  </si>
  <si>
    <t>PAGTO FUNDEB IMPOSTOS + MDE</t>
  </si>
  <si>
    <t>GANHO COM TRANSFERÊNCIAS DO FUNDEB</t>
  </si>
  <si>
    <t>APURAÇÃO PERCENTUAL</t>
  </si>
  <si>
    <t>% APLICADO</t>
  </si>
  <si>
    <t>Valor sugerido para Despesa de Capital com o FUNDEB VAAT, a ser aplicado ainda em 2023</t>
  </si>
  <si>
    <t>CONTROLE RECURSOS DO FUNDEB VAAT</t>
  </si>
  <si>
    <t>Impostos Sobre Serviços de Qualquer Natureza - ISS</t>
  </si>
  <si>
    <t>PERCENTUAL DE APLICAÇÃO EM ASPS SOBRE AS RECEITAS (VII%) = (VIh/IIIb x 100)</t>
  </si>
  <si>
    <t>2023 DESPESA LÍQUIDA COM PESSOAL</t>
  </si>
  <si>
    <t>RECEITAS PARA FINS DE APURAÇÕES DOS ÍNDICES</t>
  </si>
  <si>
    <t>RECEITAS DE IMPOSTOS E TRANSFERÊNCIAS DE IMPOSTOS</t>
  </si>
  <si>
    <t>2023 RECEITA CORRENTE LÍQUIDA</t>
  </si>
  <si>
    <t>TOTAL DESPESA 2022</t>
  </si>
  <si>
    <t>MÉDIA DESPESA PESSOAL 2022</t>
  </si>
  <si>
    <t>VALOR (R$)</t>
  </si>
  <si>
    <t>TOTAL DAS DESPEAS COM SAÚDE</t>
  </si>
  <si>
    <r>
      <t xml:space="preserve">RECEITA CORRENTE LÍQUIDA DE </t>
    </r>
    <r>
      <rPr>
        <b/>
        <sz val="10"/>
        <color theme="1"/>
        <rFont val="Arial"/>
        <family val="2"/>
      </rPr>
      <t>2023</t>
    </r>
  </si>
  <si>
    <r>
      <t xml:space="preserve">RECEITA CORRENTE LÍQUIDA ACUMULADA ÚLTIMOS </t>
    </r>
    <r>
      <rPr>
        <b/>
        <sz val="10"/>
        <color theme="1"/>
        <rFont val="Arial"/>
        <family val="2"/>
      </rPr>
      <t>12 MESES</t>
    </r>
  </si>
  <si>
    <t>VALOR EXCEDENTE AO LIMITE MÍNIMO CONSTITUCIONAL</t>
  </si>
  <si>
    <t>PERCENTUAL DO VALOR EXCEDENTE AO LIMITE MÍNIMO CONSTITUCIONAL</t>
  </si>
  <si>
    <t>DESPESAS PARA FINS DE LIMITE MÍNIMO DOS 25%</t>
  </si>
  <si>
    <t>DESPESA COM PESSOAL (LIMITE MÁXIMO 54%)</t>
  </si>
  <si>
    <t>APLICAÇÃO EM SAÚDE (MÍNINO 15%)</t>
  </si>
  <si>
    <t>APLICAÇÕES NA EDUCAÇÃO</t>
  </si>
  <si>
    <t>MERECEM ATENÇÃO DA GESTÃO MUNICIPAL</t>
  </si>
  <si>
    <t>2 - Deficit na aplicação em educação 25%, FR 1500.1001 (recursos próprios investidos na educação).</t>
  </si>
  <si>
    <t>1 - Valor a ser aplicado em Despesa de Capital com o FUNDEB VAAT (mínimo de 15% de R$ 2.706.336,89).</t>
  </si>
  <si>
    <t>MÍNIMO A SER INVESTIDO NA EDUCAÇÃO</t>
  </si>
  <si>
    <t>DIFERENÇA</t>
  </si>
  <si>
    <t>INFORMAÇÕES ADICIONAIS</t>
  </si>
  <si>
    <t>RECEITA TOTAL ATÉ O MÊS</t>
  </si>
  <si>
    <t>DESPESAS DE RESTOS A PAGAR DE EXERCÍCIOS ANTERIORES</t>
  </si>
  <si>
    <t>DESPESAS LIQUIDADAS ATÉ O MÊS A SEREM PAGAS (VALOR DO ÚLTIMO DIA DO MÊS)</t>
  </si>
  <si>
    <t>VALOR RP</t>
  </si>
  <si>
    <t>INSS RP</t>
  </si>
  <si>
    <t>RECEITAS 2023</t>
  </si>
  <si>
    <t>FPM (Cotas Extraórdinárias)</t>
  </si>
  <si>
    <t>FPM - Cota Mensal</t>
  </si>
  <si>
    <t>DEM DA DESPESA</t>
  </si>
  <si>
    <t>EMPENHADA</t>
  </si>
  <si>
    <t>LIQUIDADA</t>
  </si>
  <si>
    <t>PAGA</t>
  </si>
  <si>
    <t>RREO 12</t>
  </si>
  <si>
    <t>DESTINADO AO FUNDEB</t>
  </si>
  <si>
    <t>DESPESA CO 1001</t>
  </si>
  <si>
    <t>ADMINISTRAÇÃO</t>
  </si>
  <si>
    <t>FINANÇAS</t>
  </si>
  <si>
    <t>OBRAS E SERVIÇOS PÚBLICOS</t>
  </si>
  <si>
    <t>TRANSPORTE E LIMPEZA PÚBLICA</t>
  </si>
  <si>
    <t>Receita Acumulada</t>
  </si>
  <si>
    <t>Despesa Liquidada</t>
  </si>
  <si>
    <t>Retenções</t>
  </si>
  <si>
    <t>Transferências de Recursos do FNDE - PNATE</t>
  </si>
  <si>
    <t>Despesa Empenhada</t>
  </si>
  <si>
    <t>Despesa Paga</t>
  </si>
  <si>
    <t>Código</t>
  </si>
  <si>
    <t>Descrição da Fonte de Recursos</t>
  </si>
  <si>
    <t>Recursos não Vinculados de Impostos</t>
  </si>
  <si>
    <t>Recursos não Vinculados de Impostos - MDE 25%</t>
  </si>
  <si>
    <t>Recursos não Vinculados de Impostos - Saúde 15%</t>
  </si>
  <si>
    <t>Outros Recursos não Vinculados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</si>
  <si>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</si>
  <si>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</si>
  <si>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</si>
  <si>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</si>
  <si>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</si>
  <si>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 Educação</t>
  </si>
  <si>
    <t>Outras Transferências de Recursos do FNDE</t>
  </si>
  <si>
    <t>Transferências do Governo Federal referentes a Convênios vinculados à Educação</t>
  </si>
  <si>
    <t>Transferências de Recursos dos Estados para programas de educação</t>
  </si>
  <si>
    <t>Transferências Fundo a Fundo de Recursos do SUS Federal - Bloco Manutenção</t>
  </si>
  <si>
    <t>Transferências Fundo a Fundo de Recursos do SUS provenientes do Governo Estadual</t>
  </si>
  <si>
    <t>Transferência de Recursos do Fundo Nacional de Assistência Social - FNAS</t>
  </si>
  <si>
    <t>Transferência de Recursos dos Fundos Estaduais de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</si>
  <si>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</si>
  <si>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</si>
  <si>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</si>
  <si>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Transferência Especial da União</t>
  </si>
  <si>
    <t>Transferências da União -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</si>
  <si>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</si>
  <si>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</si>
  <si>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Demais Transferências Obrigatórias não Decorrentes de Repartições de Receitas</t>
  </si>
  <si>
    <t>Auxílio Financeiro - Outorga Crédito Tributário ICMS - Art. 5º, Inciso V, EC nº 123/2022</t>
  </si>
  <si>
    <t>Outras vinculações de transferências</t>
  </si>
  <si>
    <t>Recursos da Contribuição de Intervenção no Domínio Econômico - CIDE</t>
  </si>
  <si>
    <t>COSIP - Recursos da Contribuição para o Custeio do Serviço de Iluminação Pública</t>
  </si>
  <si>
    <t>Recursos de Alienação de Bens/Ativos - Administração Direta</t>
  </si>
  <si>
    <t>Transferências da União Compensações Exploração de Recursos Naturais</t>
  </si>
  <si>
    <t>Transferências dos Estados Compensações Exploração de Recursos Naturais</t>
  </si>
  <si>
    <t>Transferências do Governo Federal Convênios vinculados à Saúde</t>
  </si>
  <si>
    <t>Transferências do Estado a Convênios vinculados à Saúde</t>
  </si>
  <si>
    <t>Transferências Recursos do SUS provenientes do Governo Federal - Bloco de Manutenção</t>
  </si>
  <si>
    <t>Transferências Governo Federal destinadas aos agentes comunitários de Saúde</t>
  </si>
  <si>
    <t>Transferências do Estado Convêniosvinculados à Educação</t>
  </si>
  <si>
    <t>Transferências Recursos do SUS provenientes do Governo Federal - Bloco de Estruturação</t>
  </si>
  <si>
    <t>Transferências ao Setor Cultural - LC nº 195/2022 - Art. 8º - Demais Setores da Cultura</t>
  </si>
  <si>
    <t>Transferências ao Setor Cultural - LC nº 195/2022 - Art. 5º - Audiovisual</t>
  </si>
  <si>
    <t>Transferências de Recursos do FNDE - PNAE</t>
  </si>
  <si>
    <t>Transferências de Recursos do FNDE - PDDE</t>
  </si>
  <si>
    <t>% Emp x Receita</t>
  </si>
  <si>
    <t>% Liq x Receita</t>
  </si>
  <si>
    <t>% Pagto x Receita</t>
  </si>
  <si>
    <t>Disponibilidade por Fonte</t>
  </si>
  <si>
    <t>ESTIMATIVA DOS 25% FR 1500.1001</t>
  </si>
  <si>
    <t>Precatório FUNDEF</t>
  </si>
  <si>
    <t>Preço</t>
  </si>
  <si>
    <t>Financiamento</t>
  </si>
  <si>
    <t>Parcela aprox</t>
  </si>
  <si>
    <t>Estimativa 2023 Complementação VAAT (portaria 07/2022 de 29/12/2022, atualizada portaria 3 em 28/08)</t>
  </si>
  <si>
    <t>Combustível</t>
  </si>
  <si>
    <t>Hospedagem</t>
  </si>
  <si>
    <t>Total</t>
  </si>
  <si>
    <t>PERCENTUAL APLICADO 2023</t>
  </si>
  <si>
    <t>PERCENTUAL APLICADO DESCONSIDERANDO O PRECATÓRIO DO FUNDEF</t>
  </si>
  <si>
    <t>PRECATÓRIO DO FUNDEF</t>
  </si>
  <si>
    <t>RCL - PRECATÓRIO FUNDEF</t>
  </si>
  <si>
    <t>DESPESA PESSOAL ACUMULADO</t>
  </si>
  <si>
    <t>Receitas de Capital (convênios - op. Crédito)</t>
  </si>
  <si>
    <r>
      <t>DESPESA COM PESSOAL SOMENTE DO EXERCÍCIO DE</t>
    </r>
    <r>
      <rPr>
        <b/>
        <sz val="10"/>
        <color theme="1"/>
        <rFont val="Arial"/>
        <family val="2"/>
      </rPr>
      <t xml:space="preserve"> 2023</t>
    </r>
  </si>
  <si>
    <r>
      <t>DESPESA COM PESSOAL (</t>
    </r>
    <r>
      <rPr>
        <b/>
        <sz val="10"/>
        <color theme="1"/>
        <rFont val="Arial"/>
        <family val="2"/>
      </rPr>
      <t>ACUMULADO ÚLTIMOS 12 MESES</t>
    </r>
    <r>
      <rPr>
        <sz val="10"/>
        <color theme="1"/>
        <rFont val="Arial"/>
        <family val="2"/>
      </rPr>
      <t>)</t>
    </r>
  </si>
  <si>
    <t>DESPESA COM PESSOAL, EXCLUINDO RECEITA DO PRECATÓRIO DO FUNDEF</t>
  </si>
  <si>
    <t>FUNDEB - APLICAÇÃO 70%</t>
  </si>
  <si>
    <t>FUNDEB - APLICAÇÃO 30%</t>
  </si>
  <si>
    <t>FUNDEB VAAT - EDUCAÇÃO INFANTIL - MINIMO DE 50,41%</t>
  </si>
  <si>
    <t>FUNDEB VAAT - DESPESA CAPITAL - MÍNIMO DE 15%</t>
  </si>
  <si>
    <t>EDUCAÇÃO 25% (PERCENTUAL DA APLICAÇÃO PRÓPRIA)</t>
  </si>
  <si>
    <t>RECEITA PNAE 2023</t>
  </si>
  <si>
    <t>30% (AGRICULTURA FAMILIAR)</t>
  </si>
  <si>
    <t>DESPESA REALIZADA 2023</t>
  </si>
  <si>
    <t>PERCENTUAL REALIZADO</t>
  </si>
  <si>
    <t>DÉFICIT EM VALOR</t>
  </si>
  <si>
    <t>DÉFICIT EM PERCENTUAL</t>
  </si>
  <si>
    <t>2310090004 / 2</t>
  </si>
  <si>
    <t>222 / 8</t>
  </si>
  <si>
    <t>ESTORNOS DE PP CONTA PNAE</t>
  </si>
  <si>
    <t>PP 202310100004 - EMP 2307040010 / 4</t>
  </si>
  <si>
    <t>PP 202304240441 - EMP 168/5</t>
  </si>
  <si>
    <t>1 - Déficit entre a receita e a despesa do FUNDEB, o que indica a utilização de receita extra-orçamentária</t>
  </si>
  <si>
    <t>2 - Gastos em Saúde acima do limite mínimo dos 15%, que pode desequilibrar as contas municipais.</t>
  </si>
  <si>
    <t>3 - Atenção quando a recondução do limite da Despesa com Pessoal, com base na LC 178/2021.</t>
  </si>
  <si>
    <t>Vitória da Conquista - BA, 24/01/2024.</t>
  </si>
  <si>
    <t>SECRETARIA</t>
  </si>
  <si>
    <t>DESPESA PAGA</t>
  </si>
  <si>
    <t>RESTOS A PAGAR PARA 2024</t>
  </si>
  <si>
    <t>SUB-TOTAL PREFEITURA</t>
  </si>
  <si>
    <t>SECRETARIA DE SAÚDE</t>
  </si>
  <si>
    <t>SECRETARIA ASSISTÊNCIA SOCIAL</t>
  </si>
  <si>
    <t>SECRETARIA DE EDUCAÇÃO</t>
  </si>
  <si>
    <t>TOTAL (EXCLUINDO O PRECATÓRIO)</t>
  </si>
  <si>
    <t>INSS RETIDO</t>
  </si>
  <si>
    <t>GABINETE</t>
  </si>
  <si>
    <t>AGRICULTURA</t>
  </si>
  <si>
    <t>MEIO AMBIENTE</t>
  </si>
  <si>
    <t>DESPESA REALIZADA</t>
  </si>
  <si>
    <t>INSS PATRONAL</t>
  </si>
  <si>
    <t>JUVENTUDE, CULTURA</t>
  </si>
  <si>
    <t>SE EXCLUIR O PRECATÓRIO</t>
  </si>
  <si>
    <t>BANCOS, PLANOS, SINDICATOS</t>
  </si>
  <si>
    <t>CONSIGNADO, PLANOS, SINDICATOS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</si>
</sst>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[$-416]mmmm\-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FF0000"/>
      <name val="Microsoft Sans Serif"/>
      <family val="2"/>
    </font>
    <font>
      <sz val="7"/>
      <color rgb="FF000000"/>
      <name val="Microsoft Sans Serif"/>
      <family val="2"/>
    </font>
    <font>
      <b/>
      <sz val="10"/>
      <color rgb="FF0E4380"/>
      <name val="Tahoma"/>
      <family val="2"/>
    </font>
    <font>
      <sz val="12"/>
      <color rgb="FF000000"/>
      <name val="Arial"/>
      <family val="2"/>
    </font>
    <font>
      <sz val="12"/>
      <color rgb="FF080000"/>
      <name val="Times New Roman"/>
      <family val="1"/>
    </font>
    <font>
      <b/>
      <sz val="12"/>
      <color rgb="FF080000"/>
      <name val="Times New Roman"/>
      <family val="1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8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0"/>
      <color indexed="10"/>
      <name val="Arial"/>
      <family val="2"/>
    </font>
    <font>
      <b/>
      <sz val="7"/>
      <color theme="1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 MT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3D8F7"/>
        <bgColor indexed="64"/>
      </patternFill>
    </fill>
    <fill>
      <patternFill patternType="solid">
        <fgColor rgb="FFEDF4FC"/>
        <bgColor indexed="64"/>
      </patternFill>
    </fill>
    <fill>
      <patternFill patternType="solid">
        <fgColor indexed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horizontal="left" vertical="top" wrapText="1"/>
    </xf>
    <xf numFmtId="43" fontId="19" fillId="0" borderId="0" applyFont="0" applyFill="0" applyBorder="0" applyAlignment="0" applyProtection="0"/>
    <xf numFmtId="0" fontId="39" fillId="24" borderId="34" applyNumberFormat="0" applyAlignment="0" applyProtection="0"/>
    <xf numFmtId="0" fontId="40" fillId="25" borderId="35" applyNumberFormat="0" applyAlignment="0" applyProtection="0"/>
  </cellStyleXfs>
  <cellXfs count="435">
    <xf numFmtId="0" fontId="0" fillId="0" borderId="0" xfId="0"/>
    <xf numFmtId="0" fontId="2" fillId="0" borderId="11" xfId="0" applyFont="1" applyBorder="1"/>
    <xf numFmtId="0" fontId="2" fillId="0" borderId="7" xfId="0" applyFont="1" applyBorder="1" applyAlignment="1">
      <alignment horizontal="left"/>
    </xf>
    <xf numFmtId="4" fontId="0" fillId="0" borderId="0" xfId="0" applyNumberFormat="1"/>
    <xf numFmtId="44" fontId="9" fillId="0" borderId="7" xfId="1" applyFont="1" applyBorder="1"/>
    <xf numFmtId="44" fontId="11" fillId="0" borderId="7" xfId="1" applyFont="1" applyBorder="1"/>
    <xf numFmtId="0" fontId="10" fillId="0" borderId="0" xfId="0" applyFont="1"/>
    <xf numFmtId="165" fontId="10" fillId="0" borderId="0" xfId="0" applyNumberFormat="1" applyFont="1"/>
    <xf numFmtId="43" fontId="10" fillId="0" borderId="0" xfId="3" applyFont="1"/>
    <xf numFmtId="0" fontId="10" fillId="8" borderId="7" xfId="0" applyFont="1" applyFill="1" applyBorder="1" applyAlignment="1">
      <alignment horizontal="center"/>
    </xf>
    <xf numFmtId="0" fontId="10" fillId="0" borderId="7" xfId="0" applyFont="1" applyBorder="1"/>
    <xf numFmtId="43" fontId="9" fillId="0" borderId="7" xfId="3" applyFont="1" applyBorder="1" applyAlignment="1">
      <alignment horizontal="center"/>
    </xf>
    <xf numFmtId="43" fontId="10" fillId="0" borderId="7" xfId="3" applyFont="1" applyBorder="1" applyAlignment="1">
      <alignment horizontal="center"/>
    </xf>
    <xf numFmtId="43" fontId="9" fillId="0" borderId="22" xfId="3" applyFont="1" applyBorder="1" applyAlignment="1">
      <alignment horizontal="center"/>
    </xf>
    <xf numFmtId="43" fontId="10" fillId="0" borderId="7" xfId="3" applyFont="1" applyBorder="1"/>
    <xf numFmtId="43" fontId="9" fillId="0" borderId="7" xfId="3" applyFont="1" applyBorder="1"/>
    <xf numFmtId="165" fontId="10" fillId="0" borderId="7" xfId="0" applyNumberFormat="1" applyFont="1" applyBorder="1"/>
    <xf numFmtId="43" fontId="9" fillId="0" borderId="0" xfId="3" applyFont="1"/>
    <xf numFmtId="43" fontId="9" fillId="0" borderId="0" xfId="3" applyFont="1" applyAlignment="1">
      <alignment horizontal="center"/>
    </xf>
    <xf numFmtId="10" fontId="10" fillId="0" borderId="7" xfId="7" applyNumberFormat="1" applyFont="1" applyBorder="1"/>
    <xf numFmtId="0" fontId="10" fillId="0" borderId="7" xfId="0" applyFont="1" applyBorder="1" applyAlignment="1">
      <alignment wrapText="1"/>
    </xf>
    <xf numFmtId="43" fontId="10" fillId="0" borderId="7" xfId="3" applyFont="1" applyFill="1" applyBorder="1"/>
    <xf numFmtId="8" fontId="9" fillId="0" borderId="7" xfId="3" applyNumberFormat="1" applyFont="1" applyFill="1" applyBorder="1"/>
    <xf numFmtId="44" fontId="9" fillId="0" borderId="10" xfId="1" applyFont="1" applyBorder="1"/>
    <xf numFmtId="17" fontId="10" fillId="8" borderId="7" xfId="0" applyNumberFormat="1" applyFont="1" applyFill="1" applyBorder="1" applyAlignment="1">
      <alignment horizontal="center" vertical="center"/>
    </xf>
    <xf numFmtId="17" fontId="10" fillId="8" borderId="9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8" fontId="9" fillId="0" borderId="7" xfId="3" applyNumberFormat="1" applyFont="1" applyBorder="1"/>
    <xf numFmtId="0" fontId="6" fillId="12" borderId="0" xfId="4" applyFill="1" applyAlignment="1">
      <alignment vertical="center" wrapText="1"/>
    </xf>
    <xf numFmtId="0" fontId="17" fillId="12" borderId="0" xfId="0" applyFont="1" applyFill="1" applyAlignment="1">
      <alignment vertical="center" wrapText="1"/>
    </xf>
    <xf numFmtId="14" fontId="17" fillId="12" borderId="0" xfId="0" applyNumberFormat="1" applyFont="1" applyFill="1" applyAlignment="1">
      <alignment horizontal="center" vertical="center" wrapText="1"/>
    </xf>
    <xf numFmtId="8" fontId="17" fillId="12" borderId="0" xfId="0" applyNumberFormat="1" applyFont="1" applyFill="1" applyAlignment="1">
      <alignment horizontal="right" vertical="center" wrapText="1"/>
    </xf>
    <xf numFmtId="0" fontId="6" fillId="2" borderId="0" xfId="4" applyFill="1" applyAlignment="1">
      <alignment vertical="center" wrapText="1"/>
    </xf>
    <xf numFmtId="0" fontId="17" fillId="2" borderId="0" xfId="0" applyFont="1" applyFill="1" applyAlignment="1">
      <alignment vertical="center" wrapText="1"/>
    </xf>
    <xf numFmtId="14" fontId="17" fillId="2" borderId="0" xfId="0" applyNumberFormat="1" applyFont="1" applyFill="1" applyAlignment="1">
      <alignment horizontal="center" vertical="center" wrapText="1"/>
    </xf>
    <xf numFmtId="8" fontId="17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8" fillId="11" borderId="0" xfId="0" applyFont="1" applyFill="1" applyAlignment="1">
      <alignment horizontal="center" vertical="center" wrapText="1"/>
    </xf>
    <xf numFmtId="0" fontId="11" fillId="0" borderId="0" xfId="0" applyFont="1"/>
    <xf numFmtId="0" fontId="13" fillId="4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indent="2"/>
    </xf>
    <xf numFmtId="44" fontId="11" fillId="0" borderId="0" xfId="1" applyFont="1"/>
    <xf numFmtId="44" fontId="13" fillId="0" borderId="7" xfId="1" applyFont="1" applyBorder="1"/>
    <xf numFmtId="10" fontId="11" fillId="0" borderId="7" xfId="2" applyNumberFormat="1" applyFont="1" applyBorder="1"/>
    <xf numFmtId="0" fontId="9" fillId="0" borderId="7" xfId="0" applyFont="1" applyBorder="1" applyAlignment="1">
      <alignment wrapText="1"/>
    </xf>
    <xf numFmtId="44" fontId="11" fillId="0" borderId="0" xfId="1" applyFont="1" applyBorder="1"/>
    <xf numFmtId="0" fontId="13" fillId="0" borderId="7" xfId="0" applyFont="1" applyBorder="1"/>
    <xf numFmtId="0" fontId="11" fillId="0" borderId="7" xfId="0" applyFont="1" applyBorder="1" applyAlignment="1">
      <alignment horizontal="left" indent="2"/>
    </xf>
    <xf numFmtId="0" fontId="13" fillId="4" borderId="10" xfId="0" applyFont="1" applyFill="1" applyBorder="1" applyAlignment="1">
      <alignment horizontal="center" vertical="center"/>
    </xf>
    <xf numFmtId="0" fontId="13" fillId="0" borderId="0" xfId="0" applyFont="1"/>
    <xf numFmtId="44" fontId="13" fillId="0" borderId="0" xfId="1" applyFont="1" applyBorder="1"/>
    <xf numFmtId="10" fontId="13" fillId="0" borderId="2" xfId="2" applyNumberFormat="1" applyFont="1" applyBorder="1"/>
    <xf numFmtId="0" fontId="13" fillId="0" borderId="0" xfId="0" applyFont="1" applyAlignment="1">
      <alignment wrapText="1"/>
    </xf>
    <xf numFmtId="43" fontId="11" fillId="0" borderId="7" xfId="3" applyFont="1" applyBorder="1" applyAlignment="1" applyProtection="1">
      <alignment vertical="center" wrapText="1"/>
      <protection locked="0"/>
    </xf>
    <xf numFmtId="44" fontId="13" fillId="0" borderId="7" xfId="1" applyFont="1" applyBorder="1" applyAlignment="1">
      <alignment vertical="center" wrapText="1"/>
    </xf>
    <xf numFmtId="44" fontId="13" fillId="0" borderId="10" xfId="1" applyFont="1" applyBorder="1"/>
    <xf numFmtId="43" fontId="0" fillId="0" borderId="7" xfId="3" applyFont="1" applyBorder="1"/>
    <xf numFmtId="10" fontId="13" fillId="0" borderId="7" xfId="2" applyNumberFormat="1" applyFont="1" applyBorder="1"/>
    <xf numFmtId="10" fontId="13" fillId="0" borderId="0" xfId="2" applyNumberFormat="1" applyFont="1" applyBorder="1"/>
    <xf numFmtId="44" fontId="10" fillId="0" borderId="7" xfId="1" applyFont="1" applyBorder="1"/>
    <xf numFmtId="0" fontId="13" fillId="0" borderId="7" xfId="0" applyFont="1" applyBorder="1" applyAlignment="1">
      <alignment wrapText="1"/>
    </xf>
    <xf numFmtId="0" fontId="11" fillId="0" borderId="0" xfId="0" applyFont="1" applyAlignment="1">
      <alignment horizontal="left" indent="2"/>
    </xf>
    <xf numFmtId="0" fontId="11" fillId="0" borderId="7" xfId="0" applyFont="1" applyBorder="1"/>
    <xf numFmtId="0" fontId="11" fillId="0" borderId="7" xfId="0" applyFont="1" applyBorder="1" applyAlignment="1">
      <alignment wrapText="1"/>
    </xf>
    <xf numFmtId="4" fontId="11" fillId="0" borderId="7" xfId="0" applyNumberFormat="1" applyFont="1" applyBorder="1"/>
    <xf numFmtId="4" fontId="11" fillId="0" borderId="0" xfId="0" applyNumberFormat="1" applyFont="1"/>
    <xf numFmtId="4" fontId="21" fillId="13" borderId="0" xfId="0" applyNumberFormat="1" applyFont="1" applyFill="1" applyAlignment="1">
      <alignment horizontal="right" vertical="center" wrapText="1" readingOrder="1"/>
    </xf>
    <xf numFmtId="4" fontId="13" fillId="0" borderId="0" xfId="1" applyNumberFormat="1" applyFont="1" applyFill="1" applyBorder="1"/>
    <xf numFmtId="43" fontId="9" fillId="0" borderId="0" xfId="3" applyFont="1" applyBorder="1" applyAlignment="1">
      <alignment horizontal="center"/>
    </xf>
    <xf numFmtId="10" fontId="10" fillId="0" borderId="0" xfId="7" applyNumberFormat="1" applyFont="1" applyBorder="1"/>
    <xf numFmtId="0" fontId="24" fillId="0" borderId="0" xfId="0" applyFont="1"/>
    <xf numFmtId="4" fontId="24" fillId="0" borderId="7" xfId="0" applyNumberFormat="1" applyFont="1" applyBorder="1"/>
    <xf numFmtId="4" fontId="24" fillId="0" borderId="0" xfId="0" applyNumberFormat="1" applyFont="1"/>
    <xf numFmtId="0" fontId="24" fillId="0" borderId="7" xfId="0" applyFont="1" applyBorder="1"/>
    <xf numFmtId="43" fontId="9" fillId="0" borderId="7" xfId="3" applyFont="1" applyFill="1" applyBorder="1"/>
    <xf numFmtId="0" fontId="9" fillId="0" borderId="7" xfId="0" applyFont="1" applyBorder="1"/>
    <xf numFmtId="0" fontId="3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43" fontId="3" fillId="0" borderId="0" xfId="0" applyNumberFormat="1" applyFont="1"/>
    <xf numFmtId="43" fontId="3" fillId="0" borderId="0" xfId="3" applyFont="1"/>
    <xf numFmtId="4" fontId="3" fillId="0" borderId="0" xfId="0" applyNumberFormat="1" applyFont="1"/>
    <xf numFmtId="0" fontId="27" fillId="0" borderId="0" xfId="0" applyFont="1"/>
    <xf numFmtId="43" fontId="10" fillId="0" borderId="0" xfId="3" applyFont="1" applyAlignment="1">
      <alignment horizontal="center"/>
    </xf>
    <xf numFmtId="43" fontId="28" fillId="0" borderId="0" xfId="3" applyFont="1" applyAlignment="1">
      <alignment horizontal="center"/>
    </xf>
    <xf numFmtId="43" fontId="29" fillId="0" borderId="0" xfId="3" applyFont="1" applyAlignment="1">
      <alignment horizontal="center"/>
    </xf>
    <xf numFmtId="44" fontId="10" fillId="0" borderId="7" xfId="1" applyFont="1" applyBorder="1" applyAlignment="1">
      <alignment horizontal="center"/>
    </xf>
    <xf numFmtId="0" fontId="9" fillId="0" borderId="10" xfId="0" applyFont="1" applyBorder="1"/>
    <xf numFmtId="10" fontId="10" fillId="0" borderId="0" xfId="7" applyNumberFormat="1" applyFont="1"/>
    <xf numFmtId="44" fontId="9" fillId="0" borderId="0" xfId="1" applyFont="1" applyAlignment="1">
      <alignment horizontal="left"/>
    </xf>
    <xf numFmtId="44" fontId="9" fillId="0" borderId="0" xfId="1" applyFont="1"/>
    <xf numFmtId="44" fontId="9" fillId="0" borderId="0" xfId="0" applyNumberFormat="1" applyFont="1"/>
    <xf numFmtId="0" fontId="25" fillId="0" borderId="0" xfId="0" applyFont="1"/>
    <xf numFmtId="0" fontId="22" fillId="0" borderId="0" xfId="0" applyFont="1"/>
    <xf numFmtId="44" fontId="22" fillId="0" borderId="0" xfId="0" applyNumberFormat="1" applyFont="1"/>
    <xf numFmtId="44" fontId="30" fillId="0" borderId="0" xfId="1" applyFont="1"/>
    <xf numFmtId="43" fontId="10" fillId="0" borderId="0" xfId="3" applyFont="1" applyBorder="1" applyAlignment="1">
      <alignment horizontal="center"/>
    </xf>
    <xf numFmtId="0" fontId="5" fillId="0" borderId="0" xfId="0" applyFont="1"/>
    <xf numFmtId="165" fontId="9" fillId="0" borderId="7" xfId="0" applyNumberFormat="1" applyFont="1" applyBorder="1"/>
    <xf numFmtId="0" fontId="3" fillId="0" borderId="0" xfId="0" applyFont="1" applyAlignment="1">
      <alignment horizontal="center"/>
    </xf>
    <xf numFmtId="10" fontId="7" fillId="15" borderId="7" xfId="0" applyNumberFormat="1" applyFont="1" applyFill="1" applyBorder="1"/>
    <xf numFmtId="43" fontId="24" fillId="0" borderId="0" xfId="3" applyFont="1"/>
    <xf numFmtId="43" fontId="24" fillId="0" borderId="0" xfId="0" applyNumberFormat="1" applyFont="1"/>
    <xf numFmtId="44" fontId="24" fillId="0" borderId="7" xfId="0" applyNumberFormat="1" applyFont="1" applyBorder="1"/>
    <xf numFmtId="43" fontId="32" fillId="13" borderId="7" xfId="3" applyFont="1" applyFill="1" applyBorder="1" applyAlignment="1">
      <alignment horizontal="right" vertical="center" wrapText="1" readingOrder="1"/>
    </xf>
    <xf numFmtId="43" fontId="24" fillId="0" borderId="7" xfId="3" applyFont="1" applyBorder="1"/>
    <xf numFmtId="43" fontId="23" fillId="0" borderId="7" xfId="3" applyFont="1" applyBorder="1"/>
    <xf numFmtId="0" fontId="23" fillId="0" borderId="0" xfId="0" applyFont="1"/>
    <xf numFmtId="10" fontId="24" fillId="0" borderId="0" xfId="2" applyNumberFormat="1" applyFont="1"/>
    <xf numFmtId="0" fontId="13" fillId="16" borderId="7" xfId="0" applyFont="1" applyFill="1" applyBorder="1" applyAlignment="1">
      <alignment horizontal="center" wrapText="1"/>
    </xf>
    <xf numFmtId="43" fontId="21" fillId="13" borderId="7" xfId="3" applyFont="1" applyFill="1" applyBorder="1" applyAlignment="1">
      <alignment horizontal="right" vertical="center" wrapText="1" readingOrder="1"/>
    </xf>
    <xf numFmtId="43" fontId="13" fillId="16" borderId="7" xfId="0" applyNumberFormat="1" applyFont="1" applyFill="1" applyBorder="1" applyAlignment="1">
      <alignment horizontal="center" wrapText="1"/>
    </xf>
    <xf numFmtId="10" fontId="11" fillId="0" borderId="0" xfId="2" applyNumberFormat="1" applyFont="1" applyBorder="1"/>
    <xf numFmtId="0" fontId="13" fillId="16" borderId="7" xfId="0" applyFont="1" applyFill="1" applyBorder="1" applyAlignment="1">
      <alignment wrapText="1"/>
    </xf>
    <xf numFmtId="0" fontId="33" fillId="16" borderId="19" xfId="0" applyFont="1" applyFill="1" applyBorder="1" applyAlignment="1">
      <alignment horizontal="center" vertical="center" wrapText="1"/>
    </xf>
    <xf numFmtId="0" fontId="33" fillId="16" borderId="25" xfId="0" applyFont="1" applyFill="1" applyBorder="1" applyAlignment="1">
      <alignment horizontal="center" vertical="center" wrapText="1"/>
    </xf>
    <xf numFmtId="0" fontId="19" fillId="0" borderId="7" xfId="0" applyFont="1" applyBorder="1"/>
    <xf numFmtId="44" fontId="19" fillId="0" borderId="7" xfId="1" applyFont="1" applyBorder="1"/>
    <xf numFmtId="44" fontId="11" fillId="0" borderId="7" xfId="0" applyNumberFormat="1" applyFont="1" applyBorder="1"/>
    <xf numFmtId="44" fontId="33" fillId="16" borderId="7" xfId="0" applyNumberFormat="1" applyFont="1" applyFill="1" applyBorder="1" applyAlignment="1">
      <alignment horizontal="center" vertical="center" wrapText="1"/>
    </xf>
    <xf numFmtId="0" fontId="11" fillId="16" borderId="7" xfId="0" applyFont="1" applyFill="1" applyBorder="1"/>
    <xf numFmtId="0" fontId="33" fillId="16" borderId="7" xfId="0" applyFont="1" applyFill="1" applyBorder="1" applyAlignment="1">
      <alignment horizontal="center" vertical="center"/>
    </xf>
    <xf numFmtId="44" fontId="19" fillId="0" borderId="7" xfId="1" applyFont="1" applyFill="1" applyBorder="1"/>
    <xf numFmtId="44" fontId="11" fillId="0" borderId="7" xfId="1" applyFont="1" applyFill="1" applyBorder="1"/>
    <xf numFmtId="44" fontId="11" fillId="0" borderId="0" xfId="0" applyNumberFormat="1" applyFont="1"/>
    <xf numFmtId="44" fontId="11" fillId="16" borderId="7" xfId="0" applyNumberFormat="1" applyFont="1" applyFill="1" applyBorder="1"/>
    <xf numFmtId="0" fontId="13" fillId="18" borderId="7" xfId="0" applyFont="1" applyFill="1" applyBorder="1"/>
    <xf numFmtId="10" fontId="13" fillId="18" borderId="7" xfId="2" applyNumberFormat="1" applyFont="1" applyFill="1" applyBorder="1"/>
    <xf numFmtId="44" fontId="2" fillId="0" borderId="7" xfId="1" applyFont="1" applyFill="1" applyBorder="1"/>
    <xf numFmtId="0" fontId="2" fillId="0" borderId="7" xfId="0" applyFont="1" applyBorder="1" applyAlignment="1">
      <alignment horizontal="left" indent="1"/>
    </xf>
    <xf numFmtId="0" fontId="2" fillId="5" borderId="1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4" fillId="0" borderId="5" xfId="0" applyFont="1" applyBorder="1"/>
    <xf numFmtId="44" fontId="23" fillId="0" borderId="1" xfId="1" applyFont="1" applyBorder="1"/>
    <xf numFmtId="0" fontId="24" fillId="0" borderId="1" xfId="0" applyFont="1" applyBorder="1" applyAlignment="1">
      <alignment horizontal="left" indent="2"/>
    </xf>
    <xf numFmtId="44" fontId="24" fillId="0" borderId="1" xfId="1" applyFont="1" applyBorder="1"/>
    <xf numFmtId="0" fontId="23" fillId="0" borderId="1" xfId="0" applyFont="1" applyBorder="1"/>
    <xf numFmtId="44" fontId="23" fillId="0" borderId="15" xfId="1" applyFont="1" applyBorder="1"/>
    <xf numFmtId="0" fontId="36" fillId="0" borderId="15" xfId="0" applyFont="1" applyBorder="1"/>
    <xf numFmtId="0" fontId="4" fillId="7" borderId="17" xfId="0" applyFont="1" applyFill="1" applyBorder="1"/>
    <xf numFmtId="4" fontId="24" fillId="0" borderId="7" xfId="3" applyNumberFormat="1" applyFont="1" applyBorder="1" applyProtection="1">
      <protection locked="0"/>
    </xf>
    <xf numFmtId="4" fontId="8" fillId="0" borderId="0" xfId="3" applyNumberFormat="1" applyFont="1" applyBorder="1" applyAlignment="1" applyProtection="1">
      <alignment horizontal="center"/>
      <protection locked="0"/>
    </xf>
    <xf numFmtId="4" fontId="35" fillId="0" borderId="0" xfId="3" applyNumberFormat="1" applyFont="1" applyBorder="1" applyProtection="1">
      <protection locked="0"/>
    </xf>
    <xf numFmtId="4" fontId="8" fillId="0" borderId="0" xfId="3" applyNumberFormat="1" applyFont="1" applyFill="1" applyBorder="1" applyAlignment="1" applyProtection="1">
      <alignment horizontal="center"/>
      <protection locked="0"/>
    </xf>
    <xf numFmtId="4" fontId="8" fillId="0" borderId="0" xfId="3" applyNumberFormat="1" applyFont="1" applyFill="1" applyBorder="1" applyProtection="1">
      <protection locked="0"/>
    </xf>
    <xf numFmtId="44" fontId="8" fillId="0" borderId="0" xfId="1" applyFont="1" applyFill="1" applyBorder="1" applyProtection="1">
      <protection locked="0"/>
    </xf>
    <xf numFmtId="10" fontId="8" fillId="0" borderId="0" xfId="2" applyNumberFormat="1" applyFont="1" applyFill="1" applyBorder="1" applyProtection="1">
      <protection locked="0"/>
    </xf>
    <xf numFmtId="4" fontId="35" fillId="0" borderId="0" xfId="3" applyNumberFormat="1" applyFont="1" applyFill="1" applyBorder="1" applyProtection="1">
      <protection locked="0"/>
    </xf>
    <xf numFmtId="43" fontId="11" fillId="0" borderId="0" xfId="3" applyFont="1"/>
    <xf numFmtId="44" fontId="13" fillId="0" borderId="7" xfId="2" applyNumberFormat="1" applyFont="1" applyBorder="1"/>
    <xf numFmtId="4" fontId="14" fillId="0" borderId="7" xfId="3" applyNumberFormat="1" applyFont="1" applyBorder="1" applyProtection="1">
      <protection locked="0"/>
    </xf>
    <xf numFmtId="43" fontId="23" fillId="10" borderId="7" xfId="3" applyFont="1" applyFill="1" applyBorder="1"/>
    <xf numFmtId="43" fontId="24" fillId="0" borderId="7" xfId="3" applyFont="1" applyFill="1" applyBorder="1"/>
    <xf numFmtId="43" fontId="24" fillId="14" borderId="7" xfId="3" applyFont="1" applyFill="1" applyBorder="1"/>
    <xf numFmtId="43" fontId="20" fillId="13" borderId="7" xfId="3" applyFont="1" applyFill="1" applyBorder="1" applyAlignment="1">
      <alignment horizontal="right" vertical="center" wrapText="1" readingOrder="1"/>
    </xf>
    <xf numFmtId="0" fontId="13" fillId="16" borderId="9" xfId="0" applyFont="1" applyFill="1" applyBorder="1" applyAlignment="1">
      <alignment horizontal="center" wrapText="1"/>
    </xf>
    <xf numFmtId="0" fontId="13" fillId="16" borderId="8" xfId="0" applyFont="1" applyFill="1" applyBorder="1" applyAlignment="1">
      <alignment horizontal="center" wrapText="1"/>
    </xf>
    <xf numFmtId="0" fontId="13" fillId="16" borderId="10" xfId="0" applyFont="1" applyFill="1" applyBorder="1" applyAlignment="1">
      <alignment horizontal="center" vertical="center"/>
    </xf>
    <xf numFmtId="43" fontId="11" fillId="0" borderId="0" xfId="0" applyNumberFormat="1" applyFont="1"/>
    <xf numFmtId="43" fontId="11" fillId="0" borderId="7" xfId="3" applyFont="1" applyBorder="1"/>
    <xf numFmtId="43" fontId="13" fillId="0" borderId="7" xfId="0" applyNumberFormat="1" applyFont="1" applyBorder="1"/>
    <xf numFmtId="43" fontId="13" fillId="0" borderId="0" xfId="3" applyFont="1" applyBorder="1"/>
    <xf numFmtId="10" fontId="11" fillId="0" borderId="0" xfId="0" applyNumberFormat="1" applyFont="1"/>
    <xf numFmtId="0" fontId="13" fillId="16" borderId="7" xfId="0" applyFont="1" applyFill="1" applyBorder="1" applyAlignment="1">
      <alignment horizontal="center"/>
    </xf>
    <xf numFmtId="43" fontId="9" fillId="0" borderId="0" xfId="3" applyFont="1" applyFill="1" applyBorder="1"/>
    <xf numFmtId="17" fontId="9" fillId="0" borderId="0" xfId="3" applyNumberFormat="1" applyFont="1" applyFill="1" applyBorder="1"/>
    <xf numFmtId="43" fontId="0" fillId="0" borderId="0" xfId="3" applyFont="1"/>
    <xf numFmtId="4" fontId="13" fillId="16" borderId="7" xfId="0" applyNumberFormat="1" applyFont="1" applyFill="1" applyBorder="1" applyAlignment="1">
      <alignment horizontal="center"/>
    </xf>
    <xf numFmtId="10" fontId="11" fillId="0" borderId="0" xfId="2" applyNumberFormat="1" applyFont="1"/>
    <xf numFmtId="44" fontId="0" fillId="0" borderId="0" xfId="0" applyNumberFormat="1"/>
    <xf numFmtId="43" fontId="13" fillId="0" borderId="0" xfId="3" applyFont="1"/>
    <xf numFmtId="43" fontId="9" fillId="16" borderId="7" xfId="3" applyFont="1" applyFill="1" applyBorder="1"/>
    <xf numFmtId="8" fontId="9" fillId="16" borderId="7" xfId="3" applyNumberFormat="1" applyFont="1" applyFill="1" applyBorder="1"/>
    <xf numFmtId="43" fontId="13" fillId="0" borderId="7" xfId="3" applyFont="1" applyBorder="1"/>
    <xf numFmtId="43" fontId="13" fillId="0" borderId="7" xfId="3" applyFont="1" applyBorder="1" applyAlignment="1">
      <alignment vertical="center" wrapText="1"/>
    </xf>
    <xf numFmtId="43" fontId="11" fillId="0" borderId="10" xfId="3" applyFont="1" applyBorder="1" applyAlignment="1" applyProtection="1">
      <alignment vertical="center" wrapText="1"/>
      <protection locked="0"/>
    </xf>
    <xf numFmtId="43" fontId="11" fillId="0" borderId="7" xfId="3" applyFont="1" applyBorder="1" applyAlignment="1">
      <alignment vertical="center" wrapText="1"/>
    </xf>
    <xf numFmtId="0" fontId="13" fillId="0" borderId="7" xfId="0" applyFont="1" applyBorder="1" applyAlignment="1">
      <alignment horizontal="center" wrapText="1"/>
    </xf>
    <xf numFmtId="0" fontId="13" fillId="20" borderId="7" xfId="0" applyFont="1" applyFill="1" applyBorder="1" applyAlignment="1">
      <alignment horizontal="center" wrapText="1"/>
    </xf>
    <xf numFmtId="43" fontId="21" fillId="20" borderId="7" xfId="3" applyFont="1" applyFill="1" applyBorder="1" applyAlignment="1">
      <alignment horizontal="right" vertical="center" wrapText="1" readingOrder="1"/>
    </xf>
    <xf numFmtId="10" fontId="11" fillId="20" borderId="7" xfId="2" applyNumberFormat="1" applyFont="1" applyFill="1" applyBorder="1"/>
    <xf numFmtId="0" fontId="13" fillId="20" borderId="7" xfId="0" applyFont="1" applyFill="1" applyBorder="1" applyAlignment="1">
      <alignment wrapText="1"/>
    </xf>
    <xf numFmtId="10" fontId="13" fillId="20" borderId="7" xfId="2" applyNumberFormat="1" applyFont="1" applyFill="1" applyBorder="1"/>
    <xf numFmtId="44" fontId="13" fillId="0" borderId="7" xfId="0" applyNumberFormat="1" applyFont="1" applyBorder="1"/>
    <xf numFmtId="164" fontId="13" fillId="0" borderId="7" xfId="0" applyNumberFormat="1" applyFont="1" applyBorder="1"/>
    <xf numFmtId="4" fontId="13" fillId="0" borderId="7" xfId="0" applyNumberFormat="1" applyFont="1" applyBorder="1"/>
    <xf numFmtId="43" fontId="10" fillId="21" borderId="7" xfId="3" applyFont="1" applyFill="1" applyBorder="1"/>
    <xf numFmtId="4" fontId="7" fillId="5" borderId="3" xfId="3" applyNumberFormat="1" applyFont="1" applyFill="1" applyBorder="1" applyAlignment="1" applyProtection="1">
      <alignment horizontal="center" vertical="center" wrapText="1"/>
      <protection locked="0"/>
    </xf>
    <xf numFmtId="0" fontId="13" fillId="22" borderId="7" xfId="0" applyFont="1" applyFill="1" applyBorder="1" applyAlignment="1">
      <alignment horizontal="center"/>
    </xf>
    <xf numFmtId="43" fontId="24" fillId="0" borderId="7" xfId="3" applyFont="1" applyFill="1" applyBorder="1" applyAlignment="1">
      <alignment wrapText="1"/>
    </xf>
    <xf numFmtId="0" fontId="11" fillId="0" borderId="7" xfId="0" applyFont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164" fontId="11" fillId="0" borderId="0" xfId="0" applyNumberFormat="1" applyFont="1"/>
    <xf numFmtId="164" fontId="13" fillId="0" borderId="0" xfId="0" applyNumberFormat="1" applyFont="1"/>
    <xf numFmtId="44" fontId="13" fillId="0" borderId="0" xfId="0" applyNumberFormat="1" applyFont="1"/>
    <xf numFmtId="43" fontId="20" fillId="0" borderId="7" xfId="3" applyFont="1" applyFill="1" applyBorder="1" applyAlignment="1">
      <alignment horizontal="right" vertical="center" wrapText="1" readingOrder="1"/>
    </xf>
    <xf numFmtId="43" fontId="14" fillId="0" borderId="7" xfId="3" applyFont="1" applyFill="1" applyBorder="1"/>
    <xf numFmtId="10" fontId="11" fillId="0" borderId="7" xfId="2" applyNumberFormat="1" applyFont="1" applyFill="1" applyBorder="1"/>
    <xf numFmtId="43" fontId="0" fillId="0" borderId="0" xfId="0" applyNumberFormat="1"/>
    <xf numFmtId="10" fontId="0" fillId="0" borderId="0" xfId="2" applyNumberFormat="1" applyFont="1"/>
    <xf numFmtId="0" fontId="23" fillId="5" borderId="1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left" vertical="top" wrapText="1"/>
    </xf>
    <xf numFmtId="43" fontId="23" fillId="0" borderId="7" xfId="3" applyFont="1" applyFill="1" applyBorder="1"/>
    <xf numFmtId="0" fontId="13" fillId="0" borderId="27" xfId="0" applyFont="1" applyBorder="1" applyAlignment="1">
      <alignment vertical="center"/>
    </xf>
    <xf numFmtId="43" fontId="11" fillId="0" borderId="7" xfId="3" applyFont="1" applyFill="1" applyBorder="1"/>
    <xf numFmtId="0" fontId="23" fillId="0" borderId="7" xfId="0" applyFont="1" applyBorder="1" applyAlignment="1">
      <alignment horizontal="center"/>
    </xf>
    <xf numFmtId="43" fontId="24" fillId="0" borderId="0" xfId="3" applyFont="1" applyFill="1"/>
    <xf numFmtId="0" fontId="14" fillId="10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3" fillId="10" borderId="7" xfId="0" applyFont="1" applyFill="1" applyBorder="1"/>
    <xf numFmtId="0" fontId="24" fillId="0" borderId="7" xfId="0" applyFont="1" applyBorder="1" applyAlignment="1">
      <alignment horizontal="left" vertical="top"/>
    </xf>
    <xf numFmtId="0" fontId="24" fillId="14" borderId="7" xfId="0" applyFont="1" applyFill="1" applyBorder="1"/>
    <xf numFmtId="0" fontId="23" fillId="15" borderId="7" xfId="0" applyFont="1" applyFill="1" applyBorder="1"/>
    <xf numFmtId="43" fontId="23" fillId="15" borderId="7" xfId="3" applyFont="1" applyFill="1" applyBorder="1"/>
    <xf numFmtId="43" fontId="23" fillId="19" borderId="7" xfId="3" applyFont="1" applyFill="1" applyBorder="1"/>
    <xf numFmtId="0" fontId="23" fillId="19" borderId="7" xfId="0" applyFont="1" applyFill="1" applyBorder="1"/>
    <xf numFmtId="43" fontId="23" fillId="19" borderId="7" xfId="0" applyNumberFormat="1" applyFont="1" applyFill="1" applyBorder="1"/>
    <xf numFmtId="0" fontId="23" fillId="0" borderId="7" xfId="0" applyFont="1" applyBorder="1" applyAlignment="1">
      <alignment wrapText="1"/>
    </xf>
    <xf numFmtId="0" fontId="24" fillId="0" borderId="7" xfId="0" applyFont="1" applyBorder="1" applyAlignment="1">
      <alignment wrapText="1"/>
    </xf>
    <xf numFmtId="43" fontId="13" fillId="0" borderId="7" xfId="3" applyFont="1" applyFill="1" applyBorder="1"/>
    <xf numFmtId="43" fontId="13" fillId="20" borderId="7" xfId="3" applyFont="1" applyFill="1" applyBorder="1"/>
    <xf numFmtId="43" fontId="20" fillId="0" borderId="7" xfId="3" applyFont="1" applyBorder="1" applyAlignment="1">
      <alignment horizontal="right" vertical="center" wrapText="1" readingOrder="1"/>
    </xf>
    <xf numFmtId="43" fontId="21" fillId="13" borderId="0" xfId="3" applyFont="1" applyFill="1" applyAlignment="1">
      <alignment horizontal="right" vertical="center" wrapText="1" readingOrder="1"/>
    </xf>
    <xf numFmtId="43" fontId="13" fillId="0" borderId="11" xfId="3" applyFont="1" applyFill="1" applyBorder="1"/>
    <xf numFmtId="4" fontId="13" fillId="0" borderId="0" xfId="0" applyNumberFormat="1" applyFont="1"/>
    <xf numFmtId="0" fontId="13" fillId="0" borderId="0" xfId="0" applyFont="1" applyAlignment="1">
      <alignment horizontal="center"/>
    </xf>
    <xf numFmtId="10" fontId="2" fillId="7" borderId="18" xfId="2" applyNumberFormat="1" applyFont="1" applyFill="1" applyBorder="1"/>
    <xf numFmtId="164" fontId="0" fillId="0" borderId="0" xfId="0" applyNumberFormat="1"/>
    <xf numFmtId="4" fontId="0" fillId="23" borderId="7" xfId="0" applyNumberFormat="1" applyFill="1" applyBorder="1"/>
    <xf numFmtId="17" fontId="10" fillId="20" borderId="7" xfId="0" applyNumberFormat="1" applyFont="1" applyFill="1" applyBorder="1" applyAlignment="1">
      <alignment horizontal="center"/>
    </xf>
    <xf numFmtId="17" fontId="10" fillId="3" borderId="7" xfId="0" applyNumberFormat="1" applyFont="1" applyFill="1" applyBorder="1" applyAlignment="1">
      <alignment horizontal="center"/>
    </xf>
    <xf numFmtId="43" fontId="9" fillId="7" borderId="7" xfId="3" applyFont="1" applyFill="1" applyBorder="1"/>
    <xf numFmtId="43" fontId="9" fillId="16" borderId="7" xfId="3" applyFont="1" applyFill="1" applyBorder="1" applyAlignment="1">
      <alignment horizontal="center"/>
    </xf>
    <xf numFmtId="0" fontId="3" fillId="0" borderId="7" xfId="0" applyFont="1" applyBorder="1"/>
    <xf numFmtId="4" fontId="8" fillId="7" borderId="22" xfId="3" applyNumberFormat="1" applyFont="1" applyFill="1" applyBorder="1" applyAlignment="1" applyProtection="1">
      <alignment vertical="center" wrapText="1"/>
      <protection locked="0"/>
    </xf>
    <xf numFmtId="4" fontId="8" fillId="7" borderId="0" xfId="3" applyNumberFormat="1" applyFont="1" applyFill="1" applyBorder="1" applyAlignment="1" applyProtection="1">
      <alignment vertical="center" wrapText="1"/>
      <protection locked="0"/>
    </xf>
    <xf numFmtId="4" fontId="10" fillId="0" borderId="0" xfId="3" applyNumberFormat="1" applyFont="1" applyFill="1" applyBorder="1" applyAlignment="1" applyProtection="1">
      <alignment horizontal="center" vertical="center"/>
      <protection locked="0"/>
    </xf>
    <xf numFmtId="0" fontId="24" fillId="0" borderId="7" xfId="0" applyFont="1" applyBorder="1" applyAlignment="1">
      <alignment horizontal="left" indent="1"/>
    </xf>
    <xf numFmtId="43" fontId="24" fillId="0" borderId="7" xfId="3" applyFont="1" applyBorder="1" applyAlignment="1">
      <alignment horizontal="center"/>
    </xf>
    <xf numFmtId="44" fontId="24" fillId="0" borderId="7" xfId="1" applyFont="1" applyBorder="1"/>
    <xf numFmtId="10" fontId="24" fillId="0" borderId="7" xfId="0" applyNumberFormat="1" applyFont="1" applyBorder="1" applyAlignment="1">
      <alignment horizontal="center"/>
    </xf>
    <xf numFmtId="10" fontId="24" fillId="0" borderId="7" xfId="2" applyNumberFormat="1" applyFont="1" applyBorder="1" applyAlignment="1">
      <alignment horizontal="center"/>
    </xf>
    <xf numFmtId="0" fontId="2" fillId="0" borderId="19" xfId="0" applyFont="1" applyBorder="1"/>
    <xf numFmtId="164" fontId="2" fillId="0" borderId="25" xfId="0" applyNumberFormat="1" applyFont="1" applyBorder="1"/>
    <xf numFmtId="0" fontId="0" fillId="0" borderId="7" xfId="0" applyBorder="1"/>
    <xf numFmtId="10" fontId="0" fillId="0" borderId="7" xfId="2" applyNumberFormat="1" applyFont="1" applyBorder="1"/>
    <xf numFmtId="4" fontId="23" fillId="0" borderId="7" xfId="0" applyNumberFormat="1" applyFont="1" applyBorder="1"/>
    <xf numFmtId="10" fontId="23" fillId="0" borderId="7" xfId="0" applyNumberFormat="1" applyFont="1" applyBorder="1" applyAlignment="1">
      <alignment horizontal="center"/>
    </xf>
    <xf numFmtId="0" fontId="13" fillId="5" borderId="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43" fontId="24" fillId="0" borderId="7" xfId="3" applyFont="1" applyBorder="1" applyAlignment="1"/>
    <xf numFmtId="44" fontId="24" fillId="0" borderId="7" xfId="1" applyFont="1" applyBorder="1" applyAlignment="1">
      <alignment horizontal="center"/>
    </xf>
    <xf numFmtId="4" fontId="0" fillId="0" borderId="7" xfId="0" applyNumberFormat="1" applyBorder="1"/>
    <xf numFmtId="0" fontId="8" fillId="0" borderId="7" xfId="0" applyFont="1" applyBorder="1" applyAlignment="1">
      <alignment horizontal="center" vertical="center" wrapText="1"/>
    </xf>
    <xf numFmtId="9" fontId="8" fillId="0" borderId="7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3" fontId="14" fillId="0" borderId="0" xfId="3" applyFont="1" applyFill="1" applyBorder="1" applyAlignment="1">
      <alignment horizontal="right" vertical="center"/>
    </xf>
    <xf numFmtId="43" fontId="14" fillId="0" borderId="7" xfId="3" applyFont="1" applyFill="1" applyBorder="1" applyAlignment="1">
      <alignment horizontal="right" vertical="center"/>
    </xf>
    <xf numFmtId="9" fontId="14" fillId="0" borderId="7" xfId="2" applyFont="1" applyFill="1" applyBorder="1" applyAlignment="1">
      <alignment horizontal="center" vertical="center"/>
    </xf>
    <xf numFmtId="0" fontId="14" fillId="0" borderId="7" xfId="0" applyFont="1" applyBorder="1"/>
    <xf numFmtId="0" fontId="14" fillId="0" borderId="0" xfId="0" applyFont="1"/>
    <xf numFmtId="1" fontId="14" fillId="0" borderId="7" xfId="0" applyNumberFormat="1" applyFont="1" applyBorder="1" applyAlignment="1">
      <alignment horizontal="right" vertical="top" shrinkToFit="1"/>
    </xf>
    <xf numFmtId="43" fontId="14" fillId="0" borderId="7" xfId="3" applyFont="1" applyFill="1" applyBorder="1" applyAlignment="1">
      <alignment horizontal="right" vertical="center" wrapText="1"/>
    </xf>
    <xf numFmtId="43" fontId="42" fillId="0" borderId="7" xfId="3" applyFont="1" applyFill="1" applyBorder="1" applyAlignment="1">
      <alignment horizontal="right" vertical="center" shrinkToFit="1"/>
    </xf>
    <xf numFmtId="9" fontId="4" fillId="25" borderId="7" xfId="14" applyNumberFormat="1" applyFont="1" applyBorder="1" applyAlignment="1">
      <alignment horizontal="center" vertical="center" wrapText="1"/>
    </xf>
    <xf numFmtId="43" fontId="14" fillId="0" borderId="7" xfId="0" applyNumberFormat="1" applyFont="1" applyBorder="1" applyAlignment="1">
      <alignment vertical="center"/>
    </xf>
    <xf numFmtId="4" fontId="14" fillId="0" borderId="7" xfId="0" applyNumberFormat="1" applyFont="1" applyBorder="1"/>
    <xf numFmtId="43" fontId="8" fillId="0" borderId="7" xfId="3" applyFont="1" applyFill="1" applyBorder="1" applyAlignment="1">
      <alignment horizontal="right" vertical="center"/>
    </xf>
    <xf numFmtId="43" fontId="8" fillId="0" borderId="7" xfId="3" applyFont="1" applyFill="1" applyBorder="1"/>
    <xf numFmtId="9" fontId="41" fillId="25" borderId="7" xfId="14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top" wrapText="1"/>
    </xf>
    <xf numFmtId="0" fontId="8" fillId="0" borderId="0" xfId="0" applyFont="1"/>
    <xf numFmtId="43" fontId="8" fillId="0" borderId="7" xfId="0" applyNumberFormat="1" applyFont="1" applyBorder="1" applyAlignment="1">
      <alignment vertical="center"/>
    </xf>
    <xf numFmtId="43" fontId="14" fillId="0" borderId="7" xfId="3" applyFont="1" applyFill="1" applyBorder="1" applyAlignment="1">
      <alignment horizontal="right" vertical="center" shrinkToFit="1"/>
    </xf>
    <xf numFmtId="9" fontId="14" fillId="0" borderId="0" xfId="2" applyFont="1" applyFill="1" applyBorder="1" applyAlignment="1">
      <alignment horizontal="center" vertical="center"/>
    </xf>
    <xf numFmtId="9" fontId="41" fillId="24" borderId="34" xfId="13" applyNumberFormat="1" applyFont="1" applyAlignment="1">
      <alignment horizontal="center" vertical="center" wrapText="1"/>
    </xf>
    <xf numFmtId="9" fontId="41" fillId="24" borderId="34" xfId="13" applyNumberFormat="1" applyFont="1" applyAlignment="1">
      <alignment horizontal="center" vertical="center"/>
    </xf>
    <xf numFmtId="9" fontId="4" fillId="24" borderId="34" xfId="13" applyNumberFormat="1" applyFont="1" applyAlignment="1">
      <alignment horizontal="center" vertical="center"/>
    </xf>
    <xf numFmtId="43" fontId="8" fillId="0" borderId="7" xfId="3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9" fontId="41" fillId="0" borderId="34" xfId="13" applyNumberFormat="1" applyFont="1" applyFill="1" applyAlignment="1">
      <alignment horizontal="center" vertical="center"/>
    </xf>
    <xf numFmtId="9" fontId="41" fillId="0" borderId="7" xfId="14" applyNumberFormat="1" applyFont="1" applyFill="1" applyBorder="1" applyAlignment="1">
      <alignment horizontal="center" vertical="center" wrapText="1"/>
    </xf>
    <xf numFmtId="9" fontId="14" fillId="0" borderId="0" xfId="3" applyNumberFormat="1" applyFont="1" applyFill="1" applyBorder="1" applyAlignment="1">
      <alignment horizontal="right" vertical="center"/>
    </xf>
    <xf numFmtId="43" fontId="14" fillId="0" borderId="0" xfId="3" applyFont="1"/>
    <xf numFmtId="43" fontId="14" fillId="0" borderId="0" xfId="0" applyNumberFormat="1" applyFont="1"/>
    <xf numFmtId="10" fontId="7" fillId="0" borderId="7" xfId="0" applyNumberFormat="1" applyFont="1" applyBorder="1"/>
    <xf numFmtId="10" fontId="3" fillId="0" borderId="0" xfId="2" applyNumberFormat="1" applyFont="1"/>
    <xf numFmtId="43" fontId="24" fillId="3" borderId="7" xfId="3" applyFont="1" applyFill="1" applyBorder="1"/>
    <xf numFmtId="10" fontId="43" fillId="0" borderId="7" xfId="2" applyNumberFormat="1" applyFont="1" applyBorder="1" applyAlignment="1">
      <alignment horizontal="center"/>
    </xf>
    <xf numFmtId="4" fontId="43" fillId="0" borderId="7" xfId="0" applyNumberFormat="1" applyFont="1" applyBorder="1"/>
    <xf numFmtId="43" fontId="10" fillId="21" borderId="7" xfId="3" applyFont="1" applyFill="1" applyBorder="1" applyAlignment="1">
      <alignment horizontal="center"/>
    </xf>
    <xf numFmtId="43" fontId="24" fillId="26" borderId="7" xfId="3" applyFont="1" applyFill="1" applyBorder="1"/>
    <xf numFmtId="43" fontId="20" fillId="27" borderId="7" xfId="3" applyFont="1" applyFill="1" applyBorder="1" applyAlignment="1">
      <alignment horizontal="right" vertical="center" wrapText="1" readingOrder="1"/>
    </xf>
    <xf numFmtId="10" fontId="14" fillId="0" borderId="7" xfId="2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43" fontId="2" fillId="0" borderId="7" xfId="3" applyFont="1" applyBorder="1" applyAlignment="1">
      <alignment horizontal="center" vertical="center" wrapText="1"/>
    </xf>
    <xf numFmtId="43" fontId="0" fillId="0" borderId="0" xfId="3" applyFont="1" applyBorder="1"/>
    <xf numFmtId="43" fontId="2" fillId="0" borderId="7" xfId="3" applyFont="1" applyFill="1" applyBorder="1" applyAlignment="1">
      <alignment horizontal="center" vertical="center" wrapText="1"/>
    </xf>
    <xf numFmtId="0" fontId="0" fillId="0" borderId="10" xfId="0" applyBorder="1"/>
    <xf numFmtId="43" fontId="0" fillId="0" borderId="10" xfId="3" applyFont="1" applyBorder="1"/>
    <xf numFmtId="0" fontId="0" fillId="0" borderId="11" xfId="0" applyBorder="1"/>
    <xf numFmtId="43" fontId="0" fillId="0" borderId="28" xfId="3" applyFont="1" applyBorder="1"/>
    <xf numFmtId="43" fontId="5" fillId="0" borderId="7" xfId="3" applyFont="1" applyFill="1" applyBorder="1" applyAlignment="1">
      <alignment horizontal="center" vertical="center" wrapText="1"/>
    </xf>
    <xf numFmtId="43" fontId="5" fillId="0" borderId="0" xfId="3" applyFont="1"/>
    <xf numFmtId="0" fontId="2" fillId="5" borderId="7" xfId="0" applyFont="1" applyFill="1" applyBorder="1"/>
    <xf numFmtId="4" fontId="2" fillId="5" borderId="7" xfId="0" applyNumberFormat="1" applyFont="1" applyFill="1" applyBorder="1"/>
    <xf numFmtId="43" fontId="1" fillId="5" borderId="7" xfId="3" applyFont="1" applyFill="1" applyBorder="1"/>
    <xf numFmtId="43" fontId="5" fillId="5" borderId="7" xfId="3" applyFont="1" applyFill="1" applyBorder="1"/>
    <xf numFmtId="43" fontId="0" fillId="5" borderId="7" xfId="3" applyFont="1" applyFill="1" applyBorder="1"/>
    <xf numFmtId="0" fontId="5" fillId="5" borderId="7" xfId="0" applyFont="1" applyFill="1" applyBorder="1" applyAlignment="1">
      <alignment horizontal="center" vertical="center"/>
    </xf>
    <xf numFmtId="4" fontId="5" fillId="5" borderId="7" xfId="0" applyNumberFormat="1" applyFont="1" applyFill="1" applyBorder="1"/>
    <xf numFmtId="43" fontId="3" fillId="5" borderId="7" xfId="3" applyFont="1" applyFill="1" applyBorder="1"/>
    <xf numFmtId="0" fontId="3" fillId="0" borderId="10" xfId="0" applyFont="1" applyBorder="1"/>
    <xf numFmtId="4" fontId="3" fillId="0" borderId="7" xfId="0" applyNumberFormat="1" applyFont="1" applyBorder="1"/>
    <xf numFmtId="43" fontId="3" fillId="0" borderId="36" xfId="3" applyFont="1" applyBorder="1" applyAlignment="1"/>
    <xf numFmtId="43" fontId="3" fillId="0" borderId="0" xfId="3" applyFont="1" applyBorder="1" applyAlignment="1"/>
    <xf numFmtId="43" fontId="3" fillId="0" borderId="24" xfId="3" applyFont="1" applyBorder="1" applyAlignment="1"/>
    <xf numFmtId="0" fontId="3" fillId="0" borderId="11" xfId="0" applyFont="1" applyBorder="1"/>
    <xf numFmtId="0" fontId="5" fillId="5" borderId="7" xfId="0" applyFont="1" applyFill="1" applyBorder="1"/>
    <xf numFmtId="43" fontId="5" fillId="5" borderId="9" xfId="3" applyFont="1" applyFill="1" applyBorder="1" applyAlignment="1"/>
    <xf numFmtId="43" fontId="45" fillId="0" borderId="0" xfId="3" applyFont="1"/>
    <xf numFmtId="43" fontId="45" fillId="0" borderId="38" xfId="3" applyFont="1" applyBorder="1" applyAlignment="1"/>
    <xf numFmtId="43" fontId="45" fillId="0" borderId="39" xfId="3" applyFont="1" applyBorder="1" applyAlignment="1"/>
    <xf numFmtId="43" fontId="45" fillId="0" borderId="41" xfId="3" applyFont="1" applyBorder="1" applyAlignment="1"/>
    <xf numFmtId="43" fontId="44" fillId="5" borderId="7" xfId="3" applyFont="1" applyFill="1" applyBorder="1"/>
    <xf numFmtId="43" fontId="44" fillId="0" borderId="0" xfId="3" applyFont="1"/>
    <xf numFmtId="0" fontId="45" fillId="0" borderId="0" xfId="0" applyFont="1"/>
    <xf numFmtId="0" fontId="44" fillId="5" borderId="7" xfId="0" applyFont="1" applyFill="1" applyBorder="1" applyAlignment="1">
      <alignment horizontal="center" vertical="center"/>
    </xf>
    <xf numFmtId="4" fontId="44" fillId="5" borderId="7" xfId="0" applyNumberFormat="1" applyFont="1" applyFill="1" applyBorder="1"/>
    <xf numFmtId="43" fontId="44" fillId="5" borderId="7" xfId="3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 wrapText="1"/>
    </xf>
    <xf numFmtId="43" fontId="5" fillId="5" borderId="7" xfId="3" applyFont="1" applyFill="1" applyBorder="1" applyAlignment="1">
      <alignment horizontal="center" vertical="center" wrapText="1"/>
    </xf>
    <xf numFmtId="43" fontId="44" fillId="5" borderId="7" xfId="3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3" fillId="16" borderId="8" xfId="0" applyFont="1" applyFill="1" applyBorder="1" applyAlignment="1">
      <alignment horizontal="center" wrapText="1"/>
    </xf>
    <xf numFmtId="0" fontId="13" fillId="16" borderId="9" xfId="0" applyFont="1" applyFill="1" applyBorder="1" applyAlignment="1">
      <alignment horizontal="center" wrapText="1"/>
    </xf>
    <xf numFmtId="0" fontId="13" fillId="22" borderId="7" xfId="0" applyFont="1" applyFill="1" applyBorder="1" applyAlignment="1">
      <alignment horizontal="center"/>
    </xf>
    <xf numFmtId="43" fontId="9" fillId="0" borderId="0" xfId="3" applyFont="1" applyAlignment="1">
      <alignment horizontal="center"/>
    </xf>
    <xf numFmtId="0" fontId="38" fillId="9" borderId="7" xfId="0" applyFont="1" applyFill="1" applyBorder="1" applyAlignment="1">
      <alignment horizontal="center"/>
    </xf>
    <xf numFmtId="0" fontId="13" fillId="2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43" fontId="11" fillId="0" borderId="0" xfId="3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3" fillId="16" borderId="8" xfId="0" applyFont="1" applyFill="1" applyBorder="1" applyAlignment="1">
      <alignment horizontal="center" wrapText="1"/>
    </xf>
    <xf numFmtId="0" fontId="13" fillId="16" borderId="12" xfId="0" applyFont="1" applyFill="1" applyBorder="1" applyAlignment="1">
      <alignment horizontal="center" wrapText="1"/>
    </xf>
    <xf numFmtId="0" fontId="13" fillId="16" borderId="9" xfId="0" applyFont="1" applyFill="1" applyBorder="1" applyAlignment="1">
      <alignment horizontal="center" wrapText="1"/>
    </xf>
    <xf numFmtId="0" fontId="13" fillId="6" borderId="3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28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34" fillId="17" borderId="23" xfId="0" applyFont="1" applyFill="1" applyBorder="1" applyAlignment="1">
      <alignment horizontal="center" vertical="center"/>
    </xf>
    <xf numFmtId="0" fontId="34" fillId="17" borderId="20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16" borderId="8" xfId="0" applyFont="1" applyFill="1" applyBorder="1" applyAlignment="1">
      <alignment horizontal="center"/>
    </xf>
    <xf numFmtId="0" fontId="13" fillId="16" borderId="9" xfId="0" applyFont="1" applyFill="1" applyBorder="1" applyAlignment="1">
      <alignment horizontal="center"/>
    </xf>
    <xf numFmtId="0" fontId="33" fillId="18" borderId="3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43" fontId="9" fillId="0" borderId="0" xfId="3" applyFont="1" applyAlignment="1">
      <alignment horizontal="center"/>
    </xf>
    <xf numFmtId="43" fontId="26" fillId="0" borderId="24" xfId="3" applyFont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37" fillId="15" borderId="7" xfId="0" applyFont="1" applyFill="1" applyBorder="1" applyAlignment="1">
      <alignment horizontal="center"/>
    </xf>
    <xf numFmtId="0" fontId="37" fillId="15" borderId="36" xfId="0" applyFont="1" applyFill="1" applyBorder="1" applyAlignment="1">
      <alignment horizontal="center" wrapText="1"/>
    </xf>
    <xf numFmtId="0" fontId="37" fillId="15" borderId="0" xfId="0" applyFont="1" applyFill="1" applyAlignment="1">
      <alignment horizontal="center" wrapText="1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4" fontId="7" fillId="5" borderId="6" xfId="3" applyNumberFormat="1" applyFont="1" applyFill="1" applyBorder="1" applyAlignment="1" applyProtection="1">
      <alignment horizontal="center" vertical="center" wrapText="1"/>
      <protection locked="0"/>
    </xf>
    <xf numFmtId="4" fontId="7" fillId="5" borderId="4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4" fontId="10" fillId="5" borderId="19" xfId="3" applyNumberFormat="1" applyFont="1" applyFill="1" applyBorder="1" applyAlignment="1" applyProtection="1">
      <alignment horizontal="center" vertical="center"/>
      <protection locked="0"/>
    </xf>
    <xf numFmtId="4" fontId="10" fillId="5" borderId="21" xfId="3" applyNumberFormat="1" applyFont="1" applyFill="1" applyBorder="1" applyAlignment="1" applyProtection="1">
      <alignment horizontal="center" vertical="center"/>
      <protection locked="0"/>
    </xf>
    <xf numFmtId="44" fontId="14" fillId="7" borderId="7" xfId="1" applyFont="1" applyFill="1" applyBorder="1" applyAlignment="1" applyProtection="1">
      <alignment horizontal="center" vertical="center"/>
      <protection locked="0"/>
    </xf>
    <xf numFmtId="44" fontId="24" fillId="0" borderId="7" xfId="1" applyFont="1" applyBorder="1" applyAlignment="1" applyProtection="1">
      <alignment horizontal="center"/>
      <protection locked="0"/>
    </xf>
    <xf numFmtId="44" fontId="14" fillId="0" borderId="7" xfId="1" applyFont="1" applyBorder="1" applyAlignment="1" applyProtection="1">
      <alignment horizontal="center"/>
      <protection locked="0"/>
    </xf>
    <xf numFmtId="4" fontId="10" fillId="5" borderId="7" xfId="3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6" fontId="10" fillId="5" borderId="30" xfId="0" applyNumberFormat="1" applyFont="1" applyFill="1" applyBorder="1" applyAlignment="1" applyProtection="1">
      <alignment horizontal="center" vertical="center"/>
      <protection locked="0"/>
    </xf>
    <xf numFmtId="166" fontId="10" fillId="5" borderId="31" xfId="0" applyNumberFormat="1" applyFont="1" applyFill="1" applyBorder="1" applyAlignment="1" applyProtection="1">
      <alignment horizontal="center" vertical="center"/>
      <protection locked="0"/>
    </xf>
    <xf numFmtId="0" fontId="10" fillId="5" borderId="32" xfId="0" applyFont="1" applyFill="1" applyBorder="1" applyAlignment="1" applyProtection="1">
      <alignment horizontal="center" vertical="center"/>
      <protection locked="0"/>
    </xf>
    <xf numFmtId="0" fontId="10" fillId="5" borderId="33" xfId="0" applyFont="1" applyFill="1" applyBorder="1" applyAlignment="1" applyProtection="1">
      <alignment horizontal="center" vertical="center"/>
      <protection locked="0"/>
    </xf>
    <xf numFmtId="9" fontId="41" fillId="24" borderId="34" xfId="13" applyNumberFormat="1" applyFont="1" applyAlignment="1">
      <alignment horizontal="center" vertical="center" wrapText="1"/>
    </xf>
    <xf numFmtId="9" fontId="41" fillId="24" borderId="34" xfId="13" applyNumberFormat="1" applyFont="1" applyAlignment="1">
      <alignment horizontal="center" vertical="center"/>
    </xf>
    <xf numFmtId="43" fontId="14" fillId="0" borderId="7" xfId="0" applyNumberFormat="1" applyFont="1" applyBorder="1" applyAlignment="1">
      <alignment horizontal="center" vertical="center"/>
    </xf>
    <xf numFmtId="43" fontId="14" fillId="0" borderId="7" xfId="3" applyFont="1" applyFill="1" applyBorder="1" applyAlignment="1">
      <alignment horizontal="center" vertical="center"/>
    </xf>
    <xf numFmtId="43" fontId="14" fillId="0" borderId="7" xfId="3" applyFont="1" applyFill="1" applyBorder="1" applyAlignment="1">
      <alignment horizontal="right" vertical="center" wrapText="1"/>
    </xf>
    <xf numFmtId="43" fontId="42" fillId="0" borderId="7" xfId="3" applyFont="1" applyFill="1" applyBorder="1" applyAlignment="1">
      <alignment horizontal="right" vertical="center" shrinkToFit="1"/>
    </xf>
    <xf numFmtId="9" fontId="41" fillId="25" borderId="10" xfId="14" applyNumberFormat="1" applyFont="1" applyBorder="1" applyAlignment="1">
      <alignment horizontal="center" vertical="center" wrapText="1"/>
    </xf>
    <xf numFmtId="9" fontId="41" fillId="25" borderId="28" xfId="14" applyNumberFormat="1" applyFont="1" applyBorder="1" applyAlignment="1">
      <alignment horizontal="center" vertical="center" wrapText="1"/>
    </xf>
    <xf numFmtId="9" fontId="41" fillId="25" borderId="11" xfId="14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14" fillId="0" borderId="7" xfId="3" applyFont="1" applyFill="1" applyBorder="1" applyAlignment="1">
      <alignment horizontal="right" vertical="center"/>
    </xf>
    <xf numFmtId="43" fontId="41" fillId="0" borderId="7" xfId="3" applyFont="1" applyBorder="1" applyAlignment="1">
      <alignment horizontal="right" vertical="center"/>
    </xf>
    <xf numFmtId="0" fontId="0" fillId="0" borderId="24" xfId="0" applyBorder="1" applyAlignment="1">
      <alignment horizontal="center"/>
    </xf>
    <xf numFmtId="43" fontId="5" fillId="5" borderId="7" xfId="3" applyFont="1" applyFill="1" applyBorder="1" applyAlignment="1">
      <alignment horizontal="center"/>
    </xf>
    <xf numFmtId="43" fontId="2" fillId="5" borderId="8" xfId="3" applyFont="1" applyFill="1" applyBorder="1" applyAlignment="1">
      <alignment horizontal="center"/>
    </xf>
    <xf numFmtId="43" fontId="2" fillId="5" borderId="12" xfId="3" applyFont="1" applyFill="1" applyBorder="1" applyAlignment="1">
      <alignment horizontal="center"/>
    </xf>
    <xf numFmtId="43" fontId="2" fillId="5" borderId="9" xfId="3" applyFont="1" applyFill="1" applyBorder="1" applyAlignment="1">
      <alignment horizontal="center"/>
    </xf>
    <xf numFmtId="43" fontId="0" fillId="0" borderId="37" xfId="3" applyFont="1" applyBorder="1" applyAlignment="1">
      <alignment horizontal="center"/>
    </xf>
    <xf numFmtId="43" fontId="0" fillId="0" borderId="36" xfId="3" applyFont="1" applyBorder="1" applyAlignment="1">
      <alignment horizontal="center"/>
    </xf>
    <xf numFmtId="43" fontId="0" fillId="0" borderId="38" xfId="3" applyFont="1" applyBorder="1" applyAlignment="1">
      <alignment horizontal="center"/>
    </xf>
    <xf numFmtId="43" fontId="0" fillId="0" borderId="22" xfId="3" applyFont="1" applyBorder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0" borderId="39" xfId="3" applyFont="1" applyBorder="1" applyAlignment="1">
      <alignment horizontal="center"/>
    </xf>
    <xf numFmtId="43" fontId="0" fillId="0" borderId="40" xfId="3" applyFont="1" applyBorder="1" applyAlignment="1">
      <alignment horizontal="center"/>
    </xf>
    <xf numFmtId="43" fontId="0" fillId="0" borderId="24" xfId="3" applyFont="1" applyBorder="1" applyAlignment="1">
      <alignment horizontal="center"/>
    </xf>
    <xf numFmtId="43" fontId="0" fillId="0" borderId="41" xfId="3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5">
    <cellStyle name="Célula de Verificação" xfId="14" builtinId="23"/>
    <cellStyle name="Entrada" xfId="13" builtinId="20"/>
    <cellStyle name="Hiperlink" xfId="4" builtinId="8"/>
    <cellStyle name="Moeda" xfId="1" builtinId="4"/>
    <cellStyle name="Normal" xfId="0" builtinId="0"/>
    <cellStyle name="Normal 2" xfId="5" xr:uid="{00000000-0005-0000-0000-000003000000}"/>
    <cellStyle name="Normal 3" xfId="11" xr:uid="{FEA4D435-4B88-49A6-AB8E-401CFE0EF770}"/>
    <cellStyle name="Porcentagem" xfId="2" builtinId="5"/>
    <cellStyle name="Porcentagem 2" xfId="7" xr:uid="{00000000-0005-0000-0000-000005000000}"/>
    <cellStyle name="Porcentagem 3" xfId="6" xr:uid="{00000000-0005-0000-0000-000006000000}"/>
    <cellStyle name="Vírgula" xfId="3" builtinId="3"/>
    <cellStyle name="Vírgula 2" xfId="9" xr:uid="{00000000-0005-0000-0000-000008000000}"/>
    <cellStyle name="Vírgula 3" xfId="8" xr:uid="{00000000-0005-0000-0000-000009000000}"/>
    <cellStyle name="Vírgula 4" xfId="10" xr:uid="{00000000-0005-0000-0000-00000A000000}"/>
    <cellStyle name="Vírgula 5" xfId="12" xr:uid="{7AA433E1-C8EE-409C-81EF-75D2B217C053}"/>
  </cellStyles>
  <dxfs count="10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6600"/>
      <color rgb="FFCCFF33"/>
      <color rgb="FF00CC99"/>
      <color rgb="FFEF01EF"/>
      <color rgb="FFEA1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1137309</xdr:colOff>
      <xdr:row>0</xdr:row>
      <xdr:rowOff>184816</xdr:rowOff>
    </xdr:from>
    <xdr:to>
      <xdr:col>12</xdr:col>
      <xdr:colOff>1165080</xdr:colOff>
      <xdr:row>0</xdr:row>
      <xdr:rowOff>1475372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746CD5-EEA0-4DD8-9A36-6E2447429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8540" y="184816"/>
          <a:ext cx="3171731" cy="1290556"/>
        </a:xfrm>
        <a:prstGeom prst="rect">
          <a:avLst/>
        </a:prstGeom>
      </xdr:spPr>
    </xdr:pic>
    <xdr:clientData/>
  </xdr:twoCellAnchor>
  <xdr:twoCellAnchor editAs="oneCell">
    <xdr:from>
      <xdr:col>0</xdr:col>
      <xdr:colOff>85296</xdr:colOff>
      <xdr:row>0</xdr:row>
      <xdr:rowOff>99515</xdr:rowOff>
    </xdr:from>
    <xdr:to>
      <xdr:col>1</xdr:col>
      <xdr:colOff>426963</xdr:colOff>
      <xdr:row>0</xdr:row>
      <xdr:rowOff>1450075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BCD8D7-6113-4C02-AD47-91D6B67BDE36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1" t="36043" r="17637" b="37398"/>
        <a:stretch/>
      </xdr:blipFill>
      <xdr:spPr bwMode="auto">
        <a:xfrm>
          <a:off x="85296" y="99515"/>
          <a:ext cx="4620335" cy="1350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2266950</xdr:colOff>
      <xdr:row>35</xdr:row>
      <xdr:rowOff>76200</xdr:rowOff>
    </xdr:from>
    <xdr:to>
      <xdr:col>0</xdr:col>
      <xdr:colOff>3483817</xdr:colOff>
      <xdr:row>45</xdr:row>
      <xdr:rowOff>28575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7EB400-9F63-4CA2-866B-221741A5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7505700"/>
          <a:ext cx="1216867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0</xdr:row>
      <xdr:rowOff>38100</xdr:rowOff>
    </xdr:from>
    <xdr:to>
      <xdr:col>2</xdr:col>
      <xdr:colOff>581026</xdr:colOff>
      <xdr:row>0</xdr:row>
      <xdr:rowOff>669833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149C9B-69F0-4047-8F33-33F25BCF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38100"/>
          <a:ext cx="1552576" cy="6317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javascript:WebForm_DoPostBackWithOptions(new%20WebForm_PostBackOptions(%22ctl00$ContentPlaceHolder1$gdvLicitacao$ctl04$lbkProcessoLicitatorio%22,%20%22%22,%20true,%20%22%22,%20%22%22,%20false,%20true))" TargetMode="External"/><Relationship Id="rId2" Type="http://schemas.openxmlformats.org/officeDocument/2006/relationships/hyperlink" Target="javascript:WebForm_DoPostBackWithOptions(new%20WebForm_PostBackOptions(%22ctl00$ContentPlaceHolder1$gdvLicitacao$ctl03$lbkProcessoLicitatorio%22,%20%22%22,%20true,%20%22%22,%20%22%22,%20false,%20true))" TargetMode="External"/><Relationship Id="rId1" Type="http://schemas.openxmlformats.org/officeDocument/2006/relationships/hyperlink" Target="javascript:WebForm_DoPostBackWithOptions(new%20WebForm_PostBackOptions(%22ctl00$ContentPlaceHolder1$gdvLicitacao$ctl02$lbkProcessoLicitatorio%22,%20%22%22,%20true,%20%22%22,%20%22%22,%20false,%20true))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javascript:WebForm_DoPostBackWithOptions(new%20WebForm_PostBackOptions(%22ctl00$ContentPlaceHolder1$gdvLicitacao$ctl06$lbkProcessoLicitatorio%22,%20%22%22,%20true,%20%22%22,%20%22%22,%20false,%20true))" TargetMode="External"/><Relationship Id="rId4" Type="http://schemas.openxmlformats.org/officeDocument/2006/relationships/hyperlink" Target="javascript:WebForm_DoPostBackWithOptions(new%20WebForm_PostBackOptions(%22ctl00$ContentPlaceHolder1$gdvLicitacao$ctl05$lbkProcessoLicitatorio%22,%20%22%22,%20true,%20%22%22,%20%22%22,%20false,%20true)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774-998B-43F5-B1A5-0DF2949B6D07}">
  <dimension ref="A1:S29"/>
  <sheetViews>
    <sheetView topLeftCell="A11" zoomScale="70" zoomScaleNormal="70" workbookViewId="0">
      <selection activeCell="B42" sqref="B42"/>
    </sheetView>
  </sheetViews>
  <sheetFormatPr defaultRowHeight="15"/>
  <cols>
    <col min="1" max="1" width="94.140625" customWidth="1"/>
    <col min="2" max="16" width="27.42578125" customWidth="1"/>
    <col min="18" max="18" width="81" customWidth="1"/>
    <col min="19" max="19" width="21.5703125" customWidth="1"/>
  </cols>
  <sheetData>
    <row r="1" spans="1:19" ht="15.75">
      <c r="A1" s="350" t="s">
        <v>144</v>
      </c>
      <c r="B1" s="351"/>
      <c r="C1" s="351"/>
      <c r="D1" s="351"/>
      <c r="E1" s="351"/>
      <c r="F1" s="351"/>
      <c r="G1" s="351"/>
      <c r="H1" s="351"/>
      <c r="I1" s="351"/>
      <c r="J1" s="352"/>
      <c r="K1" s="339"/>
      <c r="L1" s="339"/>
      <c r="M1" s="339"/>
      <c r="N1" s="339"/>
      <c r="O1" s="114" t="s">
        <v>108</v>
      </c>
      <c r="P1" s="114" t="s">
        <v>7</v>
      </c>
      <c r="R1" s="367" t="s">
        <v>158</v>
      </c>
      <c r="S1" s="368"/>
    </row>
    <row r="2" spans="1:19" ht="15.75">
      <c r="A2" s="338"/>
      <c r="B2" s="159" t="s">
        <v>29</v>
      </c>
      <c r="C2" s="159" t="s">
        <v>30</v>
      </c>
      <c r="D2" s="159" t="s">
        <v>31</v>
      </c>
      <c r="E2" s="159" t="s">
        <v>32</v>
      </c>
      <c r="F2" s="159" t="s">
        <v>33</v>
      </c>
      <c r="G2" s="159" t="s">
        <v>34</v>
      </c>
      <c r="H2" s="159" t="s">
        <v>35</v>
      </c>
      <c r="I2" s="159" t="s">
        <v>36</v>
      </c>
      <c r="J2" s="159" t="s">
        <v>37</v>
      </c>
      <c r="K2" s="159" t="s">
        <v>38</v>
      </c>
      <c r="L2" s="159" t="s">
        <v>39</v>
      </c>
      <c r="M2" s="159" t="s">
        <v>40</v>
      </c>
      <c r="N2" s="114"/>
      <c r="O2" s="114"/>
      <c r="P2" s="49"/>
      <c r="R2" s="62" t="str">
        <f>A5</f>
        <v>FUNDEB - APLICAÇÃO 70%</v>
      </c>
      <c r="S2" s="64">
        <f>N5</f>
        <v>17537296.949999996</v>
      </c>
    </row>
    <row r="3" spans="1:19" ht="15.75">
      <c r="A3" s="110" t="s">
        <v>155</v>
      </c>
      <c r="B3" s="112">
        <f t="shared" ref="B3:N3" si="0">B4+B17</f>
        <v>1454320.22</v>
      </c>
      <c r="C3" s="112">
        <f t="shared" si="0"/>
        <v>1967073.7799999998</v>
      </c>
      <c r="D3" s="112">
        <f t="shared" si="0"/>
        <v>2101283.7799999998</v>
      </c>
      <c r="E3" s="112">
        <f t="shared" si="0"/>
        <v>1857789.56</v>
      </c>
      <c r="F3" s="112">
        <f t="shared" si="0"/>
        <v>2255550.23</v>
      </c>
      <c r="G3" s="112">
        <f t="shared" si="0"/>
        <v>2819560.84</v>
      </c>
      <c r="H3" s="112">
        <f t="shared" si="0"/>
        <v>2087508.3599999996</v>
      </c>
      <c r="I3" s="112">
        <f t="shared" si="0"/>
        <v>1742170.24</v>
      </c>
      <c r="J3" s="112">
        <f t="shared" si="0"/>
        <v>1793509.4900000002</v>
      </c>
      <c r="K3" s="112">
        <f t="shared" si="0"/>
        <v>1867369.61</v>
      </c>
      <c r="L3" s="112">
        <f t="shared" si="0"/>
        <v>1841818.1</v>
      </c>
      <c r="M3" s="112">
        <f t="shared" si="0"/>
        <v>3219143.67</v>
      </c>
      <c r="N3" s="112">
        <f t="shared" si="0"/>
        <v>25007097.880000003</v>
      </c>
      <c r="O3" s="110"/>
      <c r="P3" s="49"/>
      <c r="R3" s="62" t="str">
        <f>A10</f>
        <v>FUNDEB - APLICAÇÃO 30%</v>
      </c>
      <c r="S3" s="64">
        <f>N10</f>
        <v>3451659.19</v>
      </c>
    </row>
    <row r="4" spans="1:19" ht="15.75">
      <c r="A4" s="179" t="s">
        <v>210</v>
      </c>
      <c r="B4" s="111">
        <f>B5+B10</f>
        <v>1440023.8699999999</v>
      </c>
      <c r="C4" s="111">
        <f t="shared" ref="C4:M4" si="1">C5+C10</f>
        <v>1866160.7799999998</v>
      </c>
      <c r="D4" s="111">
        <f t="shared" si="1"/>
        <v>1805474.3699999999</v>
      </c>
      <c r="E4" s="111">
        <f t="shared" si="1"/>
        <v>1642705.6400000001</v>
      </c>
      <c r="F4" s="111">
        <f t="shared" si="1"/>
        <v>1969548.96</v>
      </c>
      <c r="G4" s="111">
        <f t="shared" si="1"/>
        <v>1754888.8699999999</v>
      </c>
      <c r="H4" s="111">
        <f t="shared" si="1"/>
        <v>1727452.6999999997</v>
      </c>
      <c r="I4" s="111">
        <f t="shared" si="1"/>
        <v>1625182.67</v>
      </c>
      <c r="J4" s="111">
        <f t="shared" si="1"/>
        <v>1139333.06</v>
      </c>
      <c r="K4" s="111">
        <f t="shared" si="1"/>
        <v>1653665.82</v>
      </c>
      <c r="L4" s="111">
        <f t="shared" si="1"/>
        <v>1695374.23</v>
      </c>
      <c r="M4" s="111">
        <f t="shared" si="1"/>
        <v>2669145.17</v>
      </c>
      <c r="N4" s="222">
        <f>SUM(B4:M4)</f>
        <v>20988956.140000001</v>
      </c>
      <c r="O4" s="57"/>
      <c r="P4" s="49"/>
      <c r="R4" s="62" t="str">
        <f>A17</f>
        <v>DESPESAS MDE</v>
      </c>
      <c r="S4" s="64">
        <f>N17</f>
        <v>4018141.74</v>
      </c>
    </row>
    <row r="5" spans="1:19" ht="15.75">
      <c r="A5" s="180" t="s">
        <v>335</v>
      </c>
      <c r="B5" s="181">
        <f>SUM(B6:B9)</f>
        <v>1308190.0799999998</v>
      </c>
      <c r="C5" s="181">
        <f t="shared" ref="C5:M5" si="2">SUM(C6:C9)</f>
        <v>1690893.3199999998</v>
      </c>
      <c r="D5" s="181">
        <f t="shared" si="2"/>
        <v>1628038.47</v>
      </c>
      <c r="E5" s="181">
        <f t="shared" si="2"/>
        <v>1337503.7000000002</v>
      </c>
      <c r="F5" s="181">
        <f t="shared" si="2"/>
        <v>1674116.59</v>
      </c>
      <c r="G5" s="181">
        <f t="shared" si="2"/>
        <v>1497938.42</v>
      </c>
      <c r="H5" s="181">
        <f t="shared" si="2"/>
        <v>1526647.8299999998</v>
      </c>
      <c r="I5" s="181">
        <f t="shared" si="2"/>
        <v>1334875.67</v>
      </c>
      <c r="J5" s="181">
        <f t="shared" si="2"/>
        <v>959944.42999999993</v>
      </c>
      <c r="K5" s="181">
        <f t="shared" si="2"/>
        <v>1352163.76</v>
      </c>
      <c r="L5" s="181">
        <f t="shared" si="2"/>
        <v>1363886.51</v>
      </c>
      <c r="M5" s="181">
        <f t="shared" si="2"/>
        <v>1863098.17</v>
      </c>
      <c r="N5" s="223">
        <f>SUM(B5:M5)</f>
        <v>17537296.949999996</v>
      </c>
      <c r="O5" s="184">
        <f>N5/RECEITAS!N79</f>
        <v>0.86543186768605862</v>
      </c>
      <c r="P5" s="38"/>
      <c r="R5" s="165" t="s">
        <v>158</v>
      </c>
      <c r="S5" s="169">
        <f>SUM(S2:S4)</f>
        <v>25007097.879999995</v>
      </c>
    </row>
    <row r="6" spans="1:19" ht="15.75">
      <c r="A6" s="63" t="s">
        <v>201</v>
      </c>
      <c r="B6" s="156">
        <v>705519.36</v>
      </c>
      <c r="C6" s="156">
        <v>1105159.43</v>
      </c>
      <c r="D6" s="161">
        <v>879011.88</v>
      </c>
      <c r="E6" s="156">
        <v>726844.05</v>
      </c>
      <c r="F6" s="156">
        <v>1386281.03</v>
      </c>
      <c r="G6" s="156">
        <v>870317.87</v>
      </c>
      <c r="H6" s="156">
        <v>810013.44</v>
      </c>
      <c r="I6" s="156">
        <v>1040239.46</v>
      </c>
      <c r="J6" s="156">
        <v>913942.03</v>
      </c>
      <c r="K6" s="197">
        <v>734888.39</v>
      </c>
      <c r="L6" s="156">
        <v>930878.15</v>
      </c>
      <c r="M6" s="224">
        <v>1703950.01</v>
      </c>
      <c r="N6" s="223">
        <f t="shared" ref="N6:N15" si="3">SUM(B6:M6)</f>
        <v>11807045.100000001</v>
      </c>
      <c r="O6" s="43"/>
      <c r="P6" s="38"/>
    </row>
    <row r="7" spans="1:19" ht="15.75">
      <c r="A7" s="63" t="s">
        <v>202</v>
      </c>
      <c r="B7" s="156">
        <v>481818.57</v>
      </c>
      <c r="C7" s="156">
        <v>465903.98</v>
      </c>
      <c r="D7" s="161">
        <v>597783.34</v>
      </c>
      <c r="E7" s="156">
        <v>488461.61</v>
      </c>
      <c r="F7" s="156">
        <v>92269.58</v>
      </c>
      <c r="G7" s="156">
        <v>0</v>
      </c>
      <c r="H7" s="156">
        <v>514437.18</v>
      </c>
      <c r="I7" s="156">
        <v>11213.31</v>
      </c>
      <c r="J7" s="156">
        <v>27692.44</v>
      </c>
      <c r="K7" s="197">
        <v>295837.78000000003</v>
      </c>
      <c r="L7" s="156">
        <v>315187.39</v>
      </c>
      <c r="M7" s="224">
        <v>6247.72</v>
      </c>
      <c r="N7" s="223">
        <f t="shared" si="3"/>
        <v>3296852.9000000004</v>
      </c>
      <c r="O7" s="43"/>
      <c r="P7" s="38"/>
    </row>
    <row r="8" spans="1:19" ht="15.75">
      <c r="A8" s="63" t="s">
        <v>203</v>
      </c>
      <c r="B8" s="156">
        <v>0</v>
      </c>
      <c r="C8" s="156">
        <v>0</v>
      </c>
      <c r="D8" s="161">
        <v>0</v>
      </c>
      <c r="E8" s="156">
        <v>0</v>
      </c>
      <c r="F8" s="156">
        <v>0</v>
      </c>
      <c r="G8" s="156">
        <v>0</v>
      </c>
      <c r="H8" s="156"/>
      <c r="I8" s="156"/>
      <c r="J8" s="156"/>
      <c r="K8" s="156"/>
      <c r="L8" s="156"/>
      <c r="M8" s="224"/>
      <c r="N8" s="223">
        <f t="shared" si="3"/>
        <v>0</v>
      </c>
      <c r="O8" s="43"/>
      <c r="P8" s="38"/>
    </row>
    <row r="9" spans="1:19" ht="15.75">
      <c r="A9" s="63" t="s">
        <v>211</v>
      </c>
      <c r="B9" s="156">
        <v>120852.15</v>
      </c>
      <c r="C9" s="156">
        <v>119829.91</v>
      </c>
      <c r="D9" s="161">
        <v>151243.25</v>
      </c>
      <c r="E9" s="156">
        <v>122198.04</v>
      </c>
      <c r="F9" s="156">
        <v>195565.98</v>
      </c>
      <c r="G9" s="156">
        <v>627620.55000000005</v>
      </c>
      <c r="H9" s="156">
        <v>202197.21</v>
      </c>
      <c r="I9" s="156">
        <v>283422.90000000002</v>
      </c>
      <c r="J9" s="156">
        <v>18309.96</v>
      </c>
      <c r="K9" s="197">
        <v>321437.59000000003</v>
      </c>
      <c r="L9" s="156">
        <v>117820.97</v>
      </c>
      <c r="M9" s="224">
        <v>152900.44</v>
      </c>
      <c r="N9" s="223">
        <f t="shared" si="3"/>
        <v>2433398.9499999997</v>
      </c>
      <c r="O9" s="43"/>
      <c r="P9" s="38"/>
    </row>
    <row r="10" spans="1:19" ht="15.75">
      <c r="A10" s="180" t="s">
        <v>336</v>
      </c>
      <c r="B10" s="181">
        <f>SUM(B11:B15)</f>
        <v>131833.79</v>
      </c>
      <c r="C10" s="181">
        <f t="shared" ref="C10:M10" si="4">SUM(C11:C15)</f>
        <v>175267.46</v>
      </c>
      <c r="D10" s="181">
        <f t="shared" si="4"/>
        <v>177435.9</v>
      </c>
      <c r="E10" s="181">
        <f t="shared" si="4"/>
        <v>305201.94</v>
      </c>
      <c r="F10" s="181">
        <f t="shared" si="4"/>
        <v>295432.37</v>
      </c>
      <c r="G10" s="181">
        <f t="shared" si="4"/>
        <v>256950.45</v>
      </c>
      <c r="H10" s="181">
        <f t="shared" si="4"/>
        <v>200804.87</v>
      </c>
      <c r="I10" s="181">
        <f t="shared" si="4"/>
        <v>290307</v>
      </c>
      <c r="J10" s="181">
        <f t="shared" si="4"/>
        <v>179388.63</v>
      </c>
      <c r="K10" s="181">
        <f t="shared" si="4"/>
        <v>301502.06</v>
      </c>
      <c r="L10" s="181">
        <f t="shared" si="4"/>
        <v>331487.72000000003</v>
      </c>
      <c r="M10" s="181">
        <f t="shared" si="4"/>
        <v>806047</v>
      </c>
      <c r="N10" s="223">
        <f t="shared" si="3"/>
        <v>3451659.19</v>
      </c>
      <c r="O10" s="182">
        <f>N10/RECEITAS!N79</f>
        <v>0.17033274101100562</v>
      </c>
      <c r="P10" s="38"/>
    </row>
    <row r="11" spans="1:19" ht="15.75">
      <c r="A11" s="63" t="s">
        <v>204</v>
      </c>
      <c r="B11" s="156">
        <v>131833.79</v>
      </c>
      <c r="C11" s="156">
        <v>175267.46</v>
      </c>
      <c r="D11" s="161">
        <v>177435.9</v>
      </c>
      <c r="E11" s="156">
        <v>144584.46</v>
      </c>
      <c r="F11" s="156">
        <v>191666.93</v>
      </c>
      <c r="G11" s="156">
        <v>256950.45</v>
      </c>
      <c r="H11" s="156">
        <v>160165.82</v>
      </c>
      <c r="I11" s="197">
        <v>146429.60999999999</v>
      </c>
      <c r="J11" s="197">
        <v>20006.400000000001</v>
      </c>
      <c r="K11" s="197">
        <v>153632.12</v>
      </c>
      <c r="L11" s="156">
        <v>153158.16</v>
      </c>
      <c r="M11" s="224">
        <v>383438.45</v>
      </c>
      <c r="N11" s="223">
        <f t="shared" si="3"/>
        <v>2094569.5499999998</v>
      </c>
      <c r="O11" s="43"/>
      <c r="P11" s="38"/>
    </row>
    <row r="12" spans="1:19" ht="15.75">
      <c r="A12" s="63" t="s">
        <v>205</v>
      </c>
      <c r="B12" s="156">
        <v>0</v>
      </c>
      <c r="C12" s="156">
        <v>0</v>
      </c>
      <c r="D12" s="161">
        <v>0</v>
      </c>
      <c r="E12" s="156">
        <v>160617.48000000001</v>
      </c>
      <c r="F12" s="156">
        <v>103765.44</v>
      </c>
      <c r="G12" s="156">
        <v>0</v>
      </c>
      <c r="H12" s="156">
        <v>40639.050000000003</v>
      </c>
      <c r="I12" s="197">
        <v>143877.39000000001</v>
      </c>
      <c r="J12" s="197">
        <v>159382.23000000001</v>
      </c>
      <c r="K12" s="197">
        <v>147869.94</v>
      </c>
      <c r="L12" s="156">
        <v>166975</v>
      </c>
      <c r="M12" s="224"/>
      <c r="N12" s="223">
        <f t="shared" si="3"/>
        <v>923126.53</v>
      </c>
      <c r="O12" s="43"/>
      <c r="P12" s="38"/>
    </row>
    <row r="13" spans="1:19" ht="15.75">
      <c r="A13" s="63" t="s">
        <v>208</v>
      </c>
      <c r="B13" s="156">
        <v>0</v>
      </c>
      <c r="C13" s="156">
        <v>0</v>
      </c>
      <c r="D13" s="161">
        <v>0</v>
      </c>
      <c r="E13" s="156">
        <v>0</v>
      </c>
      <c r="F13" s="156">
        <v>0</v>
      </c>
      <c r="G13" s="156">
        <v>0</v>
      </c>
      <c r="H13" s="156">
        <v>0</v>
      </c>
      <c r="I13" s="156">
        <v>0</v>
      </c>
      <c r="J13" s="156"/>
      <c r="K13" s="156"/>
      <c r="L13" s="156"/>
      <c r="M13" s="224"/>
      <c r="N13" s="223">
        <f t="shared" si="3"/>
        <v>0</v>
      </c>
      <c r="O13" s="43"/>
      <c r="P13" s="38"/>
    </row>
    <row r="14" spans="1:19" ht="15.75">
      <c r="A14" s="63" t="s">
        <v>207</v>
      </c>
      <c r="B14" s="156">
        <v>0</v>
      </c>
      <c r="C14" s="156">
        <v>0</v>
      </c>
      <c r="D14" s="161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/>
      <c r="K14" s="156"/>
      <c r="L14" s="156"/>
      <c r="M14" s="224"/>
      <c r="N14" s="223">
        <f t="shared" si="3"/>
        <v>0</v>
      </c>
      <c r="O14" s="43"/>
      <c r="P14" s="38"/>
    </row>
    <row r="15" spans="1:19" ht="15.75">
      <c r="A15" s="63" t="s">
        <v>206</v>
      </c>
      <c r="B15" s="156">
        <v>0</v>
      </c>
      <c r="C15" s="156">
        <v>0</v>
      </c>
      <c r="D15" s="161">
        <v>0</v>
      </c>
      <c r="E15" s="156">
        <v>0</v>
      </c>
      <c r="F15" s="156">
        <v>0</v>
      </c>
      <c r="G15" s="197">
        <v>0</v>
      </c>
      <c r="H15" s="156">
        <v>0</v>
      </c>
      <c r="I15" s="156">
        <v>0</v>
      </c>
      <c r="J15" s="156"/>
      <c r="K15" s="156"/>
      <c r="L15" s="224">
        <v>11354.56</v>
      </c>
      <c r="M15" s="296">
        <f>363822.75+58785.8</f>
        <v>422608.55</v>
      </c>
      <c r="N15" s="223">
        <f t="shared" si="3"/>
        <v>433963.11</v>
      </c>
      <c r="O15" s="43">
        <f>N15/RECEITAS!N86</f>
        <v>0.16593157763539937</v>
      </c>
      <c r="P15" s="38"/>
    </row>
    <row r="16" spans="1:19" ht="15.75">
      <c r="A16" s="52"/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6"/>
      <c r="O16" s="58"/>
      <c r="P16" s="49"/>
    </row>
    <row r="17" spans="1:16" ht="15.75">
      <c r="A17" s="183" t="s">
        <v>145</v>
      </c>
      <c r="B17" s="181">
        <f>B18</f>
        <v>14296.35</v>
      </c>
      <c r="C17" s="181">
        <f t="shared" ref="C17:M17" si="5">C18</f>
        <v>100913</v>
      </c>
      <c r="D17" s="181">
        <f t="shared" si="5"/>
        <v>295809.40999999997</v>
      </c>
      <c r="E17" s="181">
        <f t="shared" si="5"/>
        <v>215083.92</v>
      </c>
      <c r="F17" s="181">
        <f t="shared" si="5"/>
        <v>286001.27</v>
      </c>
      <c r="G17" s="181">
        <f t="shared" si="5"/>
        <v>1064671.97</v>
      </c>
      <c r="H17" s="181">
        <f t="shared" si="5"/>
        <v>360055.66</v>
      </c>
      <c r="I17" s="181">
        <f t="shared" si="5"/>
        <v>116987.57</v>
      </c>
      <c r="J17" s="181">
        <f t="shared" si="5"/>
        <v>654176.43000000005</v>
      </c>
      <c r="K17" s="181">
        <f t="shared" si="5"/>
        <v>213703.79</v>
      </c>
      <c r="L17" s="181">
        <f t="shared" si="5"/>
        <v>146443.87</v>
      </c>
      <c r="M17" s="181">
        <f t="shared" si="5"/>
        <v>549998.5</v>
      </c>
      <c r="N17" s="223">
        <f>SUM(B17:M17)</f>
        <v>4018141.74</v>
      </c>
      <c r="O17" s="184"/>
      <c r="P17" s="49"/>
    </row>
    <row r="18" spans="1:16" ht="15.75">
      <c r="A18" s="63" t="s">
        <v>209</v>
      </c>
      <c r="B18" s="156">
        <v>14296.35</v>
      </c>
      <c r="C18" s="156">
        <v>100913</v>
      </c>
      <c r="D18" s="161">
        <v>295809.40999999997</v>
      </c>
      <c r="E18" s="156">
        <v>215083.92</v>
      </c>
      <c r="F18" s="156">
        <v>286001.27</v>
      </c>
      <c r="G18" s="224">
        <v>1064671.97</v>
      </c>
      <c r="H18" s="224">
        <v>360055.66</v>
      </c>
      <c r="I18" s="197">
        <v>116987.57</v>
      </c>
      <c r="J18" s="224">
        <v>654176.43000000005</v>
      </c>
      <c r="K18" s="224">
        <v>213703.79</v>
      </c>
      <c r="L18" s="224">
        <v>146443.87</v>
      </c>
      <c r="M18" s="224">
        <v>549998.5</v>
      </c>
      <c r="N18" s="222">
        <f>SUM(B18:M18)</f>
        <v>4018141.74</v>
      </c>
      <c r="O18" s="57">
        <f>O24</f>
        <v>0.25406870071060467</v>
      </c>
      <c r="P18" s="49"/>
    </row>
    <row r="19" spans="1:16" ht="15.75" thickBot="1"/>
    <row r="20" spans="1:16" ht="15.75">
      <c r="A20" s="131" t="s">
        <v>24</v>
      </c>
      <c r="B20" s="203" t="s">
        <v>9</v>
      </c>
      <c r="L20" s="345" t="s">
        <v>212</v>
      </c>
      <c r="M20" s="345"/>
      <c r="N20" s="345"/>
      <c r="O20" s="345"/>
    </row>
    <row r="21" spans="1:16" ht="16.5" thickBot="1">
      <c r="A21" s="132" t="s">
        <v>25</v>
      </c>
      <c r="B21" s="193" t="s">
        <v>2</v>
      </c>
      <c r="L21" s="344" t="s">
        <v>257</v>
      </c>
      <c r="M21" s="344"/>
      <c r="N21" s="344"/>
      <c r="O21" s="185">
        <f>RECEITAS!N75</f>
        <v>8024013.1900000004</v>
      </c>
    </row>
    <row r="22" spans="1:16" ht="15.75">
      <c r="A22" s="1" t="s">
        <v>3</v>
      </c>
      <c r="B22" s="231">
        <v>10900058.529999999</v>
      </c>
      <c r="L22" s="344" t="s">
        <v>258</v>
      </c>
      <c r="M22" s="344"/>
      <c r="N22" s="344"/>
      <c r="O22" s="185">
        <f>N18</f>
        <v>4018141.74</v>
      </c>
    </row>
    <row r="23" spans="1:16" ht="15.75">
      <c r="A23" s="2" t="s">
        <v>4</v>
      </c>
      <c r="B23" s="231">
        <v>42324.83</v>
      </c>
      <c r="L23" s="344" t="s">
        <v>174</v>
      </c>
      <c r="M23" s="344"/>
      <c r="N23" s="344"/>
      <c r="O23" s="186">
        <f>SUM(O21:O22)</f>
        <v>12042154.93</v>
      </c>
    </row>
    <row r="24" spans="1:16" ht="15.75">
      <c r="A24" s="130" t="s">
        <v>229</v>
      </c>
      <c r="B24" s="129">
        <f>SUM(B22:B23)</f>
        <v>10942383.359999999</v>
      </c>
      <c r="L24" s="347" t="s">
        <v>216</v>
      </c>
      <c r="M24" s="348"/>
      <c r="N24" s="349"/>
      <c r="O24" s="57">
        <f>O23/RECEITAS!N73</f>
        <v>0.25406870071060467</v>
      </c>
    </row>
    <row r="25" spans="1:16" ht="15.75" thickBot="1"/>
    <row r="26" spans="1:16" ht="15.75" thickBot="1">
      <c r="A26" s="141" t="s">
        <v>221</v>
      </c>
      <c r="B26" s="229">
        <f>B24/RECEITAS!B122</f>
        <v>0.24866884365150135</v>
      </c>
    </row>
    <row r="27" spans="1:16" ht="15.75" thickBot="1">
      <c r="B27" t="s">
        <v>28</v>
      </c>
    </row>
    <row r="28" spans="1:16">
      <c r="A28" s="245" t="s">
        <v>232</v>
      </c>
      <c r="B28" s="246">
        <f>(B24-(RECEITAS!B122*15%))</f>
        <v>4341807.7514999993</v>
      </c>
    </row>
    <row r="29" spans="1:16">
      <c r="A29" s="247" t="s">
        <v>233</v>
      </c>
      <c r="B29" s="248">
        <f>B28/RECEITAS!B122</f>
        <v>9.8668843651501345E-2</v>
      </c>
    </row>
  </sheetData>
  <mergeCells count="7">
    <mergeCell ref="R1:S1"/>
    <mergeCell ref="L20:O20"/>
    <mergeCell ref="L21:N21"/>
    <mergeCell ref="L22:N22"/>
    <mergeCell ref="L23:N23"/>
    <mergeCell ref="L24:N24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workbookViewId="0">
      <selection activeCell="A3" sqref="A3"/>
    </sheetView>
  </sheetViews>
  <sheetFormatPr defaultRowHeight="15"/>
  <cols>
    <col min="1" max="1" width="20.7109375" customWidth="1"/>
    <col min="2" max="2" width="30.42578125" customWidth="1"/>
    <col min="3" max="3" width="15.42578125" bestFit="1" customWidth="1"/>
    <col min="4" max="4" width="16.5703125" bestFit="1" customWidth="1"/>
    <col min="5" max="5" width="35.85546875" customWidth="1"/>
    <col min="6" max="6" width="14.85546875" bestFit="1" customWidth="1"/>
    <col min="7" max="7" width="19" customWidth="1"/>
  </cols>
  <sheetData>
    <row r="1" spans="1:7" ht="25.5" customHeight="1">
      <c r="A1" s="433" t="s">
        <v>65</v>
      </c>
      <c r="B1" s="433"/>
      <c r="C1" s="433"/>
      <c r="D1" s="433"/>
      <c r="E1" s="433"/>
      <c r="F1" s="433"/>
      <c r="G1" s="433"/>
    </row>
    <row r="2" spans="1:7" ht="25.5">
      <c r="A2" s="37" t="s">
        <v>66</v>
      </c>
      <c r="B2" s="37" t="s">
        <v>67</v>
      </c>
      <c r="C2" s="37" t="s">
        <v>68</v>
      </c>
      <c r="D2" s="37" t="s">
        <v>69</v>
      </c>
      <c r="E2" s="37" t="s">
        <v>70</v>
      </c>
      <c r="F2" s="37" t="s">
        <v>71</v>
      </c>
      <c r="G2" s="37" t="s">
        <v>72</v>
      </c>
    </row>
    <row r="3" spans="1:7">
      <c r="A3" s="28" t="s">
        <v>73</v>
      </c>
      <c r="B3" s="29" t="s">
        <v>74</v>
      </c>
      <c r="C3" s="30">
        <v>43896</v>
      </c>
      <c r="D3" s="29" t="s">
        <v>75</v>
      </c>
      <c r="E3" s="29" t="s">
        <v>76</v>
      </c>
      <c r="F3" s="31">
        <v>4852514.8099999996</v>
      </c>
      <c r="G3" s="31">
        <v>5322622.1100000003</v>
      </c>
    </row>
    <row r="4" spans="1:7">
      <c r="A4" s="32" t="s">
        <v>77</v>
      </c>
      <c r="B4" s="33" t="s">
        <v>74</v>
      </c>
      <c r="C4" s="34">
        <v>43902</v>
      </c>
      <c r="D4" s="33" t="s">
        <v>75</v>
      </c>
      <c r="E4" s="33" t="s">
        <v>76</v>
      </c>
      <c r="F4" s="35">
        <v>180249</v>
      </c>
      <c r="G4" s="35">
        <v>325992.40000000002</v>
      </c>
    </row>
    <row r="5" spans="1:7">
      <c r="A5" s="28" t="s">
        <v>78</v>
      </c>
      <c r="B5" s="29" t="s">
        <v>74</v>
      </c>
      <c r="C5" s="30">
        <v>43901</v>
      </c>
      <c r="D5" s="29" t="s">
        <v>75</v>
      </c>
      <c r="E5" s="29" t="s">
        <v>76</v>
      </c>
      <c r="F5" s="31">
        <v>918880</v>
      </c>
      <c r="G5" s="31">
        <v>1083170.2</v>
      </c>
    </row>
    <row r="6" spans="1:7">
      <c r="A6" s="32" t="s">
        <v>79</v>
      </c>
      <c r="B6" s="33" t="s">
        <v>80</v>
      </c>
      <c r="C6" s="34">
        <v>43902</v>
      </c>
      <c r="D6" s="33" t="s">
        <v>81</v>
      </c>
      <c r="E6" s="33" t="s">
        <v>76</v>
      </c>
      <c r="F6" s="35">
        <v>78000</v>
      </c>
      <c r="G6" s="35">
        <v>78000</v>
      </c>
    </row>
    <row r="7" spans="1:7" ht="18">
      <c r="A7" s="28" t="s">
        <v>82</v>
      </c>
      <c r="B7" s="29" t="s">
        <v>83</v>
      </c>
      <c r="C7" s="30">
        <v>43893</v>
      </c>
      <c r="D7" s="29" t="s">
        <v>63</v>
      </c>
      <c r="E7" s="29" t="s">
        <v>76</v>
      </c>
      <c r="F7" s="31">
        <v>232179.94</v>
      </c>
      <c r="G7" s="31">
        <v>23218844</v>
      </c>
    </row>
    <row r="8" spans="1:7">
      <c r="A8" s="36"/>
      <c r="B8" s="434" t="s">
        <v>84</v>
      </c>
      <c r="C8" s="434"/>
      <c r="D8" s="434" t="s">
        <v>85</v>
      </c>
      <c r="E8" s="434"/>
      <c r="F8" s="434"/>
      <c r="G8" s="434"/>
    </row>
  </sheetData>
  <mergeCells count="3">
    <mergeCell ref="A1:G1"/>
    <mergeCell ref="D8:G8"/>
    <mergeCell ref="B8:C8"/>
  </mergeCells>
  <hyperlinks>
    <hyperlink ref="A3" r:id="rId1" display="javascript:WebForm_DoPostBackWithOptions(new WebForm_PostBackOptions(%22ctl00$ContentPlaceHolder1$gdvLicitacao$ctl02$lbkProcessoLicitatorio%22, %22%22, true, %22%22, %22%22, false, true))" xr:uid="{00000000-0004-0000-1F00-000000000000}"/>
    <hyperlink ref="A4" r:id="rId2" display="javascript:WebForm_DoPostBackWithOptions(new WebForm_PostBackOptions(%22ctl00$ContentPlaceHolder1$gdvLicitacao$ctl03$lbkProcessoLicitatorio%22, %22%22, true, %22%22, %22%22, false, true))" xr:uid="{00000000-0004-0000-1F00-000001000000}"/>
    <hyperlink ref="A5" r:id="rId3" display="javascript:WebForm_DoPostBackWithOptions(new WebForm_PostBackOptions(%22ctl00$ContentPlaceHolder1$gdvLicitacao$ctl04$lbkProcessoLicitatorio%22, %22%22, true, %22%22, %22%22, false, true))" xr:uid="{00000000-0004-0000-1F00-000002000000}"/>
    <hyperlink ref="A6" r:id="rId4" display="javascript:WebForm_DoPostBackWithOptions(new WebForm_PostBackOptions(%22ctl00$ContentPlaceHolder1$gdvLicitacao$ctl05$lbkProcessoLicitatorio%22, %22%22, true, %22%22, %22%22, false, true))" xr:uid="{00000000-0004-0000-1F00-000003000000}"/>
    <hyperlink ref="A7" r:id="rId5" display="javascript:WebForm_DoPostBackWithOptions(new WebForm_PostBackOptions(%22ctl00$ContentPlaceHolder1$gdvLicitacao$ctl06$lbkProcessoLicitatorio%22, %22%22, true, %22%22, %22%22, false, true))" xr:uid="{00000000-0004-0000-1F00-000004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67"/>
  <sheetViews>
    <sheetView topLeftCell="F138" zoomScale="55" zoomScaleNormal="55" workbookViewId="0">
      <selection activeCell="M161" sqref="M161"/>
    </sheetView>
  </sheetViews>
  <sheetFormatPr defaultColWidth="13.42578125" defaultRowHeight="12.75"/>
  <cols>
    <col min="1" max="1" width="82.85546875" style="70" customWidth="1"/>
    <col min="2" max="16" width="22.7109375" style="70" customWidth="1"/>
    <col min="17" max="17" width="13.42578125" style="70"/>
    <col min="18" max="18" width="81" style="70" customWidth="1"/>
    <col min="19" max="19" width="21.5703125" style="70" customWidth="1"/>
    <col min="20" max="16384" width="13.42578125" style="70"/>
  </cols>
  <sheetData>
    <row r="1" spans="1:14">
      <c r="A1" s="342" t="s">
        <v>249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</row>
    <row r="2" spans="1:14" s="211" customFormat="1">
      <c r="A2" s="210" t="s">
        <v>41</v>
      </c>
      <c r="B2" s="210" t="s">
        <v>29</v>
      </c>
      <c r="C2" s="210" t="s">
        <v>30</v>
      </c>
      <c r="D2" s="210" t="s">
        <v>31</v>
      </c>
      <c r="E2" s="210" t="s">
        <v>32</v>
      </c>
      <c r="F2" s="210" t="s">
        <v>33</v>
      </c>
      <c r="G2" s="210" t="s">
        <v>34</v>
      </c>
      <c r="H2" s="210" t="s">
        <v>35</v>
      </c>
      <c r="I2" s="210" t="s">
        <v>36</v>
      </c>
      <c r="J2" s="210" t="s">
        <v>37</v>
      </c>
      <c r="K2" s="210" t="s">
        <v>38</v>
      </c>
      <c r="L2" s="210" t="s">
        <v>39</v>
      </c>
      <c r="M2" s="210" t="s">
        <v>40</v>
      </c>
      <c r="N2" s="210" t="s">
        <v>49</v>
      </c>
    </row>
    <row r="3" spans="1:14">
      <c r="A3" s="212" t="s">
        <v>171</v>
      </c>
      <c r="B3" s="153">
        <f>SUM(B4:B11)</f>
        <v>191602.84999999998</v>
      </c>
      <c r="C3" s="153">
        <f t="shared" ref="C3:H3" si="0">SUM(C4:C11)</f>
        <v>210031.86999999997</v>
      </c>
      <c r="D3" s="153">
        <f t="shared" si="0"/>
        <v>263433.83</v>
      </c>
      <c r="E3" s="153">
        <f t="shared" si="0"/>
        <v>246987.11000000002</v>
      </c>
      <c r="F3" s="153">
        <f t="shared" si="0"/>
        <v>657407.69000000006</v>
      </c>
      <c r="G3" s="153">
        <f t="shared" si="0"/>
        <v>212855.59</v>
      </c>
      <c r="H3" s="153">
        <f t="shared" si="0"/>
        <v>319622.94999999995</v>
      </c>
      <c r="I3" s="153">
        <f>SUM(I4:I11)</f>
        <v>317688.07</v>
      </c>
      <c r="J3" s="153">
        <f t="shared" ref="J3:M3" si="1">SUM(J4:J11)</f>
        <v>972184.46</v>
      </c>
      <c r="K3" s="153">
        <f t="shared" si="1"/>
        <v>471669.73</v>
      </c>
      <c r="L3" s="153">
        <f t="shared" si="1"/>
        <v>337787.70000000007</v>
      </c>
      <c r="M3" s="153">
        <f t="shared" si="1"/>
        <v>1467891.75</v>
      </c>
      <c r="N3" s="153">
        <f>SUM(N4:N11)</f>
        <v>5669163.5999999996</v>
      </c>
    </row>
    <row r="4" spans="1:14">
      <c r="A4" s="213" t="s">
        <v>42</v>
      </c>
      <c r="B4" s="106">
        <v>53556.42</v>
      </c>
      <c r="C4" s="106">
        <v>41136.32</v>
      </c>
      <c r="D4" s="106">
        <v>28329.18</v>
      </c>
      <c r="E4" s="106">
        <v>14429.94</v>
      </c>
      <c r="F4" s="106">
        <v>14840</v>
      </c>
      <c r="G4" s="106">
        <v>11273.94</v>
      </c>
      <c r="H4" s="106">
        <v>29439.4</v>
      </c>
      <c r="I4" s="154">
        <v>30591.41</v>
      </c>
      <c r="J4" s="106">
        <v>27503.78</v>
      </c>
      <c r="K4" s="106">
        <v>38796.199999999997</v>
      </c>
      <c r="L4" s="154">
        <v>42183</v>
      </c>
      <c r="M4" s="154">
        <v>63339.94</v>
      </c>
      <c r="N4" s="295">
        <f t="shared" ref="N4:N11" si="2">SUM(B4:M4)</f>
        <v>395419.52999999997</v>
      </c>
    </row>
    <row r="5" spans="1:14">
      <c r="A5" s="213" t="s">
        <v>43</v>
      </c>
      <c r="B5" s="106">
        <v>27437.39</v>
      </c>
      <c r="C5" s="106">
        <v>19637.490000000002</v>
      </c>
      <c r="D5" s="106">
        <v>38222.410000000003</v>
      </c>
      <c r="E5" s="106">
        <v>33646.19</v>
      </c>
      <c r="F5" s="106">
        <v>44743.1</v>
      </c>
      <c r="G5" s="106">
        <v>28500.560000000001</v>
      </c>
      <c r="H5" s="106">
        <v>34080.75</v>
      </c>
      <c r="I5" s="154">
        <v>57629.64</v>
      </c>
      <c r="J5" s="106">
        <v>66958.92</v>
      </c>
      <c r="K5" s="106">
        <v>38444.58</v>
      </c>
      <c r="L5" s="154">
        <v>67359.070000000007</v>
      </c>
      <c r="M5" s="154">
        <v>251375.54</v>
      </c>
      <c r="N5" s="295">
        <f t="shared" si="2"/>
        <v>708035.64</v>
      </c>
    </row>
    <row r="6" spans="1:14">
      <c r="A6" s="213" t="s">
        <v>44</v>
      </c>
      <c r="B6" s="106">
        <v>22171.59</v>
      </c>
      <c r="C6" s="71">
        <v>44426.93</v>
      </c>
      <c r="D6" s="106">
        <v>97894.24</v>
      </c>
      <c r="E6" s="106">
        <v>16679.91</v>
      </c>
      <c r="F6" s="106">
        <v>27931.17</v>
      </c>
      <c r="G6" s="106">
        <v>38037.97</v>
      </c>
      <c r="H6" s="106">
        <v>23520.85</v>
      </c>
      <c r="I6" s="154">
        <v>46057.36</v>
      </c>
      <c r="J6" s="106">
        <v>7643.82</v>
      </c>
      <c r="K6" s="106">
        <v>82011.08</v>
      </c>
      <c r="L6" s="154">
        <v>20867.27</v>
      </c>
      <c r="M6" s="154">
        <v>25428.89</v>
      </c>
      <c r="N6" s="295">
        <f t="shared" si="2"/>
        <v>452671.08000000007</v>
      </c>
    </row>
    <row r="7" spans="1:14">
      <c r="A7" s="213" t="s">
        <v>45</v>
      </c>
      <c r="B7" s="154">
        <v>9448.9500000000007</v>
      </c>
      <c r="C7" s="71">
        <v>9448.9500000000007</v>
      </c>
      <c r="D7" s="106">
        <v>9448.9500000000007</v>
      </c>
      <c r="E7" s="106">
        <v>9451.9</v>
      </c>
      <c r="F7" s="106">
        <v>324773.62</v>
      </c>
      <c r="G7" s="106">
        <v>9253.83</v>
      </c>
      <c r="H7" s="106">
        <v>0</v>
      </c>
      <c r="I7" s="154">
        <v>18507.66</v>
      </c>
      <c r="J7" s="106">
        <v>635191.85</v>
      </c>
      <c r="K7" s="106">
        <v>68197.03</v>
      </c>
      <c r="L7" s="154">
        <v>10611.99</v>
      </c>
      <c r="M7" s="154">
        <v>913426.65</v>
      </c>
      <c r="N7" s="295">
        <f t="shared" si="2"/>
        <v>2017761.38</v>
      </c>
    </row>
    <row r="8" spans="1:14">
      <c r="A8" s="204" t="s">
        <v>128</v>
      </c>
      <c r="B8" s="154">
        <v>12694.29</v>
      </c>
      <c r="C8" s="71">
        <v>19907.259999999998</v>
      </c>
      <c r="D8" s="106">
        <v>12968.1</v>
      </c>
      <c r="E8" s="106">
        <v>31092.85</v>
      </c>
      <c r="F8" s="106">
        <v>15341.79</v>
      </c>
      <c r="G8" s="106">
        <v>5129.8100000000004</v>
      </c>
      <c r="H8" s="106">
        <v>6752.81</v>
      </c>
      <c r="I8" s="154">
        <v>2055.87</v>
      </c>
      <c r="J8" s="106">
        <v>7270.68</v>
      </c>
      <c r="K8" s="106">
        <v>947.64</v>
      </c>
      <c r="L8" s="154">
        <v>4557.6400000000003</v>
      </c>
      <c r="M8" s="154">
        <v>1351.5</v>
      </c>
      <c r="N8" s="295">
        <f t="shared" si="2"/>
        <v>120070.23999999999</v>
      </c>
    </row>
    <row r="9" spans="1:14" ht="14.25" customHeight="1">
      <c r="A9" s="70" t="s">
        <v>46</v>
      </c>
      <c r="B9" s="154">
        <v>39594.720000000001</v>
      </c>
      <c r="C9" s="71">
        <v>42919.33</v>
      </c>
      <c r="D9" s="106">
        <v>42317.74</v>
      </c>
      <c r="E9" s="106">
        <v>41716.22</v>
      </c>
      <c r="F9" s="106">
        <v>41231.4</v>
      </c>
      <c r="G9" s="106">
        <v>48073.38</v>
      </c>
      <c r="H9" s="106">
        <v>45020.62</v>
      </c>
      <c r="I9" s="154">
        <v>44979.65</v>
      </c>
      <c r="J9" s="106">
        <v>42787.63</v>
      </c>
      <c r="K9" s="106">
        <v>40980.589999999997</v>
      </c>
      <c r="L9" s="154">
        <v>44703.98</v>
      </c>
      <c r="M9" s="154">
        <v>47196.17</v>
      </c>
      <c r="N9" s="295">
        <f t="shared" si="2"/>
        <v>521521.43</v>
      </c>
    </row>
    <row r="10" spans="1:14">
      <c r="A10" s="213" t="s">
        <v>26</v>
      </c>
      <c r="B10" s="154">
        <v>26699.49</v>
      </c>
      <c r="C10" s="154">
        <v>32555.59</v>
      </c>
      <c r="D10" s="154">
        <v>34253.21</v>
      </c>
      <c r="E10" s="154">
        <v>23932.6</v>
      </c>
      <c r="F10" s="106">
        <v>24599.26</v>
      </c>
      <c r="G10" s="106">
        <v>63536.1</v>
      </c>
      <c r="H10" s="106">
        <v>58164.15</v>
      </c>
      <c r="I10" s="154">
        <v>64540.15</v>
      </c>
      <c r="J10" s="106">
        <v>62621.85</v>
      </c>
      <c r="K10" s="106">
        <v>77214.44</v>
      </c>
      <c r="L10" s="154">
        <v>65395.13</v>
      </c>
      <c r="M10" s="154">
        <v>76558.600000000006</v>
      </c>
      <c r="N10" s="295">
        <f t="shared" si="2"/>
        <v>610070.56999999995</v>
      </c>
    </row>
    <row r="11" spans="1:14">
      <c r="A11" s="213" t="s">
        <v>172</v>
      </c>
      <c r="B11" s="154">
        <v>0</v>
      </c>
      <c r="C11" s="154">
        <v>0</v>
      </c>
      <c r="D11" s="154">
        <v>0</v>
      </c>
      <c r="E11" s="154">
        <v>76037.5</v>
      </c>
      <c r="F11" s="106">
        <v>163947.35</v>
      </c>
      <c r="G11" s="106">
        <v>9050</v>
      </c>
      <c r="H11" s="106">
        <v>122644.37</v>
      </c>
      <c r="I11" s="154">
        <v>53326.33</v>
      </c>
      <c r="J11" s="106">
        <v>122205.93</v>
      </c>
      <c r="K11" s="106">
        <v>125078.17</v>
      </c>
      <c r="L11" s="154">
        <v>82109.62</v>
      </c>
      <c r="M11" s="154">
        <v>89214.46</v>
      </c>
      <c r="N11" s="295">
        <f t="shared" si="2"/>
        <v>843613.73</v>
      </c>
    </row>
    <row r="12" spans="1:14" ht="6.75" customHeight="1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>
      <c r="A13" s="212" t="s">
        <v>0</v>
      </c>
      <c r="B13" s="153">
        <f t="shared" ref="B13:M13" si="3">SUM(B14:B33)</f>
        <v>6056780.1100000003</v>
      </c>
      <c r="C13" s="153">
        <f t="shared" si="3"/>
        <v>6411979.0899999989</v>
      </c>
      <c r="D13" s="153">
        <f t="shared" si="3"/>
        <v>5132111.4400000004</v>
      </c>
      <c r="E13" s="153">
        <f t="shared" si="3"/>
        <v>5133694.3099999996</v>
      </c>
      <c r="F13" s="153">
        <f t="shared" si="3"/>
        <v>6084919.5099999988</v>
      </c>
      <c r="G13" s="153">
        <f t="shared" si="3"/>
        <v>17084811.989999998</v>
      </c>
      <c r="H13" s="153">
        <f t="shared" si="3"/>
        <v>5998595.7800000003</v>
      </c>
      <c r="I13" s="153">
        <f>SUM(I14:I33)</f>
        <v>6377382.6799999997</v>
      </c>
      <c r="J13" s="153">
        <f t="shared" si="3"/>
        <v>6426839.8099999996</v>
      </c>
      <c r="K13" s="153">
        <f t="shared" si="3"/>
        <v>6386167.1900000004</v>
      </c>
      <c r="L13" s="153">
        <f t="shared" si="3"/>
        <v>7394790.709999999</v>
      </c>
      <c r="M13" s="153">
        <f t="shared" si="3"/>
        <v>9523352.870000001</v>
      </c>
      <c r="N13" s="153">
        <f>SUM(N14:N33)</f>
        <v>88011425.489999995</v>
      </c>
    </row>
    <row r="14" spans="1:14">
      <c r="A14" s="73" t="s">
        <v>251</v>
      </c>
      <c r="B14" s="154">
        <v>2711428.45</v>
      </c>
      <c r="C14" s="106">
        <v>3588349.8</v>
      </c>
      <c r="D14" s="106">
        <v>2195158.1800000002</v>
      </c>
      <c r="E14" s="106">
        <v>2509750.86</v>
      </c>
      <c r="F14" s="106">
        <v>2789991</v>
      </c>
      <c r="G14" s="106">
        <v>2605830.6800000002</v>
      </c>
      <c r="H14" s="106">
        <v>1878797.68</v>
      </c>
      <c r="I14" s="72">
        <v>2209718.56</v>
      </c>
      <c r="J14" s="154">
        <v>2252584.19</v>
      </c>
      <c r="K14" s="106">
        <v>2092115.86</v>
      </c>
      <c r="L14" s="154">
        <v>2714445.95</v>
      </c>
      <c r="M14" s="154">
        <v>2986603.6</v>
      </c>
      <c r="N14" s="295">
        <f t="shared" ref="N14:N34" si="4">SUM(B14:M14)</f>
        <v>30534774.809999999</v>
      </c>
    </row>
    <row r="15" spans="1:14">
      <c r="A15" s="73" t="s">
        <v>250</v>
      </c>
      <c r="B15" s="154">
        <v>0</v>
      </c>
      <c r="C15" s="106">
        <v>0</v>
      </c>
      <c r="D15" s="106">
        <v>0</v>
      </c>
      <c r="E15" s="106">
        <v>0</v>
      </c>
      <c r="F15" s="106">
        <v>0</v>
      </c>
      <c r="G15" s="106"/>
      <c r="H15" s="106">
        <v>1328011.1499999999</v>
      </c>
      <c r="I15" s="154"/>
      <c r="J15" s="154"/>
      <c r="K15" s="106"/>
      <c r="L15" s="154">
        <v>741263.42</v>
      </c>
      <c r="M15" s="154">
        <v>1324127.04</v>
      </c>
      <c r="N15" s="295">
        <f t="shared" si="4"/>
        <v>3393401.61</v>
      </c>
    </row>
    <row r="16" spans="1:14">
      <c r="A16" s="73" t="s">
        <v>131</v>
      </c>
      <c r="B16" s="154">
        <v>1084.4000000000001</v>
      </c>
      <c r="C16" s="106">
        <v>266.64</v>
      </c>
      <c r="D16" s="106">
        <v>605.91999999999996</v>
      </c>
      <c r="E16" s="106">
        <v>346.94</v>
      </c>
      <c r="F16" s="106">
        <v>238.76</v>
      </c>
      <c r="G16" s="106">
        <v>398.04</v>
      </c>
      <c r="H16" s="106">
        <v>899.56</v>
      </c>
      <c r="I16" s="154">
        <v>1357.92</v>
      </c>
      <c r="J16" s="154">
        <v>12278.87</v>
      </c>
      <c r="K16" s="106">
        <v>45791.76</v>
      </c>
      <c r="L16" s="154">
        <v>5308.01</v>
      </c>
      <c r="M16" s="154">
        <v>3511.03</v>
      </c>
      <c r="N16" s="295">
        <f t="shared" si="4"/>
        <v>72087.850000000006</v>
      </c>
    </row>
    <row r="17" spans="1:15">
      <c r="A17" s="73" t="s">
        <v>162</v>
      </c>
      <c r="B17" s="72">
        <v>59407.76</v>
      </c>
      <c r="C17" s="106">
        <v>89804.78</v>
      </c>
      <c r="D17" s="106">
        <v>203772.02</v>
      </c>
      <c r="E17" s="106">
        <v>52547.49</v>
      </c>
      <c r="F17" s="106">
        <v>129098.39</v>
      </c>
      <c r="G17" s="106">
        <v>51474.82</v>
      </c>
      <c r="H17" s="106">
        <v>37318.94</v>
      </c>
      <c r="I17" s="154">
        <v>49701.43</v>
      </c>
      <c r="J17" s="154">
        <v>126495.92</v>
      </c>
      <c r="K17" s="106">
        <v>84183.6</v>
      </c>
      <c r="L17" s="154">
        <v>67671.820000000007</v>
      </c>
      <c r="M17" s="154">
        <v>138840.43</v>
      </c>
      <c r="N17" s="295">
        <f t="shared" ref="N17:N25" si="5">SUM(B17:M17)</f>
        <v>1090317.3999999999</v>
      </c>
    </row>
    <row r="18" spans="1:15">
      <c r="A18" s="73" t="s">
        <v>163</v>
      </c>
      <c r="B18" s="154">
        <v>283547.96999999997</v>
      </c>
      <c r="C18" s="106">
        <v>281423.09999999998</v>
      </c>
      <c r="D18" s="106">
        <v>332869.62</v>
      </c>
      <c r="E18" s="106">
        <v>304830.94</v>
      </c>
      <c r="F18" s="106">
        <v>306812.92</v>
      </c>
      <c r="G18" s="106">
        <v>1341619.29</v>
      </c>
      <c r="H18" s="106">
        <v>340603.29</v>
      </c>
      <c r="I18" s="154">
        <v>358775.85</v>
      </c>
      <c r="J18" s="154">
        <v>371742.29</v>
      </c>
      <c r="K18" s="106">
        <v>934408.26</v>
      </c>
      <c r="L18" s="154">
        <v>442975.77</v>
      </c>
      <c r="M18" s="154">
        <v>970439.9</v>
      </c>
      <c r="N18" s="295">
        <f t="shared" si="5"/>
        <v>6270049.2000000011</v>
      </c>
    </row>
    <row r="19" spans="1:15">
      <c r="A19" s="73" t="s">
        <v>164</v>
      </c>
      <c r="B19" s="154">
        <v>58136.7</v>
      </c>
      <c r="C19" s="106">
        <v>64398.65</v>
      </c>
      <c r="D19" s="106">
        <v>80368.86</v>
      </c>
      <c r="E19" s="106">
        <v>77937.929999999993</v>
      </c>
      <c r="F19" s="106">
        <v>52917.43</v>
      </c>
      <c r="G19" s="106">
        <v>39279.1</v>
      </c>
      <c r="H19" s="106">
        <v>49366.18</v>
      </c>
      <c r="I19" s="154">
        <v>46516.05</v>
      </c>
      <c r="J19" s="154">
        <v>39018.85</v>
      </c>
      <c r="K19" s="106">
        <v>138296.09</v>
      </c>
      <c r="L19" s="154">
        <v>83798.009999999995</v>
      </c>
      <c r="M19" s="154">
        <v>43581.23</v>
      </c>
      <c r="N19" s="295">
        <f t="shared" si="5"/>
        <v>773615.08</v>
      </c>
    </row>
    <row r="20" spans="1:15">
      <c r="A20" s="73" t="s">
        <v>169</v>
      </c>
      <c r="B20" s="71">
        <v>459006.66</v>
      </c>
      <c r="C20" s="106">
        <v>148848.51999999999</v>
      </c>
      <c r="D20" s="106">
        <v>162380.21</v>
      </c>
      <c r="E20" s="106">
        <v>169400.54</v>
      </c>
      <c r="F20" s="106">
        <v>190084.63</v>
      </c>
      <c r="G20" s="106">
        <v>203628.99</v>
      </c>
      <c r="H20" s="106">
        <v>203628.99</v>
      </c>
      <c r="I20" s="154">
        <v>216709.75</v>
      </c>
      <c r="J20" s="191">
        <v>215407.3</v>
      </c>
      <c r="K20" s="106">
        <v>215406</v>
      </c>
      <c r="L20" s="154">
        <v>215406</v>
      </c>
      <c r="M20" s="154">
        <v>215406</v>
      </c>
      <c r="N20" s="295">
        <f t="shared" si="5"/>
        <v>2615313.59</v>
      </c>
    </row>
    <row r="21" spans="1:15">
      <c r="A21" s="73" t="s">
        <v>170</v>
      </c>
      <c r="B21" s="71">
        <v>878133.38</v>
      </c>
      <c r="C21" s="106">
        <v>218801.35</v>
      </c>
      <c r="D21" s="106">
        <v>238692.38</v>
      </c>
      <c r="E21" s="106">
        <v>222011.43</v>
      </c>
      <c r="F21" s="106">
        <v>278900.57</v>
      </c>
      <c r="G21" s="106">
        <v>298083.08</v>
      </c>
      <c r="H21" s="106">
        <v>298083.08</v>
      </c>
      <c r="I21" s="154">
        <v>317231.40000000002</v>
      </c>
      <c r="J21" s="154">
        <v>338792.97</v>
      </c>
      <c r="K21" s="106">
        <v>341628.49</v>
      </c>
      <c r="L21" s="154">
        <v>341628.49</v>
      </c>
      <c r="M21" s="154">
        <v>341628.49</v>
      </c>
      <c r="N21" s="295">
        <f t="shared" si="5"/>
        <v>4113615.1100000003</v>
      </c>
    </row>
    <row r="22" spans="1:15">
      <c r="A22" s="73" t="s">
        <v>165</v>
      </c>
      <c r="B22" s="154">
        <v>0</v>
      </c>
      <c r="C22" s="106">
        <v>13313.1</v>
      </c>
      <c r="D22" s="106">
        <v>20015.41</v>
      </c>
      <c r="E22" s="106">
        <v>12309.2</v>
      </c>
      <c r="F22" s="106">
        <v>52028.66</v>
      </c>
      <c r="G22" s="106">
        <v>22360.16</v>
      </c>
      <c r="H22" s="106">
        <v>19105.38</v>
      </c>
      <c r="I22" s="154">
        <v>11740.77</v>
      </c>
      <c r="J22" s="154">
        <v>11715.13</v>
      </c>
      <c r="K22" s="106">
        <v>11645.89</v>
      </c>
      <c r="L22" s="154">
        <v>0</v>
      </c>
      <c r="M22" s="154">
        <v>95126.03</v>
      </c>
      <c r="N22" s="295">
        <f t="shared" si="5"/>
        <v>269359.73</v>
      </c>
    </row>
    <row r="23" spans="1:15">
      <c r="A23" s="73" t="s">
        <v>198</v>
      </c>
      <c r="B23" s="154">
        <v>3577.8</v>
      </c>
      <c r="C23" s="106">
        <v>3577.8</v>
      </c>
      <c r="D23" s="106">
        <v>3577.8</v>
      </c>
      <c r="E23" s="106">
        <v>3577.8</v>
      </c>
      <c r="F23" s="106">
        <v>3577.8</v>
      </c>
      <c r="G23" s="106">
        <v>3577.8</v>
      </c>
      <c r="H23" s="106">
        <v>3577.8</v>
      </c>
      <c r="I23" s="154">
        <v>3577.8</v>
      </c>
      <c r="J23" s="154">
        <v>3577.8</v>
      </c>
      <c r="K23" s="106">
        <v>3577.8</v>
      </c>
      <c r="L23" s="154">
        <v>3577.8</v>
      </c>
      <c r="M23" s="154">
        <v>3577.8</v>
      </c>
      <c r="N23" s="295">
        <f t="shared" si="5"/>
        <v>42933.600000000006</v>
      </c>
    </row>
    <row r="24" spans="1:15">
      <c r="A24" s="73" t="s">
        <v>318</v>
      </c>
      <c r="B24" s="154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4721922.54</v>
      </c>
      <c r="H24" s="106">
        <v>0</v>
      </c>
      <c r="I24" s="154">
        <v>0</v>
      </c>
      <c r="J24" s="154">
        <v>0</v>
      </c>
      <c r="K24" s="106">
        <v>0</v>
      </c>
      <c r="L24" s="154">
        <v>0</v>
      </c>
      <c r="M24" s="154"/>
      <c r="N24" s="295">
        <f t="shared" si="5"/>
        <v>4721922.54</v>
      </c>
    </row>
    <row r="25" spans="1:15">
      <c r="A25" s="73" t="s">
        <v>199</v>
      </c>
      <c r="B25" s="154">
        <v>5643.04</v>
      </c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5258.27</v>
      </c>
      <c r="I25" s="154">
        <v>280047.74</v>
      </c>
      <c r="J25" s="154"/>
      <c r="K25" s="106"/>
      <c r="L25" s="154">
        <v>0</v>
      </c>
      <c r="M25" s="154"/>
      <c r="N25" s="295">
        <f t="shared" si="5"/>
        <v>290949.05</v>
      </c>
    </row>
    <row r="26" spans="1:15">
      <c r="A26" s="73" t="s">
        <v>129</v>
      </c>
      <c r="B26" s="154">
        <v>582961</v>
      </c>
      <c r="C26" s="106">
        <v>583922.35</v>
      </c>
      <c r="D26" s="106">
        <v>643709.37</v>
      </c>
      <c r="E26" s="106">
        <v>682710.2</v>
      </c>
      <c r="F26" s="106">
        <v>923603.04</v>
      </c>
      <c r="G26" s="106">
        <v>665451.68999999994</v>
      </c>
      <c r="H26" s="106">
        <v>764919.67</v>
      </c>
      <c r="I26" s="154">
        <v>796885.24</v>
      </c>
      <c r="J26" s="154">
        <v>743062.23</v>
      </c>
      <c r="K26" s="106">
        <v>906262.96</v>
      </c>
      <c r="L26" s="154">
        <v>679074.51</v>
      </c>
      <c r="M26" s="154">
        <v>1032102.17</v>
      </c>
      <c r="N26" s="295">
        <f t="shared" si="4"/>
        <v>9004664.4300000016</v>
      </c>
    </row>
    <row r="27" spans="1:15">
      <c r="A27" s="73" t="s">
        <v>130</v>
      </c>
      <c r="B27" s="209">
        <v>62698.95</v>
      </c>
      <c r="C27" s="106">
        <v>131934.66</v>
      </c>
      <c r="D27" s="106">
        <v>49274.23</v>
      </c>
      <c r="E27" s="106">
        <v>42734.92</v>
      </c>
      <c r="F27" s="106">
        <v>59080.800000000003</v>
      </c>
      <c r="G27" s="106">
        <v>67065.11</v>
      </c>
      <c r="H27" s="106">
        <v>50766.36</v>
      </c>
      <c r="I27" s="154">
        <v>64987.839999999997</v>
      </c>
      <c r="J27" s="154">
        <v>55741.56</v>
      </c>
      <c r="K27" s="106">
        <v>62482.6</v>
      </c>
      <c r="L27" s="154">
        <v>58000.59</v>
      </c>
      <c r="M27" s="154">
        <v>62239.89</v>
      </c>
      <c r="N27" s="295">
        <f t="shared" si="4"/>
        <v>767007.50999999989</v>
      </c>
    </row>
    <row r="28" spans="1:15">
      <c r="A28" s="73" t="s">
        <v>138</v>
      </c>
      <c r="B28" s="154">
        <v>4387.59</v>
      </c>
      <c r="C28" s="106">
        <v>3128.88</v>
      </c>
      <c r="D28" s="106">
        <v>3877.65</v>
      </c>
      <c r="E28" s="106">
        <v>4133.8599999999997</v>
      </c>
      <c r="F28" s="106">
        <v>3717.42</v>
      </c>
      <c r="G28" s="106">
        <v>4635.51</v>
      </c>
      <c r="H28" s="106">
        <v>4211.51</v>
      </c>
      <c r="I28" s="154">
        <v>3748.66</v>
      </c>
      <c r="J28" s="154">
        <v>4858.2700000000004</v>
      </c>
      <c r="K28" s="106">
        <v>5427.34</v>
      </c>
      <c r="L28" s="154">
        <v>4447.03</v>
      </c>
      <c r="M28" s="154">
        <v>4841.4399999999996</v>
      </c>
      <c r="N28" s="295">
        <f t="shared" si="4"/>
        <v>51415.16</v>
      </c>
      <c r="O28" s="103"/>
    </row>
    <row r="29" spans="1:15">
      <c r="A29" s="73" t="s">
        <v>166</v>
      </c>
      <c r="B29" s="154">
        <v>118.21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54">
        <v>0</v>
      </c>
      <c r="J29" s="154">
        <v>0</v>
      </c>
      <c r="K29" s="106">
        <v>3436.07</v>
      </c>
      <c r="L29" s="154">
        <v>0</v>
      </c>
      <c r="M29" s="154"/>
      <c r="N29" s="295">
        <f t="shared" si="4"/>
        <v>3554.28</v>
      </c>
    </row>
    <row r="30" spans="1:15">
      <c r="A30" s="73" t="s">
        <v>167</v>
      </c>
      <c r="B30" s="154">
        <v>0</v>
      </c>
      <c r="C30" s="106">
        <v>9000</v>
      </c>
      <c r="D30" s="106">
        <f>45181.68+12478</f>
        <v>57659.68</v>
      </c>
      <c r="E30" s="106">
        <v>1400</v>
      </c>
      <c r="F30" s="106">
        <v>1400</v>
      </c>
      <c r="G30" s="106">
        <v>9800</v>
      </c>
      <c r="H30" s="106">
        <v>0</v>
      </c>
      <c r="I30" s="154">
        <v>0</v>
      </c>
      <c r="J30" s="154">
        <v>0</v>
      </c>
      <c r="K30" s="106"/>
      <c r="L30" s="154">
        <v>0</v>
      </c>
      <c r="M30" s="154">
        <v>70255.759999999995</v>
      </c>
      <c r="N30" s="295">
        <f t="shared" si="4"/>
        <v>149515.44</v>
      </c>
    </row>
    <row r="31" spans="1:15">
      <c r="A31" s="73" t="s">
        <v>168</v>
      </c>
      <c r="B31" s="154">
        <v>937580.01</v>
      </c>
      <c r="C31" s="106">
        <v>1275209.46</v>
      </c>
      <c r="D31" s="106">
        <v>1031496.9</v>
      </c>
      <c r="E31" s="106">
        <v>1050002.2</v>
      </c>
      <c r="F31" s="106">
        <v>1293468.0900000001</v>
      </c>
      <c r="G31" s="106">
        <v>1058222.72</v>
      </c>
      <c r="H31" s="106">
        <v>1014047.92</v>
      </c>
      <c r="I31" s="154">
        <v>1114683.17</v>
      </c>
      <c r="J31" s="154">
        <v>971564.43</v>
      </c>
      <c r="K31" s="106">
        <v>1043204.97</v>
      </c>
      <c r="L31" s="154">
        <v>1222176.6399999999</v>
      </c>
      <c r="M31" s="198">
        <v>1473101.23</v>
      </c>
      <c r="N31" s="295">
        <f t="shared" si="4"/>
        <v>13484757.74</v>
      </c>
    </row>
    <row r="32" spans="1:15">
      <c r="A32" s="73" t="s">
        <v>200</v>
      </c>
      <c r="B32" s="154">
        <v>9068.19</v>
      </c>
      <c r="C32" s="106"/>
      <c r="D32" s="106">
        <v>108653.21</v>
      </c>
      <c r="E32" s="106">
        <v>0</v>
      </c>
      <c r="F32" s="106">
        <v>0</v>
      </c>
      <c r="G32" s="106">
        <v>5991462.46</v>
      </c>
      <c r="H32" s="106">
        <v>0</v>
      </c>
      <c r="I32" s="154">
        <v>0</v>
      </c>
      <c r="J32" s="154"/>
      <c r="K32" s="106"/>
      <c r="L32" s="154">
        <v>4280</v>
      </c>
      <c r="M32" s="154">
        <v>57970.83</v>
      </c>
      <c r="N32" s="295">
        <f t="shared" si="4"/>
        <v>6171434.6900000004</v>
      </c>
    </row>
    <row r="33" spans="1:14">
      <c r="A33" s="73" t="s">
        <v>331</v>
      </c>
      <c r="B33" s="106"/>
      <c r="C33" s="106"/>
      <c r="D33" s="106"/>
      <c r="E33" s="106"/>
      <c r="F33" s="106">
        <v>0</v>
      </c>
      <c r="G33" s="106"/>
      <c r="H33" s="106">
        <v>0</v>
      </c>
      <c r="I33" s="154">
        <v>901700.5</v>
      </c>
      <c r="J33" s="154">
        <v>1280000</v>
      </c>
      <c r="K33" s="106">
        <v>498299.5</v>
      </c>
      <c r="L33" s="154">
        <v>810736.67</v>
      </c>
      <c r="M33" s="154">
        <v>700000</v>
      </c>
      <c r="N33" s="295">
        <f t="shared" si="4"/>
        <v>4190736.67</v>
      </c>
    </row>
    <row r="34" spans="1:14">
      <c r="A34" s="214" t="s">
        <v>132</v>
      </c>
      <c r="B34" s="155">
        <v>671634.41</v>
      </c>
      <c r="C34" s="155">
        <v>860894.58</v>
      </c>
      <c r="D34" s="155">
        <v>577749.42000000004</v>
      </c>
      <c r="E34" s="155">
        <v>647108.46</v>
      </c>
      <c r="F34" s="155">
        <v>754582.59</v>
      </c>
      <c r="G34" s="155">
        <v>667748.96</v>
      </c>
      <c r="H34" s="155">
        <v>539076.56000000006</v>
      </c>
      <c r="I34" s="155">
        <v>614589.78</v>
      </c>
      <c r="J34" s="155">
        <v>546989.92000000004</v>
      </c>
      <c r="K34" s="155">
        <v>621330.47</v>
      </c>
      <c r="L34" s="155">
        <v>691365.68</v>
      </c>
      <c r="M34" s="155">
        <v>830942.36</v>
      </c>
      <c r="N34" s="155">
        <f t="shared" si="4"/>
        <v>8024013.1900000004</v>
      </c>
    </row>
    <row r="36" spans="1:14">
      <c r="A36" s="215" t="s">
        <v>134</v>
      </c>
      <c r="B36" s="216">
        <v>0</v>
      </c>
      <c r="C36" s="216">
        <v>0</v>
      </c>
      <c r="D36" s="216">
        <v>0</v>
      </c>
      <c r="E36" s="216">
        <v>0</v>
      </c>
      <c r="F36" s="216">
        <v>0</v>
      </c>
      <c r="G36" s="216">
        <v>0</v>
      </c>
      <c r="H36" s="216">
        <v>0</v>
      </c>
      <c r="I36" s="216">
        <v>0</v>
      </c>
      <c r="J36" s="216">
        <v>1280000</v>
      </c>
      <c r="K36" s="216"/>
      <c r="L36" s="216">
        <v>810736.67</v>
      </c>
      <c r="M36" s="216"/>
      <c r="N36" s="217">
        <f>SUM(B36:M36)</f>
        <v>2090736.67</v>
      </c>
    </row>
    <row r="37" spans="1:14">
      <c r="A37" s="218" t="s">
        <v>173</v>
      </c>
      <c r="B37" s="219">
        <f>B3+B13</f>
        <v>6248382.96</v>
      </c>
      <c r="C37" s="219">
        <f t="shared" ref="C37:M37" si="6">C3+C13</f>
        <v>6622010.959999999</v>
      </c>
      <c r="D37" s="219">
        <f>D3+D13</f>
        <v>5395545.2700000005</v>
      </c>
      <c r="E37" s="219">
        <f t="shared" si="6"/>
        <v>5380681.4199999999</v>
      </c>
      <c r="F37" s="219">
        <f t="shared" si="6"/>
        <v>6742327.1999999993</v>
      </c>
      <c r="G37" s="219">
        <f t="shared" si="6"/>
        <v>17297667.579999998</v>
      </c>
      <c r="H37" s="219">
        <f t="shared" si="6"/>
        <v>6318218.7300000004</v>
      </c>
      <c r="I37" s="219">
        <f>I3+I13</f>
        <v>6695070.75</v>
      </c>
      <c r="J37" s="219">
        <f t="shared" si="6"/>
        <v>7399024.2699999996</v>
      </c>
      <c r="K37" s="219">
        <f t="shared" si="6"/>
        <v>6857836.9199999999</v>
      </c>
      <c r="L37" s="219">
        <f t="shared" si="6"/>
        <v>7732578.4099999992</v>
      </c>
      <c r="M37" s="219">
        <f t="shared" si="6"/>
        <v>10991244.620000001</v>
      </c>
      <c r="N37" s="217">
        <f>SUM(B37:M37)</f>
        <v>93680589.090000004</v>
      </c>
    </row>
    <row r="38" spans="1:14" s="102" customFormat="1">
      <c r="A38" s="153" t="s">
        <v>133</v>
      </c>
      <c r="B38" s="153">
        <f>B37-B34-B36</f>
        <v>5576748.5499999998</v>
      </c>
      <c r="C38" s="153">
        <f t="shared" ref="C38:L38" si="7">C37-C34-C36</f>
        <v>5761116.379999999</v>
      </c>
      <c r="D38" s="153">
        <f t="shared" si="7"/>
        <v>4817795.8500000006</v>
      </c>
      <c r="E38" s="153">
        <f t="shared" si="7"/>
        <v>4733572.96</v>
      </c>
      <c r="F38" s="153">
        <f t="shared" si="7"/>
        <v>5987744.6099999994</v>
      </c>
      <c r="G38" s="153">
        <f t="shared" si="7"/>
        <v>16629918.619999997</v>
      </c>
      <c r="H38" s="153">
        <f t="shared" si="7"/>
        <v>5779142.1699999999</v>
      </c>
      <c r="I38" s="153">
        <f>I37-I34-I36</f>
        <v>6080480.9699999997</v>
      </c>
      <c r="J38" s="153">
        <f t="shared" si="7"/>
        <v>5572034.3499999996</v>
      </c>
      <c r="K38" s="153">
        <f t="shared" si="7"/>
        <v>6236506.4500000002</v>
      </c>
      <c r="L38" s="153">
        <f t="shared" si="7"/>
        <v>6230476.0599999996</v>
      </c>
      <c r="M38" s="153">
        <f>M37-M34-M36</f>
        <v>10160302.260000002</v>
      </c>
      <c r="N38" s="153">
        <f>SUM(B38:M38)</f>
        <v>83565839.230000004</v>
      </c>
    </row>
    <row r="39" spans="1:14" s="102" customFormat="1">
      <c r="A39" s="154" t="s">
        <v>179</v>
      </c>
      <c r="B39" s="154">
        <v>0</v>
      </c>
      <c r="C39" s="154">
        <v>0</v>
      </c>
      <c r="D39" s="154">
        <v>0</v>
      </c>
      <c r="E39" s="154">
        <v>0</v>
      </c>
      <c r="F39" s="154">
        <v>0</v>
      </c>
      <c r="G39" s="154">
        <v>1000000</v>
      </c>
      <c r="H39" s="154">
        <v>0</v>
      </c>
      <c r="I39" s="291">
        <v>901700.5</v>
      </c>
      <c r="J39" s="291"/>
      <c r="K39" s="291">
        <v>498299.5</v>
      </c>
      <c r="L39" s="154"/>
      <c r="M39" s="154">
        <v>700000</v>
      </c>
      <c r="N39" s="154">
        <f>SUM(B39:M39)</f>
        <v>3100000</v>
      </c>
    </row>
    <row r="40" spans="1:14" s="102" customFormat="1">
      <c r="A40" s="153" t="s">
        <v>180</v>
      </c>
      <c r="B40" s="153">
        <f>B38-B39</f>
        <v>5576748.5499999998</v>
      </c>
      <c r="C40" s="153">
        <f>C38-C39</f>
        <v>5761116.379999999</v>
      </c>
      <c r="D40" s="153">
        <f t="shared" ref="D40:M40" si="8">D38-D39</f>
        <v>4817795.8500000006</v>
      </c>
      <c r="E40" s="153">
        <f t="shared" si="8"/>
        <v>4733572.96</v>
      </c>
      <c r="F40" s="153">
        <f t="shared" si="8"/>
        <v>5987744.6099999994</v>
      </c>
      <c r="G40" s="153">
        <f t="shared" si="8"/>
        <v>15629918.619999997</v>
      </c>
      <c r="H40" s="153">
        <f t="shared" si="8"/>
        <v>5779142.1699999999</v>
      </c>
      <c r="I40" s="153">
        <f t="shared" si="8"/>
        <v>5178780.47</v>
      </c>
      <c r="J40" s="153">
        <f t="shared" si="8"/>
        <v>5572034.3499999996</v>
      </c>
      <c r="K40" s="153">
        <f t="shared" si="8"/>
        <v>5738206.9500000002</v>
      </c>
      <c r="L40" s="153">
        <f t="shared" si="8"/>
        <v>6230476.0599999996</v>
      </c>
      <c r="M40" s="153">
        <f t="shared" si="8"/>
        <v>9460302.2600000016</v>
      </c>
      <c r="N40" s="153">
        <f>SUM(B40:M40)</f>
        <v>80465839.230000004</v>
      </c>
    </row>
    <row r="41" spans="1:14">
      <c r="K41" s="103"/>
      <c r="L41" s="102"/>
    </row>
    <row r="43" spans="1:14" s="108" customFormat="1">
      <c r="A43" s="220" t="s">
        <v>5</v>
      </c>
      <c r="B43" s="105">
        <f t="shared" ref="B43:I43" si="9">B44+B47+B50</f>
        <v>2279773.5700000003</v>
      </c>
      <c r="C43" s="105">
        <f t="shared" si="9"/>
        <v>1654732.6</v>
      </c>
      <c r="D43" s="105">
        <f t="shared" si="9"/>
        <v>1443869.96</v>
      </c>
      <c r="E43" s="105">
        <f t="shared" si="9"/>
        <v>1448310.5499999998</v>
      </c>
      <c r="F43" s="105">
        <f t="shared" si="9"/>
        <v>1770225.1600000001</v>
      </c>
      <c r="G43" s="105">
        <f t="shared" si="9"/>
        <v>1562384.03</v>
      </c>
      <c r="H43" s="105">
        <f t="shared" si="9"/>
        <v>1518147.57</v>
      </c>
      <c r="I43" s="105">
        <f t="shared" si="9"/>
        <v>1651419.9899999998</v>
      </c>
      <c r="J43" s="105">
        <f>J44+J47+J50</f>
        <v>1525764.7</v>
      </c>
      <c r="K43" s="105">
        <f>K44+K47+K50</f>
        <v>1600239.46</v>
      </c>
      <c r="L43" s="105">
        <f>L44+L47+L50</f>
        <v>1779211.13</v>
      </c>
      <c r="M43" s="105">
        <f>M44+M47+M50</f>
        <v>2030135.72</v>
      </c>
      <c r="N43" s="107">
        <f>SUM(B43:M43)</f>
        <v>20264214.439999998</v>
      </c>
    </row>
    <row r="44" spans="1:14" s="108" customFormat="1">
      <c r="A44" s="220" t="s">
        <v>143</v>
      </c>
      <c r="B44" s="105">
        <f t="shared" ref="B44:D44" si="10">B45+B46</f>
        <v>942633.53</v>
      </c>
      <c r="C44" s="105">
        <f t="shared" si="10"/>
        <v>1287082.73</v>
      </c>
      <c r="D44" s="105">
        <f t="shared" si="10"/>
        <v>1042797.37</v>
      </c>
      <c r="E44" s="105">
        <f t="shared" ref="E44:M44" si="11">E45+E46</f>
        <v>1056898.5799999998</v>
      </c>
      <c r="F44" s="105">
        <f t="shared" si="11"/>
        <v>1301239.9600000002</v>
      </c>
      <c r="G44" s="105">
        <f t="shared" si="11"/>
        <v>1060671.96</v>
      </c>
      <c r="H44" s="105">
        <f t="shared" si="11"/>
        <v>1016435.5</v>
      </c>
      <c r="I44" s="105">
        <f t="shared" si="11"/>
        <v>1117478.8399999999</v>
      </c>
      <c r="J44" s="105">
        <f t="shared" si="11"/>
        <v>971564.43</v>
      </c>
      <c r="K44" s="105">
        <f t="shared" si="11"/>
        <v>1043204.97</v>
      </c>
      <c r="L44" s="105">
        <f t="shared" si="11"/>
        <v>1222176.6399999999</v>
      </c>
      <c r="M44" s="105">
        <f t="shared" si="11"/>
        <v>1473101.23</v>
      </c>
      <c r="N44" s="107">
        <f t="shared" ref="N44:N48" si="12">SUM(B44:M44)</f>
        <v>13535285.74</v>
      </c>
    </row>
    <row r="45" spans="1:14">
      <c r="A45" s="221" t="s">
        <v>139</v>
      </c>
      <c r="B45" s="106">
        <f>B31</f>
        <v>937580.01</v>
      </c>
      <c r="C45" s="106">
        <f>C31</f>
        <v>1275209.46</v>
      </c>
      <c r="D45" s="106">
        <f t="shared" ref="D45:M45" si="13">D31</f>
        <v>1031496.9</v>
      </c>
      <c r="E45" s="106">
        <f t="shared" si="13"/>
        <v>1050002.2</v>
      </c>
      <c r="F45" s="106">
        <f t="shared" si="13"/>
        <v>1293468.0900000001</v>
      </c>
      <c r="G45" s="106">
        <f t="shared" si="13"/>
        <v>1058222.72</v>
      </c>
      <c r="H45" s="106">
        <f t="shared" si="13"/>
        <v>1014047.92</v>
      </c>
      <c r="I45" s="106">
        <f t="shared" si="13"/>
        <v>1114683.17</v>
      </c>
      <c r="J45" s="106">
        <f t="shared" si="13"/>
        <v>971564.43</v>
      </c>
      <c r="K45" s="106">
        <f t="shared" si="13"/>
        <v>1043204.97</v>
      </c>
      <c r="L45" s="106">
        <f t="shared" si="13"/>
        <v>1222176.6399999999</v>
      </c>
      <c r="M45" s="106">
        <f t="shared" si="13"/>
        <v>1473101.23</v>
      </c>
      <c r="N45" s="154">
        <f t="shared" si="12"/>
        <v>13484757.74</v>
      </c>
    </row>
    <row r="46" spans="1:14">
      <c r="A46" s="221" t="s">
        <v>140</v>
      </c>
      <c r="B46" s="106">
        <f>5049.11+4.41</f>
        <v>5053.5199999999995</v>
      </c>
      <c r="C46" s="106">
        <f>11869.62+3.65</f>
        <v>11873.27</v>
      </c>
      <c r="D46" s="106">
        <f>11295.76+4.71</f>
        <v>11300.47</v>
      </c>
      <c r="E46" s="106">
        <v>6896.38</v>
      </c>
      <c r="F46" s="106">
        <f>7767.27+4.6</f>
        <v>7771.8700000000008</v>
      </c>
      <c r="G46" s="106">
        <f>2444.84+4.4</f>
        <v>2449.2400000000002</v>
      </c>
      <c r="H46" s="106">
        <f>2383.16+4.42</f>
        <v>2387.58</v>
      </c>
      <c r="I46" s="106">
        <f>2790.94+4.73</f>
        <v>2795.67</v>
      </c>
      <c r="J46" s="106"/>
      <c r="K46" s="106"/>
      <c r="L46" s="106"/>
      <c r="M46" s="154"/>
      <c r="N46" s="154">
        <f t="shared" si="12"/>
        <v>50528</v>
      </c>
    </row>
    <row r="47" spans="1:14" s="108" customFormat="1" ht="15.75" customHeight="1">
      <c r="A47" s="220" t="s">
        <v>141</v>
      </c>
      <c r="B47" s="105">
        <f>B48+B49</f>
        <v>878133.38</v>
      </c>
      <c r="C47" s="105">
        <f t="shared" ref="C47:D47" si="14">C48+C49</f>
        <v>218801.35</v>
      </c>
      <c r="D47" s="105">
        <f t="shared" si="14"/>
        <v>238692.38</v>
      </c>
      <c r="E47" s="105">
        <f t="shared" ref="E47:M47" si="15">E48+E49</f>
        <v>222011.43</v>
      </c>
      <c r="F47" s="105">
        <f t="shared" si="15"/>
        <v>278900.57</v>
      </c>
      <c r="G47" s="105">
        <f t="shared" si="15"/>
        <v>298083.08</v>
      </c>
      <c r="H47" s="105">
        <f t="shared" si="15"/>
        <v>298083.08</v>
      </c>
      <c r="I47" s="105">
        <f t="shared" si="15"/>
        <v>317231.40000000002</v>
      </c>
      <c r="J47" s="105">
        <f t="shared" si="15"/>
        <v>338792.97</v>
      </c>
      <c r="K47" s="105">
        <f t="shared" si="15"/>
        <v>341628.49</v>
      </c>
      <c r="L47" s="105">
        <f t="shared" si="15"/>
        <v>341628.49</v>
      </c>
      <c r="M47" s="105">
        <f t="shared" si="15"/>
        <v>341628.49</v>
      </c>
      <c r="N47" s="205">
        <f t="shared" si="12"/>
        <v>4113615.1100000003</v>
      </c>
    </row>
    <row r="48" spans="1:14">
      <c r="A48" s="221" t="s">
        <v>139</v>
      </c>
      <c r="B48" s="106">
        <f>B21</f>
        <v>878133.38</v>
      </c>
      <c r="C48" s="106">
        <f t="shared" ref="C48:M48" si="16">C21</f>
        <v>218801.35</v>
      </c>
      <c r="D48" s="106">
        <f t="shared" si="16"/>
        <v>238692.38</v>
      </c>
      <c r="E48" s="106">
        <f t="shared" si="16"/>
        <v>222011.43</v>
      </c>
      <c r="F48" s="106">
        <f t="shared" si="16"/>
        <v>278900.57</v>
      </c>
      <c r="G48" s="106">
        <f t="shared" si="16"/>
        <v>298083.08</v>
      </c>
      <c r="H48" s="106">
        <f t="shared" si="16"/>
        <v>298083.08</v>
      </c>
      <c r="I48" s="106">
        <f t="shared" si="16"/>
        <v>317231.40000000002</v>
      </c>
      <c r="J48" s="106">
        <f t="shared" si="16"/>
        <v>338792.97</v>
      </c>
      <c r="K48" s="106">
        <f t="shared" si="16"/>
        <v>341628.49</v>
      </c>
      <c r="L48" s="106">
        <f t="shared" si="16"/>
        <v>341628.49</v>
      </c>
      <c r="M48" s="106">
        <f t="shared" si="16"/>
        <v>341628.49</v>
      </c>
      <c r="N48" s="154">
        <f t="shared" si="12"/>
        <v>4113615.1100000003</v>
      </c>
    </row>
    <row r="49" spans="1:19">
      <c r="A49" s="221" t="s">
        <v>140</v>
      </c>
      <c r="B49" s="106">
        <v>0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54">
        <f>SUM(B49:M49)</f>
        <v>0</v>
      </c>
    </row>
    <row r="50" spans="1:19" s="108" customFormat="1" ht="16.5" customHeight="1">
      <c r="A50" s="220" t="s">
        <v>142</v>
      </c>
      <c r="B50" s="105">
        <f>B51+B52</f>
        <v>459006.66</v>
      </c>
      <c r="C50" s="105">
        <f t="shared" ref="C50:D50" si="17">C51+C52</f>
        <v>148848.51999999999</v>
      </c>
      <c r="D50" s="105">
        <f t="shared" si="17"/>
        <v>162380.21</v>
      </c>
      <c r="E50" s="105">
        <f t="shared" ref="E50:M50" si="18">E51+E52</f>
        <v>169400.54</v>
      </c>
      <c r="F50" s="105">
        <f t="shared" si="18"/>
        <v>190084.63</v>
      </c>
      <c r="G50" s="105">
        <f t="shared" si="18"/>
        <v>203628.99</v>
      </c>
      <c r="H50" s="105">
        <f t="shared" si="18"/>
        <v>203628.99</v>
      </c>
      <c r="I50" s="105">
        <f t="shared" si="18"/>
        <v>216709.75</v>
      </c>
      <c r="J50" s="105">
        <f t="shared" si="18"/>
        <v>215407.3</v>
      </c>
      <c r="K50" s="105">
        <f t="shared" si="18"/>
        <v>215406</v>
      </c>
      <c r="L50" s="105">
        <f t="shared" si="18"/>
        <v>215406</v>
      </c>
      <c r="M50" s="105">
        <f t="shared" si="18"/>
        <v>215406</v>
      </c>
      <c r="N50" s="205">
        <f>SUM(B50:M50)</f>
        <v>2615313.59</v>
      </c>
    </row>
    <row r="51" spans="1:19">
      <c r="A51" s="221" t="s">
        <v>139</v>
      </c>
      <c r="B51" s="106">
        <f>B20</f>
        <v>459006.66</v>
      </c>
      <c r="C51" s="106">
        <f t="shared" ref="C51:M51" si="19">C20</f>
        <v>148848.51999999999</v>
      </c>
      <c r="D51" s="106">
        <f t="shared" si="19"/>
        <v>162380.21</v>
      </c>
      <c r="E51" s="106">
        <f t="shared" si="19"/>
        <v>169400.54</v>
      </c>
      <c r="F51" s="106">
        <f t="shared" si="19"/>
        <v>190084.63</v>
      </c>
      <c r="G51" s="106">
        <f t="shared" si="19"/>
        <v>203628.99</v>
      </c>
      <c r="H51" s="106">
        <f t="shared" si="19"/>
        <v>203628.99</v>
      </c>
      <c r="I51" s="106">
        <f t="shared" si="19"/>
        <v>216709.75</v>
      </c>
      <c r="J51" s="106">
        <f t="shared" si="19"/>
        <v>215407.3</v>
      </c>
      <c r="K51" s="106">
        <f t="shared" si="19"/>
        <v>215406</v>
      </c>
      <c r="L51" s="106">
        <f t="shared" si="19"/>
        <v>215406</v>
      </c>
      <c r="M51" s="106">
        <f t="shared" si="19"/>
        <v>215406</v>
      </c>
      <c r="N51" s="154">
        <f>SUM(B51:M51)</f>
        <v>2615313.59</v>
      </c>
    </row>
    <row r="52" spans="1:19">
      <c r="A52" s="221" t="s">
        <v>140</v>
      </c>
      <c r="B52" s="106">
        <v>0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54">
        <f t="shared" ref="N52" si="20">SUM(B52:M52)</f>
        <v>0</v>
      </c>
    </row>
    <row r="53" spans="1:19" ht="13.5" thickBot="1">
      <c r="B53" s="72"/>
    </row>
    <row r="54" spans="1:19" ht="18.75" thickBot="1">
      <c r="A54" s="353" t="s">
        <v>8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5"/>
      <c r="R54" s="363" t="s">
        <v>27</v>
      </c>
      <c r="S54" s="364"/>
    </row>
    <row r="55" spans="1:19" ht="16.5" thickBot="1">
      <c r="A55" s="356" t="s">
        <v>92</v>
      </c>
      <c r="B55" s="361" t="s">
        <v>6</v>
      </c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206"/>
      <c r="R55" s="365"/>
      <c r="S55" s="366"/>
    </row>
    <row r="56" spans="1:19" ht="54.75" thickBot="1">
      <c r="A56" s="357"/>
      <c r="B56" s="48" t="s">
        <v>29</v>
      </c>
      <c r="C56" s="48" t="s">
        <v>30</v>
      </c>
      <c r="D56" s="48" t="s">
        <v>31</v>
      </c>
      <c r="E56" s="48" t="s">
        <v>32</v>
      </c>
      <c r="F56" s="48" t="s">
        <v>33</v>
      </c>
      <c r="G56" s="48" t="s">
        <v>34</v>
      </c>
      <c r="H56" s="48" t="s">
        <v>35</v>
      </c>
      <c r="I56" s="48" t="s">
        <v>36</v>
      </c>
      <c r="J56" s="48" t="s">
        <v>37</v>
      </c>
      <c r="K56" s="48" t="s">
        <v>38</v>
      </c>
      <c r="L56" s="48" t="s">
        <v>39</v>
      </c>
      <c r="M56" s="48" t="s">
        <v>40</v>
      </c>
      <c r="N56" s="48" t="s">
        <v>108</v>
      </c>
      <c r="O56" s="39" t="s">
        <v>7</v>
      </c>
      <c r="P56" s="38"/>
      <c r="R56" s="115" t="s">
        <v>147</v>
      </c>
      <c r="S56" s="116" t="s">
        <v>149</v>
      </c>
    </row>
    <row r="57" spans="1:19" ht="15.75">
      <c r="A57" s="46" t="s">
        <v>10</v>
      </c>
      <c r="B57" s="54">
        <f t="shared" ref="B57:G57" si="21">SUM(B58:B61)</f>
        <v>112614.34999999999</v>
      </c>
      <c r="C57" s="54">
        <f t="shared" si="21"/>
        <v>114649.69</v>
      </c>
      <c r="D57" s="54">
        <f t="shared" si="21"/>
        <v>173894.78000000003</v>
      </c>
      <c r="E57" s="54">
        <f t="shared" si="21"/>
        <v>74207.94</v>
      </c>
      <c r="F57" s="54">
        <f t="shared" si="21"/>
        <v>412287.89</v>
      </c>
      <c r="G57" s="54">
        <f t="shared" si="21"/>
        <v>87066.3</v>
      </c>
      <c r="H57" s="54">
        <f>SUM(H58:H61)</f>
        <v>87041</v>
      </c>
      <c r="I57" s="54">
        <f>SUM(I58:I61)</f>
        <v>152786.07</v>
      </c>
      <c r="J57" s="54">
        <f t="shared" ref="J57:M57" si="22">SUM(J58:J61)</f>
        <v>737298.37</v>
      </c>
      <c r="K57" s="54">
        <f t="shared" si="22"/>
        <v>227448.88999999998</v>
      </c>
      <c r="L57" s="54">
        <f t="shared" si="22"/>
        <v>141021.33000000002</v>
      </c>
      <c r="M57" s="54">
        <f t="shared" si="22"/>
        <v>1253571.02</v>
      </c>
      <c r="N57" s="54">
        <f>SUM(B57:M57)</f>
        <v>3573887.6300000004</v>
      </c>
      <c r="O57" s="51"/>
      <c r="P57" s="38"/>
      <c r="R57" s="62" t="str">
        <f>A57</f>
        <v>1. RECEITA DE IMPOSTOS</v>
      </c>
      <c r="S57" s="5">
        <f>N57</f>
        <v>3573887.6300000004</v>
      </c>
    </row>
    <row r="58" spans="1:19" ht="15.75">
      <c r="A58" s="47" t="s">
        <v>93</v>
      </c>
      <c r="B58" s="53">
        <f>B4</f>
        <v>53556.42</v>
      </c>
      <c r="C58" s="53">
        <f>C4</f>
        <v>41136.32</v>
      </c>
      <c r="D58" s="53">
        <f>D4</f>
        <v>28329.18</v>
      </c>
      <c r="E58" s="53">
        <f>E4</f>
        <v>14429.94</v>
      </c>
      <c r="F58" s="53">
        <f>F4</f>
        <v>14840</v>
      </c>
      <c r="G58" s="53">
        <f>G4</f>
        <v>11273.94</v>
      </c>
      <c r="H58" s="53">
        <f>H4</f>
        <v>29439.4</v>
      </c>
      <c r="I58" s="53">
        <f>I4</f>
        <v>30591.41</v>
      </c>
      <c r="J58" s="53">
        <f>J4</f>
        <v>27503.78</v>
      </c>
      <c r="K58" s="53">
        <f>K4</f>
        <v>38796.199999999997</v>
      </c>
      <c r="L58" s="53">
        <f>L4</f>
        <v>42183</v>
      </c>
      <c r="M58" s="53">
        <f>M4</f>
        <v>63339.94</v>
      </c>
      <c r="N58" s="176">
        <f>SUM(B58:M58)</f>
        <v>395419.52999999997</v>
      </c>
      <c r="O58" s="51"/>
      <c r="P58" s="38"/>
      <c r="R58" s="62" t="str">
        <f>A63</f>
        <v>2- RECEITA DE TRANSFERÊNCIAS CONSTITUCIONAIS E LEGAIS</v>
      </c>
      <c r="S58" s="123">
        <f>N63</f>
        <v>43823351.369999997</v>
      </c>
    </row>
    <row r="59" spans="1:19" ht="15.75">
      <c r="A59" s="47" t="s">
        <v>94</v>
      </c>
      <c r="B59" s="177">
        <f>B6</f>
        <v>22171.59</v>
      </c>
      <c r="C59" s="177">
        <f>C6</f>
        <v>44426.93</v>
      </c>
      <c r="D59" s="177">
        <f>D6</f>
        <v>97894.24</v>
      </c>
      <c r="E59" s="177">
        <f>E6</f>
        <v>16679.91</v>
      </c>
      <c r="F59" s="177">
        <f>F6</f>
        <v>27931.17</v>
      </c>
      <c r="G59" s="177">
        <f>G6</f>
        <v>38037.97</v>
      </c>
      <c r="H59" s="177">
        <f>H6</f>
        <v>23520.85</v>
      </c>
      <c r="I59" s="177">
        <f>I6</f>
        <v>46057.36</v>
      </c>
      <c r="J59" s="177">
        <f>J6</f>
        <v>7643.82</v>
      </c>
      <c r="K59" s="177">
        <f>K6</f>
        <v>82011.08</v>
      </c>
      <c r="L59" s="177">
        <f>L6</f>
        <v>20867.27</v>
      </c>
      <c r="M59" s="177">
        <f>M6</f>
        <v>25428.89</v>
      </c>
      <c r="N59" s="176">
        <f>SUM(B59:M59)</f>
        <v>452671.08000000007</v>
      </c>
      <c r="O59" s="51"/>
      <c r="P59" s="38"/>
      <c r="R59" s="62" t="str">
        <f>A73</f>
        <v>3- TOTAL DA RECEITA DE IMPOSTOS (1 + 2)</v>
      </c>
      <c r="S59" s="123">
        <f>N73</f>
        <v>47397239</v>
      </c>
    </row>
    <row r="60" spans="1:19" ht="15.75">
      <c r="A60" s="47" t="s">
        <v>95</v>
      </c>
      <c r="B60" s="178">
        <f>B5</f>
        <v>27437.39</v>
      </c>
      <c r="C60" s="178">
        <f>C5</f>
        <v>19637.490000000002</v>
      </c>
      <c r="D60" s="178">
        <f>D5</f>
        <v>38222.410000000003</v>
      </c>
      <c r="E60" s="178">
        <f>E5</f>
        <v>33646.19</v>
      </c>
      <c r="F60" s="178">
        <f>F5</f>
        <v>44743.1</v>
      </c>
      <c r="G60" s="178">
        <f>G5</f>
        <v>28500.560000000001</v>
      </c>
      <c r="H60" s="178">
        <f>H5</f>
        <v>34080.75</v>
      </c>
      <c r="I60" s="178">
        <f>I5</f>
        <v>57629.64</v>
      </c>
      <c r="J60" s="178">
        <f>J5</f>
        <v>66958.92</v>
      </c>
      <c r="K60" s="178">
        <f>K5</f>
        <v>38444.58</v>
      </c>
      <c r="L60" s="178">
        <f>L5</f>
        <v>67359.070000000007</v>
      </c>
      <c r="M60" s="178">
        <f>M5</f>
        <v>251375.54</v>
      </c>
      <c r="N60" s="176">
        <f>SUM(B60:M60)</f>
        <v>708035.64</v>
      </c>
      <c r="O60" s="57"/>
      <c r="P60" s="38"/>
      <c r="R60" s="121" t="s">
        <v>150</v>
      </c>
      <c r="S60" s="126">
        <f>S59/4</f>
        <v>11849309.75</v>
      </c>
    </row>
    <row r="61" spans="1:19" ht="15.75">
      <c r="A61" s="47" t="s">
        <v>96</v>
      </c>
      <c r="B61" s="178">
        <f>B7</f>
        <v>9448.9500000000007</v>
      </c>
      <c r="C61" s="178">
        <f>C7</f>
        <v>9448.9500000000007</v>
      </c>
      <c r="D61" s="178">
        <f>D7</f>
        <v>9448.9500000000007</v>
      </c>
      <c r="E61" s="178">
        <f>E7</f>
        <v>9451.9</v>
      </c>
      <c r="F61" s="178">
        <f>F7</f>
        <v>324773.62</v>
      </c>
      <c r="G61" s="178">
        <f>G7</f>
        <v>9253.83</v>
      </c>
      <c r="H61" s="178">
        <f>H7</f>
        <v>0</v>
      </c>
      <c r="I61" s="178">
        <f>I7</f>
        <v>18507.66</v>
      </c>
      <c r="J61" s="178">
        <f>J7</f>
        <v>635191.85</v>
      </c>
      <c r="K61" s="178">
        <f>K7</f>
        <v>68197.03</v>
      </c>
      <c r="L61" s="178">
        <f>L7</f>
        <v>10611.99</v>
      </c>
      <c r="M61" s="178">
        <f>M7</f>
        <v>913426.65</v>
      </c>
      <c r="N61" s="176">
        <f>SUM(B61:M61)</f>
        <v>2017761.38</v>
      </c>
      <c r="O61" s="57"/>
      <c r="P61" s="38"/>
      <c r="R61" s="62" t="str">
        <f>A75</f>
        <v>4- TOTAL DESTINADO AO FUNDEB - 20% DE ((2.1) + (2.2) + (2.3) + (2.4) + (2.5))</v>
      </c>
      <c r="S61" s="123">
        <f>N75</f>
        <v>8024013.1900000004</v>
      </c>
    </row>
    <row r="62" spans="1:19" ht="15.75">
      <c r="A62" s="61"/>
      <c r="B62" s="41"/>
      <c r="C62" s="41"/>
      <c r="D62" s="41"/>
      <c r="E62" s="41"/>
      <c r="F62" s="45"/>
      <c r="G62" s="45"/>
      <c r="H62" s="45"/>
      <c r="I62" s="45"/>
      <c r="J62" s="45"/>
      <c r="K62" s="45"/>
      <c r="L62" s="45"/>
      <c r="M62" s="45"/>
      <c r="N62" s="50"/>
      <c r="O62" s="58"/>
      <c r="P62" s="38"/>
      <c r="R62" s="117" t="str">
        <f>A77</f>
        <v>5- VALOR MÍNIMO A SER APLICADO ALÉM DO VALOR DESTINADO AO FUNDEB - 5% DE ((2.2) + (2.3) + (2.4) + (2.5)) + 25% DE ((1.1) + (1.2) + (1.3) + (1.4) + (2.1.1) + (2.6)+ (2.7))</v>
      </c>
      <c r="S62" s="118">
        <f>S60-S61</f>
        <v>3825296.5599999996</v>
      </c>
    </row>
    <row r="63" spans="1:19" ht="15.75">
      <c r="A63" s="46" t="s">
        <v>97</v>
      </c>
      <c r="B63" s="55">
        <f>SUM(B64:B71)</f>
        <v>3362560.39</v>
      </c>
      <c r="C63" s="42">
        <f t="shared" ref="C63:M63" si="23">SUM(C64:C71)</f>
        <v>4307602.33</v>
      </c>
      <c r="D63" s="42">
        <f t="shared" si="23"/>
        <v>2892625.35</v>
      </c>
      <c r="E63" s="42">
        <f t="shared" si="23"/>
        <v>3239676.7799999993</v>
      </c>
      <c r="F63" s="42">
        <f t="shared" si="23"/>
        <v>3776631.0199999996</v>
      </c>
      <c r="G63" s="42">
        <f t="shared" si="23"/>
        <v>3343381.03</v>
      </c>
      <c r="H63" s="42">
        <f t="shared" si="23"/>
        <v>4027605.9299999997</v>
      </c>
      <c r="I63" s="42">
        <f t="shared" si="23"/>
        <v>3076698.2199999997</v>
      </c>
      <c r="J63" s="42">
        <f t="shared" si="23"/>
        <v>3068525.12</v>
      </c>
      <c r="K63" s="42">
        <f t="shared" si="23"/>
        <v>3112080.52</v>
      </c>
      <c r="L63" s="42">
        <f t="shared" si="23"/>
        <v>4202539.51</v>
      </c>
      <c r="M63" s="42">
        <f t="shared" si="23"/>
        <v>5413425.1700000009</v>
      </c>
      <c r="N63" s="42">
        <f t="shared" ref="N63:N71" si="24">SUM(B63:M63)</f>
        <v>43823351.369999997</v>
      </c>
      <c r="O63" s="57"/>
      <c r="P63" s="38"/>
      <c r="R63" s="38"/>
      <c r="S63" s="38"/>
    </row>
    <row r="64" spans="1:19" ht="15.75">
      <c r="A64" s="47" t="s">
        <v>98</v>
      </c>
      <c r="B64" s="161">
        <f>B14</f>
        <v>2711428.45</v>
      </c>
      <c r="C64" s="161">
        <f>C14</f>
        <v>3588349.8</v>
      </c>
      <c r="D64" s="161">
        <f>D14</f>
        <v>2195158.1800000002</v>
      </c>
      <c r="E64" s="161">
        <f>E14</f>
        <v>2509750.86</v>
      </c>
      <c r="F64" s="161">
        <f>F14</f>
        <v>2789991</v>
      </c>
      <c r="G64" s="161">
        <f>G14</f>
        <v>2605830.6800000002</v>
      </c>
      <c r="H64" s="161">
        <f>H14</f>
        <v>1878797.68</v>
      </c>
      <c r="I64" s="161">
        <f>I14</f>
        <v>2209718.56</v>
      </c>
      <c r="J64" s="161">
        <f>J14</f>
        <v>2252584.19</v>
      </c>
      <c r="K64" s="161">
        <f>K14</f>
        <v>2092115.86</v>
      </c>
      <c r="L64" s="161">
        <f>L14</f>
        <v>2714445.95</v>
      </c>
      <c r="M64" s="161">
        <f>M14</f>
        <v>2986603.6</v>
      </c>
      <c r="N64" s="175">
        <f t="shared" si="24"/>
        <v>30534774.809999999</v>
      </c>
      <c r="O64" s="57"/>
      <c r="P64" s="38"/>
      <c r="R64" s="62" t="str">
        <f>A79</f>
        <v>6- RECEITAS RECEBIDAS DO FUNDEB</v>
      </c>
      <c r="S64" s="124">
        <f>N79</f>
        <v>20264214.439999998</v>
      </c>
    </row>
    <row r="65" spans="1:19" ht="15.75">
      <c r="A65" s="47" t="s">
        <v>104</v>
      </c>
      <c r="B65" s="161">
        <f>B15</f>
        <v>0</v>
      </c>
      <c r="C65" s="161">
        <f>C15</f>
        <v>0</v>
      </c>
      <c r="D65" s="161">
        <f>D15</f>
        <v>0</v>
      </c>
      <c r="E65" s="161">
        <f>E15</f>
        <v>0</v>
      </c>
      <c r="F65" s="161">
        <f>F15</f>
        <v>0</v>
      </c>
      <c r="G65" s="161">
        <f>G15</f>
        <v>0</v>
      </c>
      <c r="H65" s="161">
        <f>H15</f>
        <v>1328011.1499999999</v>
      </c>
      <c r="I65" s="161">
        <f>I15</f>
        <v>0</v>
      </c>
      <c r="J65" s="161">
        <f>J15</f>
        <v>0</v>
      </c>
      <c r="K65" s="161">
        <f>K15</f>
        <v>0</v>
      </c>
      <c r="L65" s="161">
        <f>L15</f>
        <v>741263.42</v>
      </c>
      <c r="M65" s="161">
        <f>M15</f>
        <v>1324127.04</v>
      </c>
      <c r="N65" s="175">
        <f t="shared" si="24"/>
        <v>3393401.61</v>
      </c>
      <c r="O65" s="57"/>
      <c r="P65" s="38"/>
      <c r="R65" s="117" t="str">
        <f>A80</f>
        <v>6.1- FUNDEB - Impostos e Transferências de Impostos</v>
      </c>
      <c r="S65" s="118">
        <f>N80</f>
        <v>13535285.74</v>
      </c>
    </row>
    <row r="66" spans="1:19" ht="15.75">
      <c r="A66" s="47" t="s">
        <v>99</v>
      </c>
      <c r="B66" s="161">
        <f>B26</f>
        <v>582961</v>
      </c>
      <c r="C66" s="161">
        <f>C26</f>
        <v>583922.35</v>
      </c>
      <c r="D66" s="161">
        <f>D26</f>
        <v>643709.37</v>
      </c>
      <c r="E66" s="161">
        <f>E26</f>
        <v>682710.2</v>
      </c>
      <c r="F66" s="161">
        <f>F26</f>
        <v>923603.04</v>
      </c>
      <c r="G66" s="161">
        <f>G26</f>
        <v>665451.68999999994</v>
      </c>
      <c r="H66" s="161">
        <f>H26</f>
        <v>764919.67</v>
      </c>
      <c r="I66" s="161">
        <f>I26</f>
        <v>796885.24</v>
      </c>
      <c r="J66" s="161">
        <f>J26</f>
        <v>743062.23</v>
      </c>
      <c r="K66" s="161">
        <f>K26</f>
        <v>906262.96</v>
      </c>
      <c r="L66" s="161">
        <f>L26</f>
        <v>679074.51</v>
      </c>
      <c r="M66" s="161">
        <f>M26</f>
        <v>1032102.17</v>
      </c>
      <c r="N66" s="175">
        <f t="shared" si="24"/>
        <v>9004664.4300000016</v>
      </c>
      <c r="O66" s="57"/>
      <c r="P66" s="38"/>
      <c r="R66" s="117" t="s">
        <v>159</v>
      </c>
      <c r="S66" s="118">
        <f>N83+N86</f>
        <v>6728928.7000000002</v>
      </c>
    </row>
    <row r="67" spans="1:19" ht="15.75">
      <c r="A67" s="47" t="s">
        <v>106</v>
      </c>
      <c r="B67" s="161">
        <f>B28</f>
        <v>4387.59</v>
      </c>
      <c r="C67" s="161">
        <f>C28</f>
        <v>3128.88</v>
      </c>
      <c r="D67" s="161">
        <f>D28</f>
        <v>3877.65</v>
      </c>
      <c r="E67" s="161">
        <f>E28</f>
        <v>4133.8599999999997</v>
      </c>
      <c r="F67" s="161">
        <f>F28</f>
        <v>3717.42</v>
      </c>
      <c r="G67" s="161">
        <f>G28</f>
        <v>4635.51</v>
      </c>
      <c r="H67" s="161">
        <f>H28</f>
        <v>4211.51</v>
      </c>
      <c r="I67" s="161">
        <f>I28</f>
        <v>3748.66</v>
      </c>
      <c r="J67" s="161">
        <f>J28</f>
        <v>4858.2700000000004</v>
      </c>
      <c r="K67" s="161">
        <f>K28</f>
        <v>5427.34</v>
      </c>
      <c r="L67" s="161">
        <f>L28</f>
        <v>4447.03</v>
      </c>
      <c r="M67" s="161">
        <f>M28</f>
        <v>4841.4399999999996</v>
      </c>
      <c r="N67" s="175">
        <f t="shared" si="24"/>
        <v>51415.16</v>
      </c>
      <c r="O67" s="57"/>
      <c r="P67" s="38"/>
    </row>
    <row r="68" spans="1:19" ht="15.75">
      <c r="A68" s="47" t="s">
        <v>100</v>
      </c>
      <c r="B68" s="161">
        <f>B16</f>
        <v>1084.4000000000001</v>
      </c>
      <c r="C68" s="161">
        <f>C16</f>
        <v>266.64</v>
      </c>
      <c r="D68" s="161">
        <f>D16</f>
        <v>605.91999999999996</v>
      </c>
      <c r="E68" s="161">
        <f>E16</f>
        <v>346.94</v>
      </c>
      <c r="F68" s="161">
        <f>F16</f>
        <v>238.76</v>
      </c>
      <c r="G68" s="161">
        <f>G16</f>
        <v>398.04</v>
      </c>
      <c r="H68" s="161">
        <f>H16</f>
        <v>899.56</v>
      </c>
      <c r="I68" s="161">
        <f>I16</f>
        <v>1357.92</v>
      </c>
      <c r="J68" s="161">
        <f>J16</f>
        <v>12278.87</v>
      </c>
      <c r="K68" s="161">
        <f>K16</f>
        <v>45791.76</v>
      </c>
      <c r="L68" s="161">
        <f>L16</f>
        <v>5308.01</v>
      </c>
      <c r="M68" s="161">
        <f>M16</f>
        <v>3511.03</v>
      </c>
      <c r="N68" s="175">
        <f t="shared" si="24"/>
        <v>72087.850000000006</v>
      </c>
      <c r="O68" s="57"/>
      <c r="P68" s="38"/>
    </row>
    <row r="69" spans="1:19" ht="15.75">
      <c r="A69" s="47" t="s">
        <v>101</v>
      </c>
      <c r="B69" s="161">
        <f>B27</f>
        <v>62698.95</v>
      </c>
      <c r="C69" s="161">
        <f>C27</f>
        <v>131934.66</v>
      </c>
      <c r="D69" s="161">
        <f>D27</f>
        <v>49274.23</v>
      </c>
      <c r="E69" s="161">
        <f>E27</f>
        <v>42734.92</v>
      </c>
      <c r="F69" s="161">
        <f>F27</f>
        <v>59080.800000000003</v>
      </c>
      <c r="G69" s="161">
        <f>G27</f>
        <v>67065.11</v>
      </c>
      <c r="H69" s="161">
        <f>H27</f>
        <v>50766.36</v>
      </c>
      <c r="I69" s="161">
        <f>I27</f>
        <v>64987.839999999997</v>
      </c>
      <c r="J69" s="161">
        <f>J27</f>
        <v>55741.56</v>
      </c>
      <c r="K69" s="161">
        <f>K27</f>
        <v>62482.6</v>
      </c>
      <c r="L69" s="161">
        <f>L27</f>
        <v>58000.59</v>
      </c>
      <c r="M69" s="161">
        <f>M27</f>
        <v>62239.89</v>
      </c>
      <c r="N69" s="175">
        <f t="shared" si="24"/>
        <v>767007.50999999989</v>
      </c>
      <c r="O69" s="57"/>
      <c r="P69" s="38"/>
    </row>
    <row r="70" spans="1:19" ht="15.75">
      <c r="A70" s="47" t="s">
        <v>102</v>
      </c>
      <c r="B70" s="56"/>
      <c r="C70" s="56"/>
      <c r="D70" s="56"/>
      <c r="E70" s="161"/>
      <c r="F70" s="161"/>
      <c r="G70" s="161"/>
      <c r="H70" s="161"/>
      <c r="I70" s="161"/>
      <c r="J70" s="161"/>
      <c r="K70" s="161"/>
      <c r="L70" s="161"/>
      <c r="M70" s="161"/>
      <c r="N70" s="175">
        <f t="shared" si="24"/>
        <v>0</v>
      </c>
      <c r="O70" s="57"/>
      <c r="P70" s="38"/>
    </row>
    <row r="71" spans="1:19" ht="15.75">
      <c r="A71" s="47" t="s">
        <v>109</v>
      </c>
      <c r="B71" s="56"/>
      <c r="C71" s="56"/>
      <c r="D71" s="56"/>
      <c r="E71" s="161"/>
      <c r="F71" s="161"/>
      <c r="G71" s="161"/>
      <c r="H71" s="161"/>
      <c r="I71" s="161"/>
      <c r="J71" s="161"/>
      <c r="K71" s="161"/>
      <c r="L71" s="161"/>
      <c r="M71" s="161"/>
      <c r="N71" s="175">
        <f t="shared" si="24"/>
        <v>0</v>
      </c>
      <c r="O71" s="57"/>
      <c r="P71" s="38"/>
    </row>
    <row r="72" spans="1:19" ht="15.75">
      <c r="A72" s="40"/>
      <c r="B72" s="41"/>
      <c r="C72" s="41"/>
      <c r="D72" s="41"/>
      <c r="E72" s="45"/>
      <c r="F72" s="45"/>
      <c r="G72" s="45"/>
      <c r="H72" s="45"/>
      <c r="I72" s="45"/>
      <c r="J72" s="45"/>
      <c r="K72" s="45"/>
      <c r="L72" s="45"/>
      <c r="M72" s="45"/>
      <c r="N72" s="50"/>
      <c r="O72" s="58"/>
      <c r="P72" s="38"/>
    </row>
    <row r="73" spans="1:19" ht="15.75">
      <c r="A73" s="46" t="s">
        <v>103</v>
      </c>
      <c r="B73" s="42">
        <f t="shared" ref="B73:N73" si="25">B57+B63</f>
        <v>3475174.74</v>
      </c>
      <c r="C73" s="42">
        <f t="shared" si="25"/>
        <v>4422252.0200000005</v>
      </c>
      <c r="D73" s="42">
        <f t="shared" si="25"/>
        <v>3066520.13</v>
      </c>
      <c r="E73" s="42">
        <f t="shared" si="25"/>
        <v>3313884.7199999993</v>
      </c>
      <c r="F73" s="42">
        <f t="shared" si="25"/>
        <v>4188918.9099999997</v>
      </c>
      <c r="G73" s="42">
        <f t="shared" si="25"/>
        <v>3430447.3299999996</v>
      </c>
      <c r="H73" s="42">
        <f t="shared" si="25"/>
        <v>4114646.9299999997</v>
      </c>
      <c r="I73" s="42">
        <f t="shared" si="25"/>
        <v>3229484.2899999996</v>
      </c>
      <c r="J73" s="42">
        <f t="shared" si="25"/>
        <v>3805823.49</v>
      </c>
      <c r="K73" s="42">
        <f t="shared" si="25"/>
        <v>3339529.41</v>
      </c>
      <c r="L73" s="42">
        <f t="shared" si="25"/>
        <v>4343560.84</v>
      </c>
      <c r="M73" s="42">
        <f t="shared" si="25"/>
        <v>6666996.1900000013</v>
      </c>
      <c r="N73" s="42">
        <f t="shared" si="25"/>
        <v>47397239</v>
      </c>
      <c r="O73" s="57"/>
      <c r="P73" s="38"/>
    </row>
    <row r="74" spans="1:19" ht="15.75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8"/>
      <c r="P74" s="38"/>
    </row>
    <row r="75" spans="1:19" ht="15.75">
      <c r="A75" s="46" t="s">
        <v>105</v>
      </c>
      <c r="B75" s="42">
        <f>B34</f>
        <v>671634.41</v>
      </c>
      <c r="C75" s="42">
        <f>C34</f>
        <v>860894.58</v>
      </c>
      <c r="D75" s="42">
        <f>D34</f>
        <v>577749.42000000004</v>
      </c>
      <c r="E75" s="42">
        <f>E34</f>
        <v>647108.46</v>
      </c>
      <c r="F75" s="42">
        <f>F34</f>
        <v>754582.59</v>
      </c>
      <c r="G75" s="42">
        <f>G34</f>
        <v>667748.96</v>
      </c>
      <c r="H75" s="42">
        <f>H34</f>
        <v>539076.56000000006</v>
      </c>
      <c r="I75" s="42">
        <f>I34</f>
        <v>614589.78</v>
      </c>
      <c r="J75" s="42">
        <f>J34</f>
        <v>546989.92000000004</v>
      </c>
      <c r="K75" s="42">
        <f>K34</f>
        <v>621330.47</v>
      </c>
      <c r="L75" s="42">
        <f>L34</f>
        <v>691365.68</v>
      </c>
      <c r="M75" s="42">
        <f>M34</f>
        <v>830942.36</v>
      </c>
      <c r="N75" s="42">
        <f>SUM(B75:M75)</f>
        <v>8024013.1900000004</v>
      </c>
      <c r="O75" s="57"/>
      <c r="P75" s="38"/>
    </row>
    <row r="76" spans="1:19" ht="15.75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8"/>
    </row>
    <row r="77" spans="1:19" ht="47.25">
      <c r="A77" s="60" t="s">
        <v>107</v>
      </c>
      <c r="B77" s="42">
        <f>((B64+B66+B67+B68+B69)*5%)+((B57+B65+B70+B71)*25%)</f>
        <v>196281.60700000002</v>
      </c>
      <c r="C77" s="42">
        <f t="shared" ref="C77:M77" si="26">((C64+C66+C67+C68+C69)*5%)+((C57+C65+C70+C71)*25%)</f>
        <v>244042.53899999999</v>
      </c>
      <c r="D77" s="42">
        <f t="shared" si="26"/>
        <v>188104.96250000002</v>
      </c>
      <c r="E77" s="42">
        <f t="shared" si="26"/>
        <v>180535.82399999996</v>
      </c>
      <c r="F77" s="42">
        <f t="shared" si="26"/>
        <v>291903.52350000001</v>
      </c>
      <c r="G77" s="42">
        <f t="shared" si="26"/>
        <v>188935.62650000001</v>
      </c>
      <c r="H77" s="42">
        <f t="shared" si="26"/>
        <v>488742.77649999998</v>
      </c>
      <c r="I77" s="42">
        <f t="shared" si="26"/>
        <v>192031.42849999998</v>
      </c>
      <c r="J77" s="42">
        <f t="shared" si="26"/>
        <v>337750.84850000002</v>
      </c>
      <c r="K77" s="42">
        <f t="shared" si="26"/>
        <v>212466.24850000002</v>
      </c>
      <c r="L77" s="42">
        <f t="shared" si="26"/>
        <v>393634.99199999997</v>
      </c>
      <c r="M77" s="42">
        <f t="shared" si="26"/>
        <v>848889.42150000005</v>
      </c>
      <c r="N77" s="42">
        <f>SUM(B77:M77)</f>
        <v>3763319.7980000004</v>
      </c>
      <c r="O77" s="151"/>
      <c r="P77" s="38"/>
      <c r="R77" s="122" t="s">
        <v>148</v>
      </c>
      <c r="S77" s="120" t="s">
        <v>156</v>
      </c>
    </row>
    <row r="78" spans="1:19" ht="15.75">
      <c r="A78" s="52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8"/>
      <c r="R78" s="38"/>
      <c r="S78" s="38"/>
    </row>
    <row r="79" spans="1:19" ht="15.75">
      <c r="A79" s="60" t="s">
        <v>110</v>
      </c>
      <c r="B79" s="111">
        <f t="shared" ref="B79:K79" si="27">B80+B83+B86</f>
        <v>2279773.5700000003</v>
      </c>
      <c r="C79" s="111">
        <f t="shared" si="27"/>
        <v>1654732.6</v>
      </c>
      <c r="D79" s="111">
        <f t="shared" si="27"/>
        <v>1443869.96</v>
      </c>
      <c r="E79" s="111">
        <f t="shared" si="27"/>
        <v>1448310.5499999998</v>
      </c>
      <c r="F79" s="111">
        <f t="shared" si="27"/>
        <v>1770225.1600000001</v>
      </c>
      <c r="G79" s="111">
        <f t="shared" si="27"/>
        <v>1562384.03</v>
      </c>
      <c r="H79" s="111">
        <f t="shared" si="27"/>
        <v>1518147.57</v>
      </c>
      <c r="I79" s="111">
        <f>I80+I83+I86</f>
        <v>1651419.9899999998</v>
      </c>
      <c r="J79" s="111">
        <f t="shared" si="27"/>
        <v>1525764.7</v>
      </c>
      <c r="K79" s="111">
        <f t="shared" si="27"/>
        <v>1600239.46</v>
      </c>
      <c r="L79" s="111">
        <f>L80+L83+L86</f>
        <v>1779211.13</v>
      </c>
      <c r="M79" s="111">
        <f>M80+M83+M86</f>
        <v>2030135.72</v>
      </c>
      <c r="N79" s="175">
        <f>SUM(B79:M79)</f>
        <v>20264214.439999998</v>
      </c>
      <c r="O79" s="163">
        <f>N79*70%</f>
        <v>14184950.107999997</v>
      </c>
      <c r="P79" s="49"/>
      <c r="R79" s="62" t="s">
        <v>146</v>
      </c>
      <c r="S79" s="43">
        <f>Despesas!S2/S64</f>
        <v>0.86543186768605862</v>
      </c>
    </row>
    <row r="80" spans="1:19" ht="15.75">
      <c r="A80" s="60" t="s">
        <v>111</v>
      </c>
      <c r="B80" s="111">
        <f t="shared" ref="B80:L80" si="28">B81+B82</f>
        <v>942633.53</v>
      </c>
      <c r="C80" s="111">
        <f t="shared" si="28"/>
        <v>1287082.73</v>
      </c>
      <c r="D80" s="111">
        <f t="shared" si="28"/>
        <v>1042797.37</v>
      </c>
      <c r="E80" s="111">
        <f t="shared" si="28"/>
        <v>1056898.5799999998</v>
      </c>
      <c r="F80" s="111">
        <f t="shared" si="28"/>
        <v>1301239.9600000002</v>
      </c>
      <c r="G80" s="111">
        <f t="shared" si="28"/>
        <v>1060671.96</v>
      </c>
      <c r="H80" s="111">
        <f t="shared" si="28"/>
        <v>1016435.5</v>
      </c>
      <c r="I80" s="111">
        <f t="shared" si="28"/>
        <v>1117478.8399999999</v>
      </c>
      <c r="J80" s="111">
        <f t="shared" si="28"/>
        <v>971564.43</v>
      </c>
      <c r="K80" s="111">
        <f t="shared" si="28"/>
        <v>1043204.97</v>
      </c>
      <c r="L80" s="111">
        <f t="shared" si="28"/>
        <v>1222176.6399999999</v>
      </c>
      <c r="M80" s="111">
        <f>M81+M82</f>
        <v>1473101.23</v>
      </c>
      <c r="N80" s="175">
        <f>SUM(B80:M80)</f>
        <v>13535285.74</v>
      </c>
      <c r="O80" s="163">
        <f>O79-N97-N107</f>
        <v>14184950.107999997</v>
      </c>
      <c r="P80" s="49"/>
      <c r="R80" s="38"/>
      <c r="S80" s="38"/>
    </row>
    <row r="81" spans="1:19" ht="15.75">
      <c r="A81" s="63" t="s">
        <v>112</v>
      </c>
      <c r="B81" s="161">
        <f>B45</f>
        <v>937580.01</v>
      </c>
      <c r="C81" s="161">
        <f>C45</f>
        <v>1275209.46</v>
      </c>
      <c r="D81" s="161">
        <f>D45</f>
        <v>1031496.9</v>
      </c>
      <c r="E81" s="161">
        <f>E45</f>
        <v>1050002.2</v>
      </c>
      <c r="F81" s="161">
        <f>F45</f>
        <v>1293468.0900000001</v>
      </c>
      <c r="G81" s="161">
        <f>G45</f>
        <v>1058222.72</v>
      </c>
      <c r="H81" s="161">
        <f>H45</f>
        <v>1014047.92</v>
      </c>
      <c r="I81" s="161">
        <f>I45</f>
        <v>1114683.17</v>
      </c>
      <c r="J81" s="161">
        <f>J45</f>
        <v>971564.43</v>
      </c>
      <c r="K81" s="161">
        <f>K45</f>
        <v>1043204.97</v>
      </c>
      <c r="L81" s="161">
        <f>L45</f>
        <v>1222176.6399999999</v>
      </c>
      <c r="M81" s="161">
        <f>M45</f>
        <v>1473101.23</v>
      </c>
      <c r="N81" s="175">
        <f>SUM(B81:M81)</f>
        <v>13484757.74</v>
      </c>
      <c r="O81" s="163"/>
      <c r="P81" s="38"/>
      <c r="R81" s="62" t="s">
        <v>337</v>
      </c>
      <c r="S81" s="43">
        <f>C100/N86</f>
        <v>0.93044251339664386</v>
      </c>
    </row>
    <row r="82" spans="1:19" ht="15.75">
      <c r="A82" s="63" t="s">
        <v>113</v>
      </c>
      <c r="B82" s="161">
        <f>B46</f>
        <v>5053.5199999999995</v>
      </c>
      <c r="C82" s="161">
        <f>C46</f>
        <v>11873.27</v>
      </c>
      <c r="D82" s="161">
        <f>D46</f>
        <v>11300.47</v>
      </c>
      <c r="E82" s="161">
        <f>E46</f>
        <v>6896.38</v>
      </c>
      <c r="F82" s="161">
        <f>F46</f>
        <v>7771.8700000000008</v>
      </c>
      <c r="G82" s="161">
        <f>G46</f>
        <v>2449.2400000000002</v>
      </c>
      <c r="H82" s="161">
        <f>H46</f>
        <v>2387.58</v>
      </c>
      <c r="I82" s="161">
        <f>I46</f>
        <v>2795.67</v>
      </c>
      <c r="J82" s="161">
        <f>J46</f>
        <v>0</v>
      </c>
      <c r="K82" s="161">
        <f>K46</f>
        <v>0</v>
      </c>
      <c r="L82" s="161">
        <f>L46</f>
        <v>0</v>
      </c>
      <c r="M82" s="161">
        <f>M46</f>
        <v>0</v>
      </c>
      <c r="N82" s="175">
        <f>SUM(B82:M82)</f>
        <v>50528</v>
      </c>
      <c r="O82" s="163"/>
      <c r="P82" s="38"/>
      <c r="R82" s="38"/>
      <c r="S82" s="38"/>
    </row>
    <row r="83" spans="1:19" ht="15.75">
      <c r="A83" s="60" t="s">
        <v>114</v>
      </c>
      <c r="B83" s="111">
        <f t="shared" ref="B83:F83" si="29">B84+B85</f>
        <v>878133.38</v>
      </c>
      <c r="C83" s="111">
        <f t="shared" si="29"/>
        <v>218801.35</v>
      </c>
      <c r="D83" s="111">
        <f t="shared" si="29"/>
        <v>238692.38</v>
      </c>
      <c r="E83" s="111">
        <f t="shared" si="29"/>
        <v>222011.43</v>
      </c>
      <c r="F83" s="111">
        <f t="shared" si="29"/>
        <v>278900.57</v>
      </c>
      <c r="G83" s="175">
        <f>G47</f>
        <v>298083.08</v>
      </c>
      <c r="H83" s="175">
        <f>H47</f>
        <v>298083.08</v>
      </c>
      <c r="I83" s="175">
        <f>I47</f>
        <v>317231.40000000002</v>
      </c>
      <c r="J83" s="175">
        <f>J47</f>
        <v>338792.97</v>
      </c>
      <c r="K83" s="175">
        <f>K47</f>
        <v>341628.49</v>
      </c>
      <c r="L83" s="175">
        <f>L47</f>
        <v>341628.49</v>
      </c>
      <c r="M83" s="175">
        <f>M47</f>
        <v>341628.49</v>
      </c>
      <c r="N83" s="175">
        <f t="shared" ref="N83:N88" si="30">SUM(B83:M83)</f>
        <v>4113615.1100000003</v>
      </c>
      <c r="O83" s="163"/>
      <c r="P83" s="49"/>
      <c r="R83" s="62" t="s">
        <v>338</v>
      </c>
      <c r="S83" s="43">
        <f>C101/N86</f>
        <v>0.16593157763539937</v>
      </c>
    </row>
    <row r="84" spans="1:19" ht="15.75">
      <c r="A84" s="63" t="s">
        <v>115</v>
      </c>
      <c r="B84" s="161">
        <f>B48</f>
        <v>878133.38</v>
      </c>
      <c r="C84" s="161">
        <f>C48</f>
        <v>218801.35</v>
      </c>
      <c r="D84" s="161">
        <f>D48</f>
        <v>238692.38</v>
      </c>
      <c r="E84" s="161">
        <f>E48</f>
        <v>222011.43</v>
      </c>
      <c r="F84" s="161">
        <f>F48</f>
        <v>278900.57</v>
      </c>
      <c r="G84" s="161">
        <f>G48</f>
        <v>298083.08</v>
      </c>
      <c r="H84" s="161">
        <f>H48</f>
        <v>298083.08</v>
      </c>
      <c r="I84" s="161">
        <f>I48</f>
        <v>317231.40000000002</v>
      </c>
      <c r="J84" s="161">
        <f>J48</f>
        <v>338792.97</v>
      </c>
      <c r="K84" s="161">
        <f>K48</f>
        <v>341628.49</v>
      </c>
      <c r="L84" s="161">
        <f>L48</f>
        <v>341628.49</v>
      </c>
      <c r="M84" s="161">
        <f>M48</f>
        <v>341628.49</v>
      </c>
      <c r="N84" s="175">
        <f t="shared" si="30"/>
        <v>4113615.1100000003</v>
      </c>
      <c r="O84" s="168"/>
      <c r="P84" s="38"/>
      <c r="R84" s="38"/>
      <c r="S84" s="38"/>
    </row>
    <row r="85" spans="1:19" ht="15.75">
      <c r="A85" s="63" t="s">
        <v>116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75">
        <f t="shared" si="30"/>
        <v>0</v>
      </c>
      <c r="O85" s="168"/>
      <c r="P85" s="38"/>
      <c r="R85" s="62" t="s">
        <v>339</v>
      </c>
      <c r="S85" s="43">
        <f>SUM(Despesas!S4/RECEITAS!S62)</f>
        <v>1.0504131318906162</v>
      </c>
    </row>
    <row r="86" spans="1:19" ht="15.75">
      <c r="A86" s="60" t="s">
        <v>117</v>
      </c>
      <c r="B86" s="111">
        <f t="shared" ref="B86:M86" si="31">B87+B88</f>
        <v>459006.66</v>
      </c>
      <c r="C86" s="111">
        <f t="shared" si="31"/>
        <v>148848.51999999999</v>
      </c>
      <c r="D86" s="111">
        <f t="shared" si="31"/>
        <v>162380.21</v>
      </c>
      <c r="E86" s="111">
        <f t="shared" si="31"/>
        <v>169400.54</v>
      </c>
      <c r="F86" s="111">
        <f t="shared" si="31"/>
        <v>190084.63</v>
      </c>
      <c r="G86" s="111">
        <f t="shared" si="31"/>
        <v>203628.99</v>
      </c>
      <c r="H86" s="111">
        <f t="shared" si="31"/>
        <v>203628.99</v>
      </c>
      <c r="I86" s="111">
        <f t="shared" si="31"/>
        <v>216709.75</v>
      </c>
      <c r="J86" s="111">
        <f t="shared" si="31"/>
        <v>215407.3</v>
      </c>
      <c r="K86" s="111">
        <f t="shared" si="31"/>
        <v>215406</v>
      </c>
      <c r="L86" s="111">
        <f t="shared" si="31"/>
        <v>215406</v>
      </c>
      <c r="M86" s="111">
        <f t="shared" si="31"/>
        <v>215406</v>
      </c>
      <c r="N86" s="175">
        <f>SUM(B86:M86)</f>
        <v>2615313.59</v>
      </c>
      <c r="O86" s="163"/>
      <c r="P86" s="49"/>
      <c r="R86" s="38"/>
      <c r="S86" s="38"/>
    </row>
    <row r="87" spans="1:19" ht="15.75">
      <c r="A87" s="63" t="s">
        <v>118</v>
      </c>
      <c r="B87" s="161">
        <f>B51</f>
        <v>459006.66</v>
      </c>
      <c r="C87" s="161">
        <f>C51</f>
        <v>148848.51999999999</v>
      </c>
      <c r="D87" s="161">
        <f>D51</f>
        <v>162380.21</v>
      </c>
      <c r="E87" s="161">
        <f>E51</f>
        <v>169400.54</v>
      </c>
      <c r="F87" s="161">
        <f>F51</f>
        <v>190084.63</v>
      </c>
      <c r="G87" s="161">
        <f>G51</f>
        <v>203628.99</v>
      </c>
      <c r="H87" s="161">
        <f>H51</f>
        <v>203628.99</v>
      </c>
      <c r="I87" s="161">
        <f>I51</f>
        <v>216709.75</v>
      </c>
      <c r="J87" s="161">
        <f>J51</f>
        <v>215407.3</v>
      </c>
      <c r="K87" s="161">
        <f>K51</f>
        <v>215406</v>
      </c>
      <c r="L87" s="161">
        <f>L51</f>
        <v>215406</v>
      </c>
      <c r="M87" s="161">
        <f>M51</f>
        <v>215406</v>
      </c>
      <c r="N87" s="175">
        <f t="shared" si="30"/>
        <v>2615313.59</v>
      </c>
      <c r="O87" s="163">
        <f>N87*15%</f>
        <v>392297.03849999997</v>
      </c>
      <c r="P87" s="38"/>
      <c r="R87" s="127" t="s">
        <v>151</v>
      </c>
      <c r="S87" s="128">
        <f>SUM(S61+Despesas!S4)/S59</f>
        <v>0.25406870071060467</v>
      </c>
    </row>
    <row r="88" spans="1:19" ht="15.75">
      <c r="A88" s="63" t="s">
        <v>119</v>
      </c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75">
        <f t="shared" si="30"/>
        <v>0</v>
      </c>
      <c r="O88" s="163">
        <f>O87-N107</f>
        <v>392297.03849999997</v>
      </c>
      <c r="P88" s="38"/>
    </row>
    <row r="89" spans="1:19" ht="15.75">
      <c r="A89" s="60"/>
      <c r="B89" s="161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207"/>
      <c r="O89" s="163"/>
      <c r="P89" s="38"/>
    </row>
    <row r="90" spans="1:19" ht="31.5">
      <c r="A90" s="60" t="s">
        <v>120</v>
      </c>
      <c r="B90" s="111">
        <f>B81-B75</f>
        <v>265945.59999999998</v>
      </c>
      <c r="C90" s="111">
        <f>C81-C75</f>
        <v>414314.88</v>
      </c>
      <c r="D90" s="111">
        <f>D81-D75</f>
        <v>453747.48</v>
      </c>
      <c r="E90" s="111">
        <f t="shared" ref="E90:M90" si="32">E81-E75</f>
        <v>402893.74</v>
      </c>
      <c r="F90" s="111">
        <f t="shared" si="32"/>
        <v>538885.50000000012</v>
      </c>
      <c r="G90" s="111">
        <f t="shared" si="32"/>
        <v>390473.76</v>
      </c>
      <c r="H90" s="111">
        <f t="shared" si="32"/>
        <v>474971.36</v>
      </c>
      <c r="I90" s="111">
        <f t="shared" si="32"/>
        <v>500093.3899999999</v>
      </c>
      <c r="J90" s="111">
        <f t="shared" si="32"/>
        <v>424574.51</v>
      </c>
      <c r="K90" s="111">
        <f t="shared" si="32"/>
        <v>421874.5</v>
      </c>
      <c r="L90" s="111">
        <f t="shared" si="32"/>
        <v>530810.95999999985</v>
      </c>
      <c r="M90" s="111">
        <f t="shared" si="32"/>
        <v>642158.87</v>
      </c>
      <c r="N90" s="222">
        <f>SUM(B90:M90)</f>
        <v>5460744.5499999998</v>
      </c>
      <c r="O90" s="163"/>
      <c r="P90" s="49"/>
    </row>
    <row r="93" spans="1:19" ht="15.75">
      <c r="A93" s="340" t="s">
        <v>181</v>
      </c>
      <c r="B93" s="340" t="s">
        <v>182</v>
      </c>
      <c r="C93" s="340" t="s">
        <v>183</v>
      </c>
      <c r="D93" s="340" t="s">
        <v>217</v>
      </c>
      <c r="E93" s="340" t="s">
        <v>184</v>
      </c>
    </row>
    <row r="94" spans="1:19" ht="15">
      <c r="A94" s="38"/>
      <c r="B94" s="38"/>
      <c r="C94" s="38"/>
      <c r="D94" s="38"/>
      <c r="E94" s="38"/>
    </row>
    <row r="95" spans="1:19" ht="15">
      <c r="A95" s="62" t="str">
        <f>A59</f>
        <v>1.2- Receita Resultante do Imposto sobre Transmissão Inter Vivos – ITBI</v>
      </c>
      <c r="B95" s="64">
        <f>N80</f>
        <v>13535285.74</v>
      </c>
      <c r="C95" s="64">
        <f>Despesas!N6+Despesas!N11</f>
        <v>13901614.650000002</v>
      </c>
      <c r="D95" s="43">
        <f>C95/B95</f>
        <v>1.0270647341354171</v>
      </c>
      <c r="E95" s="64">
        <f>B95-C95</f>
        <v>-366328.91000000201</v>
      </c>
    </row>
    <row r="96" spans="1:19" ht="15">
      <c r="A96" s="38"/>
      <c r="B96" s="38"/>
      <c r="C96" s="38"/>
      <c r="D96" s="113"/>
      <c r="E96" s="65"/>
    </row>
    <row r="97" spans="1:5" ht="15">
      <c r="A97" s="62">
        <f>A62</f>
        <v>0</v>
      </c>
      <c r="B97" s="64">
        <f>N83</f>
        <v>4113615.1100000003</v>
      </c>
      <c r="C97" s="64">
        <f>Despesas!N7+Despesas!N12</f>
        <v>4219979.4300000006</v>
      </c>
      <c r="D97" s="43">
        <f>C97/B97</f>
        <v>1.0258566533707623</v>
      </c>
      <c r="E97" s="64">
        <f>B97-C97</f>
        <v>-106364.3200000003</v>
      </c>
    </row>
    <row r="98" spans="1:5" ht="15">
      <c r="A98" s="38"/>
      <c r="B98" s="38"/>
      <c r="C98" s="38"/>
      <c r="D98" s="113"/>
      <c r="E98" s="65"/>
    </row>
    <row r="99" spans="1:5" ht="15">
      <c r="A99" s="62" t="str">
        <f>A65</f>
        <v xml:space="preserve">   2.1.1- Cota-Parte FPM (1% julho e dezembro)</v>
      </c>
      <c r="B99" s="358">
        <f>N86</f>
        <v>2615313.59</v>
      </c>
      <c r="C99" s="64">
        <f>Despesas!N8+Despesas!N13</f>
        <v>0</v>
      </c>
      <c r="D99" s="43">
        <f>C99/B99</f>
        <v>0</v>
      </c>
      <c r="E99" s="358">
        <f>B99-SUM(C99:C101)</f>
        <v>-252048.46999999974</v>
      </c>
    </row>
    <row r="100" spans="1:5" ht="15">
      <c r="A100" s="62" t="s">
        <v>196</v>
      </c>
      <c r="B100" s="359"/>
      <c r="C100" s="64">
        <f>Despesas!N9+Despesas!N14</f>
        <v>2433398.9499999997</v>
      </c>
      <c r="D100" s="43">
        <f>C100/B99</f>
        <v>0.93044251339664386</v>
      </c>
      <c r="E100" s="359"/>
    </row>
    <row r="101" spans="1:5" ht="15">
      <c r="A101" s="62" t="s">
        <v>197</v>
      </c>
      <c r="B101" s="360"/>
      <c r="C101" s="64">
        <f>Despesas!N15</f>
        <v>433963.11</v>
      </c>
      <c r="D101" s="43">
        <f>C101/B99</f>
        <v>0.16593157763539937</v>
      </c>
      <c r="E101" s="360"/>
    </row>
    <row r="102" spans="1:5" ht="15">
      <c r="A102" s="38"/>
      <c r="B102" s="38"/>
      <c r="C102" s="38"/>
      <c r="D102" s="113"/>
      <c r="E102" s="38"/>
    </row>
    <row r="103" spans="1:5" ht="15">
      <c r="A103" s="337" t="s">
        <v>185</v>
      </c>
      <c r="B103" s="64">
        <f>SUM(B95:B101)</f>
        <v>20264214.440000001</v>
      </c>
      <c r="C103" s="64">
        <f>SUM(C95:C101)</f>
        <v>20988956.140000001</v>
      </c>
      <c r="D103" s="199">
        <f>C103/B103</f>
        <v>1.0357646086970642</v>
      </c>
      <c r="E103" s="64">
        <f>B103-C103</f>
        <v>-724741.69999999925</v>
      </c>
    </row>
    <row r="105" spans="1:5" ht="13.5" thickBot="1"/>
    <row r="106" spans="1:5" ht="18.75" thickBot="1">
      <c r="A106" s="369" t="s">
        <v>153</v>
      </c>
      <c r="B106" s="370"/>
    </row>
    <row r="107" spans="1:5">
      <c r="A107" s="371" t="s">
        <v>11</v>
      </c>
      <c r="B107" s="202" t="s">
        <v>6</v>
      </c>
    </row>
    <row r="108" spans="1:5" ht="13.5" thickBot="1">
      <c r="A108" s="372"/>
      <c r="B108" s="133" t="s">
        <v>2</v>
      </c>
    </row>
    <row r="109" spans="1:5">
      <c r="A109" s="134" t="s">
        <v>12</v>
      </c>
      <c r="B109" s="135">
        <f>SUM(B110:B113)</f>
        <v>3573887.63</v>
      </c>
    </row>
    <row r="110" spans="1:5">
      <c r="A110" s="136" t="s">
        <v>13</v>
      </c>
      <c r="B110" s="137">
        <f>N4</f>
        <v>395419.52999999997</v>
      </c>
    </row>
    <row r="111" spans="1:5">
      <c r="A111" s="136" t="s">
        <v>14</v>
      </c>
      <c r="B111" s="137">
        <f>N6</f>
        <v>452671.08000000007</v>
      </c>
    </row>
    <row r="112" spans="1:5">
      <c r="A112" s="136" t="s">
        <v>220</v>
      </c>
      <c r="B112" s="137">
        <f>N5</f>
        <v>708035.64</v>
      </c>
    </row>
    <row r="113" spans="1:14">
      <c r="A113" s="136" t="s">
        <v>15</v>
      </c>
      <c r="B113" s="137">
        <f>N7</f>
        <v>2017761.38</v>
      </c>
    </row>
    <row r="114" spans="1:14">
      <c r="A114" s="138" t="s">
        <v>152</v>
      </c>
      <c r="B114" s="135">
        <f>SUM(B115:B121)</f>
        <v>40429949.759999998</v>
      </c>
    </row>
    <row r="115" spans="1:14">
      <c r="A115" s="136" t="s">
        <v>16</v>
      </c>
      <c r="B115" s="137">
        <f>N14</f>
        <v>30534774.809999999</v>
      </c>
    </row>
    <row r="116" spans="1:14">
      <c r="A116" s="136" t="s">
        <v>17</v>
      </c>
      <c r="B116" s="137">
        <f>N16</f>
        <v>72087.850000000006</v>
      </c>
    </row>
    <row r="117" spans="1:14">
      <c r="A117" s="136" t="s">
        <v>18</v>
      </c>
      <c r="B117" s="137">
        <f>N27</f>
        <v>767007.50999999989</v>
      </c>
    </row>
    <row r="118" spans="1:14">
      <c r="A118" s="136" t="s">
        <v>19</v>
      </c>
      <c r="B118" s="137">
        <f>N26</f>
        <v>9004664.4300000016</v>
      </c>
    </row>
    <row r="119" spans="1:14">
      <c r="A119" s="136" t="s">
        <v>20</v>
      </c>
      <c r="B119" s="137">
        <f>N28</f>
        <v>51415.16</v>
      </c>
    </row>
    <row r="120" spans="1:14">
      <c r="A120" s="136" t="s">
        <v>21</v>
      </c>
      <c r="B120" s="137">
        <v>0</v>
      </c>
    </row>
    <row r="121" spans="1:14">
      <c r="A121" s="136" t="s">
        <v>22</v>
      </c>
      <c r="B121" s="137">
        <v>0</v>
      </c>
    </row>
    <row r="122" spans="1:14" ht="13.5" thickBot="1">
      <c r="A122" s="140" t="s">
        <v>23</v>
      </c>
      <c r="B122" s="139">
        <f>SUM(B109,B114)</f>
        <v>44003837.390000001</v>
      </c>
    </row>
    <row r="125" spans="1:14" ht="15.75">
      <c r="A125" s="377" t="s">
        <v>157</v>
      </c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9"/>
    </row>
    <row r="126" spans="1:14" ht="15.7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 spans="1:14" ht="15.75">
      <c r="A127" s="79" t="s">
        <v>135</v>
      </c>
      <c r="B127" s="233">
        <v>44927</v>
      </c>
      <c r="C127" s="233">
        <v>44958</v>
      </c>
      <c r="D127" s="233">
        <v>44986</v>
      </c>
      <c r="E127" s="233">
        <v>45017</v>
      </c>
      <c r="F127" s="233">
        <v>45047</v>
      </c>
      <c r="G127" s="233">
        <v>45078</v>
      </c>
      <c r="H127" s="233">
        <v>45108</v>
      </c>
      <c r="I127" s="233">
        <v>45139</v>
      </c>
      <c r="J127" s="233">
        <v>45170</v>
      </c>
      <c r="K127" s="233">
        <v>45200</v>
      </c>
      <c r="L127" s="232">
        <v>45231</v>
      </c>
      <c r="M127" s="232">
        <v>45261</v>
      </c>
      <c r="N127" s="9" t="s">
        <v>1</v>
      </c>
    </row>
    <row r="128" spans="1:14" ht="15.75">
      <c r="A128" s="75" t="s">
        <v>121</v>
      </c>
      <c r="B128" s="11">
        <v>2909266.46</v>
      </c>
      <c r="C128" s="11">
        <v>2898408.49</v>
      </c>
      <c r="D128" s="11">
        <v>2958418.43</v>
      </c>
      <c r="E128" s="11">
        <v>2978700.16</v>
      </c>
      <c r="F128" s="11">
        <v>2979422.26</v>
      </c>
      <c r="G128" s="11">
        <v>4352191.1500000004</v>
      </c>
      <c r="H128" s="11">
        <v>2982755.83</v>
      </c>
      <c r="I128" s="11">
        <v>2779038.77</v>
      </c>
      <c r="J128" s="11">
        <v>3157550.69</v>
      </c>
      <c r="K128" s="11">
        <v>2871154.25</v>
      </c>
      <c r="L128" s="11">
        <v>2994866.64</v>
      </c>
      <c r="M128" s="11">
        <v>4348079</v>
      </c>
      <c r="N128" s="12">
        <f>SUM(B128:M128)</f>
        <v>38209852.130000003</v>
      </c>
    </row>
    <row r="129" spans="1:14" ht="15.75">
      <c r="A129" s="75" t="s">
        <v>122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2">
        <f t="shared" ref="N129:N131" si="33">SUM(B129:M129)</f>
        <v>0</v>
      </c>
    </row>
    <row r="130" spans="1:14" ht="15.75">
      <c r="A130" s="75" t="s">
        <v>125</v>
      </c>
      <c r="B130" s="11">
        <v>0</v>
      </c>
      <c r="C130" s="11">
        <v>732666.7</v>
      </c>
      <c r="D130" s="11">
        <v>334394.61</v>
      </c>
      <c r="E130" s="11">
        <v>0</v>
      </c>
      <c r="F130" s="11">
        <v>546192.31000000006</v>
      </c>
      <c r="G130" s="11">
        <v>528860.78</v>
      </c>
      <c r="H130" s="11">
        <v>415669.88</v>
      </c>
      <c r="I130" s="11">
        <v>156389.99</v>
      </c>
      <c r="J130" s="11">
        <v>0</v>
      </c>
      <c r="K130" s="11">
        <v>0</v>
      </c>
      <c r="L130" s="11"/>
      <c r="M130" s="80">
        <v>79919.58</v>
      </c>
      <c r="N130" s="12">
        <f>SUM(B130:M130)</f>
        <v>2794093.8500000006</v>
      </c>
    </row>
    <row r="131" spans="1:14" ht="15.75">
      <c r="A131" s="75" t="s">
        <v>123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>
        <f t="shared" si="33"/>
        <v>0</v>
      </c>
    </row>
    <row r="132" spans="1:14" ht="15.75">
      <c r="A132" s="75" t="s">
        <v>127</v>
      </c>
      <c r="B132" s="11">
        <v>13102.06</v>
      </c>
      <c r="C132" s="11">
        <v>14040.5</v>
      </c>
      <c r="D132" s="11">
        <v>14040.5</v>
      </c>
      <c r="E132" s="11">
        <v>14040.5</v>
      </c>
      <c r="F132" s="11">
        <v>938.44</v>
      </c>
      <c r="G132" s="11">
        <v>14040.5</v>
      </c>
      <c r="H132" s="11">
        <v>10040.5</v>
      </c>
      <c r="I132" s="82">
        <v>8920.34</v>
      </c>
      <c r="J132" s="11">
        <v>7893.43</v>
      </c>
      <c r="K132" s="11">
        <v>7893.43</v>
      </c>
      <c r="L132" s="11">
        <v>8920.34</v>
      </c>
      <c r="M132" s="11">
        <v>16813.77</v>
      </c>
      <c r="N132" s="12">
        <f>SUM(B132:M132)</f>
        <v>130684.30999999998</v>
      </c>
    </row>
    <row r="133" spans="1:14" ht="15.75">
      <c r="A133" s="75" t="s">
        <v>124</v>
      </c>
      <c r="B133" s="11">
        <f>150000+70000+32060</f>
        <v>252060</v>
      </c>
      <c r="C133" s="11">
        <f>150000+8000+20670</f>
        <v>178670</v>
      </c>
      <c r="D133" s="11">
        <f>150000+138700+70116</f>
        <v>358816</v>
      </c>
      <c r="E133" s="11">
        <f>150000+41400+55984</f>
        <v>247384</v>
      </c>
      <c r="F133" s="11">
        <f>150000+101840+60192</f>
        <v>312032</v>
      </c>
      <c r="G133" s="11">
        <f>150000+26400+48448</f>
        <v>224848</v>
      </c>
      <c r="H133" s="11">
        <f>150000+99400+73590</f>
        <v>322990</v>
      </c>
      <c r="I133" s="11">
        <f>150000+36200+35986</f>
        <v>222186</v>
      </c>
      <c r="J133" s="11">
        <f>150000+96200+37280</f>
        <v>283480</v>
      </c>
      <c r="K133" s="11">
        <f>150000+42200+51700</f>
        <v>243900</v>
      </c>
      <c r="L133" s="11">
        <f>150000+69200+37322.39</f>
        <v>256522.39</v>
      </c>
      <c r="M133" s="11">
        <f>150000+171500+92010.54</f>
        <v>413510.54</v>
      </c>
      <c r="N133" s="12">
        <f>SUM(B133:M133)</f>
        <v>3316398.93</v>
      </c>
    </row>
    <row r="134" spans="1:14" ht="15.7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ht="15.75">
      <c r="A135" s="10" t="s">
        <v>126</v>
      </c>
      <c r="B135" s="12">
        <f>SUM(B128:B133)</f>
        <v>3174428.52</v>
      </c>
      <c r="C135" s="12">
        <f>SUM(C128:C133)</f>
        <v>3823785.6900000004</v>
      </c>
      <c r="D135" s="12">
        <f>SUM(D128:D133)</f>
        <v>3665669.54</v>
      </c>
      <c r="E135" s="12">
        <f>SUM(E128:E133)</f>
        <v>3240124.66</v>
      </c>
      <c r="F135" s="12">
        <f t="shared" ref="F135:L135" si="34">SUM(F128:F133)</f>
        <v>3838585.01</v>
      </c>
      <c r="G135" s="12">
        <f t="shared" si="34"/>
        <v>5119940.4300000006</v>
      </c>
      <c r="H135" s="12">
        <f t="shared" si="34"/>
        <v>3731456.21</v>
      </c>
      <c r="I135" s="12">
        <f>SUM(I128:I133)</f>
        <v>3166535.0999999996</v>
      </c>
      <c r="J135" s="12">
        <f t="shared" si="34"/>
        <v>3448924.12</v>
      </c>
      <c r="K135" s="12">
        <f t="shared" si="34"/>
        <v>3122947.68</v>
      </c>
      <c r="L135" s="12">
        <f t="shared" si="34"/>
        <v>3260309.37</v>
      </c>
      <c r="M135" s="12">
        <f>SUM(M128:M133)</f>
        <v>4858322.8899999997</v>
      </c>
      <c r="N135" s="12">
        <f>SUM(N128:N133)</f>
        <v>44451029.220000006</v>
      </c>
    </row>
    <row r="136" spans="1:14" ht="15.7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ht="15.75">
      <c r="A137" s="21" t="s">
        <v>62</v>
      </c>
      <c r="B137" s="74">
        <v>0</v>
      </c>
      <c r="C137" s="74">
        <v>0</v>
      </c>
      <c r="D137" s="74">
        <v>0</v>
      </c>
      <c r="E137" s="74">
        <v>0</v>
      </c>
      <c r="F137" s="22"/>
      <c r="G137" s="22"/>
      <c r="H137" s="22"/>
      <c r="I137" s="22"/>
      <c r="J137" s="22"/>
      <c r="K137" s="22"/>
      <c r="L137" s="22"/>
      <c r="M137" s="22"/>
      <c r="N137" s="12">
        <f>SUM(B137:M137)</f>
        <v>0</v>
      </c>
    </row>
    <row r="138" spans="1:14" ht="15.75">
      <c r="A138" s="21"/>
      <c r="B138" s="74"/>
      <c r="C138" s="74"/>
      <c r="D138" s="74"/>
      <c r="E138" s="74"/>
      <c r="F138" s="22"/>
      <c r="G138" s="22"/>
      <c r="H138" s="22"/>
      <c r="I138" s="22"/>
      <c r="J138" s="22"/>
      <c r="K138" s="22"/>
      <c r="L138" s="22"/>
      <c r="M138" s="22"/>
      <c r="N138" s="12"/>
    </row>
    <row r="139" spans="1:14" ht="15">
      <c r="A139" s="173" t="s">
        <v>222</v>
      </c>
      <c r="B139" s="173">
        <f>B135-B137</f>
        <v>3174428.52</v>
      </c>
      <c r="C139" s="174">
        <f t="shared" ref="C139:H139" si="35">C135-C137</f>
        <v>3823785.6900000004</v>
      </c>
      <c r="D139" s="174">
        <f t="shared" si="35"/>
        <v>3665669.54</v>
      </c>
      <c r="E139" s="173">
        <f>E135-E137</f>
        <v>3240124.66</v>
      </c>
      <c r="F139" s="174">
        <f t="shared" si="35"/>
        <v>3838585.01</v>
      </c>
      <c r="G139" s="174">
        <f t="shared" si="35"/>
        <v>5119940.4300000006</v>
      </c>
      <c r="H139" s="174">
        <f t="shared" si="35"/>
        <v>3731456.21</v>
      </c>
      <c r="I139" s="174">
        <f>I135-I137</f>
        <v>3166535.0999999996</v>
      </c>
      <c r="J139" s="174">
        <f t="shared" ref="J139:M139" si="36">J135-J137</f>
        <v>3448924.12</v>
      </c>
      <c r="K139" s="174">
        <f t="shared" si="36"/>
        <v>3122947.68</v>
      </c>
      <c r="L139" s="174">
        <f t="shared" si="36"/>
        <v>3260309.37</v>
      </c>
      <c r="M139" s="174">
        <f t="shared" si="36"/>
        <v>4858322.8899999997</v>
      </c>
      <c r="N139" s="11">
        <f>SUM(B139:M139)</f>
        <v>44451029.220000006</v>
      </c>
    </row>
    <row r="140" spans="1:14" ht="15.75">
      <c r="A140" s="21"/>
      <c r="B140" s="74"/>
      <c r="C140" s="74"/>
      <c r="D140" s="74"/>
      <c r="E140" s="74"/>
      <c r="F140" s="22"/>
      <c r="G140" s="22"/>
      <c r="H140" s="22"/>
      <c r="I140" s="22"/>
      <c r="J140" s="22"/>
      <c r="K140" s="22"/>
      <c r="L140" s="22"/>
      <c r="M140" s="22"/>
      <c r="N140" s="12">
        <f t="shared" ref="N140:N142" si="37">SUM(B140:M140)</f>
        <v>0</v>
      </c>
    </row>
    <row r="141" spans="1:14" ht="15.75">
      <c r="A141" s="15" t="s">
        <v>160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2">
        <f>SUM(B141:M141)</f>
        <v>0</v>
      </c>
    </row>
    <row r="142" spans="1:14" ht="15.7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2">
        <f t="shared" si="37"/>
        <v>0</v>
      </c>
    </row>
    <row r="143" spans="1:14" ht="15.75">
      <c r="A143" s="188" t="s">
        <v>175</v>
      </c>
      <c r="B143" s="188">
        <f t="shared" ref="B143:L143" si="38">SUM(B139:B142)</f>
        <v>3174428.52</v>
      </c>
      <c r="C143" s="188">
        <f t="shared" si="38"/>
        <v>3823785.6900000004</v>
      </c>
      <c r="D143" s="188">
        <f t="shared" si="38"/>
        <v>3665669.54</v>
      </c>
      <c r="E143" s="188">
        <f t="shared" si="38"/>
        <v>3240124.66</v>
      </c>
      <c r="F143" s="188">
        <f t="shared" si="38"/>
        <v>3838585.01</v>
      </c>
      <c r="G143" s="188">
        <f t="shared" si="38"/>
        <v>5119940.4300000006</v>
      </c>
      <c r="H143" s="188">
        <f t="shared" si="38"/>
        <v>3731456.21</v>
      </c>
      <c r="I143" s="188">
        <f t="shared" si="38"/>
        <v>3166535.0999999996</v>
      </c>
      <c r="J143" s="188">
        <f t="shared" si="38"/>
        <v>3448924.12</v>
      </c>
      <c r="K143" s="188">
        <f t="shared" si="38"/>
        <v>3122947.68</v>
      </c>
      <c r="L143" s="188">
        <f t="shared" si="38"/>
        <v>3260309.37</v>
      </c>
      <c r="M143" s="188">
        <f>SUM(M139:M142)</f>
        <v>4858322.8899999997</v>
      </c>
      <c r="N143" s="294">
        <f>SUM(B143:M143)</f>
        <v>44451029.220000006</v>
      </c>
    </row>
    <row r="144" spans="1:14" ht="15.7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2"/>
    </row>
    <row r="145" spans="1:14" ht="15">
      <c r="A145" s="173" t="s">
        <v>225</v>
      </c>
      <c r="B145" s="173">
        <f>B40</f>
        <v>5576748.5499999998</v>
      </c>
      <c r="C145" s="173">
        <f>C40</f>
        <v>5761116.379999999</v>
      </c>
      <c r="D145" s="173">
        <f>D40</f>
        <v>4817795.8500000006</v>
      </c>
      <c r="E145" s="173">
        <f>E40</f>
        <v>4733572.96</v>
      </c>
      <c r="F145" s="173">
        <f>F40</f>
        <v>5987744.6099999994</v>
      </c>
      <c r="G145" s="173">
        <f>G40</f>
        <v>15629918.619999997</v>
      </c>
      <c r="H145" s="173">
        <f>H40</f>
        <v>5779142.1699999999</v>
      </c>
      <c r="I145" s="173">
        <f>I40</f>
        <v>5178780.47</v>
      </c>
      <c r="J145" s="173">
        <f>J40</f>
        <v>5572034.3499999996</v>
      </c>
      <c r="K145" s="173">
        <f>K40</f>
        <v>5738206.9500000002</v>
      </c>
      <c r="L145" s="173">
        <f>L40</f>
        <v>6230476.0599999996</v>
      </c>
      <c r="M145" s="173">
        <f>M40</f>
        <v>9460302.2600000016</v>
      </c>
      <c r="N145" s="235">
        <f>SUM(B145:M145)</f>
        <v>80465839.230000004</v>
      </c>
    </row>
    <row r="146" spans="1:14" ht="15.7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">
      <c r="A147" s="15" t="s">
        <v>161</v>
      </c>
      <c r="B147" s="15">
        <v>0</v>
      </c>
      <c r="C147" s="15">
        <v>0</v>
      </c>
      <c r="D147" s="15">
        <v>0</v>
      </c>
      <c r="E147" s="234">
        <v>0</v>
      </c>
      <c r="F147" s="234"/>
      <c r="G147" s="234"/>
      <c r="H147" s="234"/>
      <c r="I147" s="234"/>
      <c r="J147" s="234"/>
      <c r="K147" s="234"/>
      <c r="L147" s="234"/>
      <c r="M147" s="234"/>
      <c r="N147" s="99">
        <f>SUM(B147:M147)</f>
        <v>0</v>
      </c>
    </row>
    <row r="148" spans="1:14" ht="1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99"/>
    </row>
    <row r="149" spans="1:14" ht="15.75">
      <c r="A149" s="188" t="s">
        <v>176</v>
      </c>
      <c r="B149" s="188">
        <f>B145+B147</f>
        <v>5576748.5499999998</v>
      </c>
      <c r="C149" s="188">
        <f t="shared" ref="C149:M149" si="39">C145+C147</f>
        <v>5761116.379999999</v>
      </c>
      <c r="D149" s="188">
        <f t="shared" si="39"/>
        <v>4817795.8500000006</v>
      </c>
      <c r="E149" s="188">
        <f t="shared" si="39"/>
        <v>4733572.96</v>
      </c>
      <c r="F149" s="188">
        <f t="shared" si="39"/>
        <v>5987744.6099999994</v>
      </c>
      <c r="G149" s="188">
        <f t="shared" si="39"/>
        <v>15629918.619999997</v>
      </c>
      <c r="H149" s="188">
        <f t="shared" si="39"/>
        <v>5779142.1699999999</v>
      </c>
      <c r="I149" s="188">
        <f t="shared" si="39"/>
        <v>5178780.47</v>
      </c>
      <c r="J149" s="188">
        <f t="shared" si="39"/>
        <v>5572034.3499999996</v>
      </c>
      <c r="K149" s="188">
        <f t="shared" si="39"/>
        <v>5738206.9500000002</v>
      </c>
      <c r="L149" s="188">
        <f t="shared" si="39"/>
        <v>6230476.0599999996</v>
      </c>
      <c r="M149" s="188">
        <f t="shared" si="39"/>
        <v>9460302.2600000016</v>
      </c>
      <c r="N149" s="188">
        <f>SUM(B149:M149)</f>
        <v>80465839.230000004</v>
      </c>
    </row>
    <row r="150" spans="1:14" ht="15.7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6"/>
    </row>
    <row r="151" spans="1:14" ht="15.75">
      <c r="A151" s="14" t="s">
        <v>47</v>
      </c>
      <c r="B151" s="19">
        <f>B143/B145</f>
        <v>0.56922568617514591</v>
      </c>
      <c r="C151" s="19">
        <f t="shared" ref="C151:D151" si="40">C143/C145</f>
        <v>0.66372304216496336</v>
      </c>
      <c r="D151" s="19">
        <f t="shared" si="40"/>
        <v>0.76086028842421782</v>
      </c>
      <c r="E151" s="19">
        <f>E143/E149</f>
        <v>0.68449872588422089</v>
      </c>
      <c r="F151" s="19">
        <f t="shared" ref="F151:M151" si="41">F143/F149</f>
        <v>0.64107360283691195</v>
      </c>
      <c r="G151" s="19">
        <f t="shared" si="41"/>
        <v>0.32757307024289556</v>
      </c>
      <c r="H151" s="19">
        <f t="shared" si="41"/>
        <v>0.64567648627339447</v>
      </c>
      <c r="I151" s="19">
        <f t="shared" si="41"/>
        <v>0.61144416496187182</v>
      </c>
      <c r="J151" s="19">
        <f t="shared" si="41"/>
        <v>0.61897036223403756</v>
      </c>
      <c r="K151" s="19">
        <f t="shared" si="41"/>
        <v>0.54423754793298285</v>
      </c>
      <c r="L151" s="19">
        <f t="shared" si="41"/>
        <v>0.52328415013603313</v>
      </c>
      <c r="M151" s="19">
        <f t="shared" si="41"/>
        <v>0.51354837894999761</v>
      </c>
      <c r="N151" s="19">
        <f>N143/N149</f>
        <v>0.55242112237148422</v>
      </c>
    </row>
    <row r="152" spans="1:14" ht="15.75">
      <c r="A152" s="76"/>
      <c r="B152" s="76"/>
      <c r="C152" s="76"/>
      <c r="D152" s="69"/>
      <c r="E152" s="76"/>
      <c r="F152" s="76"/>
      <c r="G152" s="76"/>
      <c r="H152" s="76"/>
      <c r="I152" s="76"/>
      <c r="J152" s="76"/>
      <c r="K152" s="76"/>
      <c r="L152" s="76"/>
      <c r="M152" s="81"/>
      <c r="N152" s="76"/>
    </row>
    <row r="153" spans="1:14" ht="20.25">
      <c r="A153" s="236" t="s">
        <v>226</v>
      </c>
      <c r="B153" s="21">
        <v>38905920.25</v>
      </c>
      <c r="C153" s="81"/>
      <c r="D153" s="81"/>
      <c r="E153" s="81"/>
      <c r="F153" s="76"/>
      <c r="G153" s="76"/>
      <c r="H153" s="76"/>
      <c r="I153" s="76"/>
      <c r="J153" s="76"/>
      <c r="K153" s="380" t="s">
        <v>326</v>
      </c>
      <c r="L153" s="380"/>
      <c r="M153" s="380"/>
      <c r="N153" s="101">
        <f>N151</f>
        <v>0.55242112237148422</v>
      </c>
    </row>
    <row r="154" spans="1:14" ht="15.75">
      <c r="A154" s="236" t="s">
        <v>227</v>
      </c>
      <c r="B154" s="21">
        <f>B153/12</f>
        <v>3242160.0208333335</v>
      </c>
      <c r="C154" s="167"/>
      <c r="D154" s="167"/>
      <c r="E154" s="167"/>
      <c r="F154" s="167"/>
      <c r="G154" s="167"/>
      <c r="H154" s="167"/>
      <c r="I154" s="166"/>
      <c r="J154" s="17"/>
      <c r="K154" s="82"/>
      <c r="L154" s="17"/>
      <c r="M154" s="17"/>
      <c r="N154" s="17"/>
    </row>
    <row r="155" spans="1:14" ht="15.75">
      <c r="A155" s="76"/>
      <c r="B155" s="166"/>
      <c r="C155" s="82"/>
      <c r="D155" s="166"/>
      <c r="E155" s="166"/>
      <c r="F155" s="166"/>
      <c r="G155" s="166"/>
      <c r="H155" s="166"/>
      <c r="I155" s="166"/>
      <c r="J155" s="17"/>
      <c r="K155" s="82"/>
      <c r="L155" s="82"/>
      <c r="M155" s="82"/>
      <c r="N155" s="82"/>
    </row>
    <row r="156" spans="1:14" ht="20.25">
      <c r="A156" s="77"/>
      <c r="B156" s="17"/>
      <c r="C156" s="17"/>
      <c r="D156" s="17"/>
      <c r="E156" s="17"/>
      <c r="F156" s="17"/>
      <c r="G156" s="6"/>
      <c r="H156" s="77"/>
      <c r="I156" s="76"/>
      <c r="J156" s="76"/>
      <c r="K156" s="381" t="s">
        <v>327</v>
      </c>
      <c r="L156" s="381"/>
      <c r="M156" s="381"/>
      <c r="N156" s="289"/>
    </row>
    <row r="157" spans="1:14" ht="15.75">
      <c r="A157" s="77"/>
      <c r="B157" s="83"/>
      <c r="C157" s="83"/>
      <c r="D157" s="83"/>
      <c r="E157" s="83"/>
      <c r="F157" s="83"/>
      <c r="G157" s="77"/>
      <c r="H157" s="77"/>
      <c r="I157" s="76"/>
      <c r="J157" s="76"/>
      <c r="K157" s="382"/>
      <c r="L157" s="382"/>
      <c r="M157" s="382"/>
      <c r="N157" s="76"/>
    </row>
    <row r="158" spans="1:14" ht="15.75">
      <c r="A158" s="77"/>
      <c r="B158" s="6"/>
      <c r="C158" s="6"/>
      <c r="D158" s="6"/>
      <c r="E158" s="6"/>
      <c r="F158" s="6"/>
      <c r="G158" s="78"/>
      <c r="H158" s="78"/>
      <c r="I158" s="76"/>
      <c r="J158" s="76"/>
      <c r="K158" s="374" t="str">
        <f>A145</f>
        <v>2023 RECEITA CORRENTE LÍQUIDA</v>
      </c>
      <c r="L158" s="373"/>
      <c r="M158" s="80">
        <f>N145</f>
        <v>80465839.230000004</v>
      </c>
      <c r="N158" s="76"/>
    </row>
    <row r="159" spans="1:14" ht="15.75">
      <c r="A159" s="76"/>
      <c r="B159" s="341"/>
      <c r="C159" s="341"/>
      <c r="D159" s="341"/>
      <c r="E159" s="341"/>
      <c r="F159" s="341"/>
      <c r="G159" s="341"/>
      <c r="H159" s="341"/>
      <c r="I159" s="341"/>
      <c r="J159" s="341"/>
      <c r="K159" s="375" t="str">
        <f>A147</f>
        <v>2022 RECEITA CORRENTE LÍQUIDA</v>
      </c>
      <c r="L159" s="375"/>
      <c r="M159" s="341">
        <f>N147</f>
        <v>0</v>
      </c>
      <c r="N159" s="84"/>
    </row>
    <row r="160" spans="1:14" ht="15.75">
      <c r="A160" s="76"/>
      <c r="B160" s="341"/>
      <c r="C160" s="341"/>
      <c r="D160" s="341"/>
      <c r="E160" s="341"/>
      <c r="F160" s="341"/>
      <c r="G160" s="341"/>
      <c r="H160" s="17"/>
      <c r="I160" s="341"/>
      <c r="J160" s="341"/>
      <c r="K160" s="375" t="s">
        <v>328</v>
      </c>
      <c r="L160" s="375"/>
      <c r="M160" s="341">
        <f>G24+G32</f>
        <v>10713385</v>
      </c>
      <c r="N160" s="84"/>
    </row>
    <row r="161" spans="1:14" ht="15.75">
      <c r="A161" s="76"/>
      <c r="B161" s="341"/>
      <c r="C161" s="341"/>
      <c r="D161" s="341"/>
      <c r="E161" s="85"/>
      <c r="F161" s="341"/>
      <c r="G161" s="341"/>
      <c r="H161" s="341"/>
      <c r="I161" s="341"/>
      <c r="J161" s="341"/>
      <c r="K161" s="375" t="s">
        <v>329</v>
      </c>
      <c r="L161" s="375"/>
      <c r="M161" s="341">
        <f>M158+M159-M160</f>
        <v>69752454.230000004</v>
      </c>
      <c r="N161" s="84"/>
    </row>
    <row r="162" spans="1:14" ht="15.75">
      <c r="A162" s="76"/>
      <c r="B162" s="341"/>
      <c r="C162" s="341"/>
      <c r="D162" s="341"/>
      <c r="E162" s="341"/>
      <c r="F162" s="341"/>
      <c r="G162" s="341"/>
      <c r="H162" s="17"/>
      <c r="I162" s="341"/>
      <c r="J162" s="341"/>
      <c r="K162" s="341"/>
      <c r="L162" s="341"/>
      <c r="M162" s="341"/>
      <c r="N162" s="84"/>
    </row>
    <row r="163" spans="1:14" ht="15.75">
      <c r="A163" s="77"/>
      <c r="B163" s="341"/>
      <c r="C163" s="84"/>
      <c r="D163" s="84"/>
      <c r="E163" s="86"/>
      <c r="F163" s="84"/>
      <c r="G163" s="84"/>
      <c r="H163" s="84"/>
      <c r="I163" s="84"/>
      <c r="J163" s="84"/>
      <c r="K163" s="375" t="str">
        <f>A139</f>
        <v>2023 DESPESA LÍQUIDA COM PESSOAL</v>
      </c>
      <c r="L163" s="375"/>
      <c r="M163" s="341">
        <f>N139</f>
        <v>44451029.220000006</v>
      </c>
      <c r="N163" s="84"/>
    </row>
    <row r="164" spans="1:14" ht="15.75">
      <c r="A164" s="77"/>
      <c r="B164" s="17"/>
      <c r="C164" s="17"/>
      <c r="D164" s="17"/>
      <c r="E164" s="17"/>
      <c r="F164" s="17"/>
      <c r="G164" s="17"/>
      <c r="H164" s="17"/>
      <c r="I164" s="17"/>
      <c r="J164" s="17"/>
      <c r="K164" s="375" t="str">
        <f>A141</f>
        <v>2022 DESPESA LÍQUIDA COM PESSOAL</v>
      </c>
      <c r="L164" s="375"/>
      <c r="M164" s="17">
        <f>N141</f>
        <v>0</v>
      </c>
      <c r="N164" s="84"/>
    </row>
    <row r="165" spans="1:14" ht="15.7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373" t="s">
        <v>330</v>
      </c>
      <c r="L165" s="373"/>
      <c r="M165" s="80">
        <f>M163+M164</f>
        <v>44451029.220000006</v>
      </c>
      <c r="N165" s="76"/>
    </row>
    <row r="166" spans="1:14" ht="15.7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</row>
    <row r="167" spans="1:14" ht="15.75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373" t="s">
        <v>334</v>
      </c>
      <c r="L167" s="373"/>
      <c r="M167" s="290">
        <f>M165/M161</f>
        <v>0.63726831852293386</v>
      </c>
      <c r="N167" s="76"/>
    </row>
  </sheetData>
  <mergeCells count="21">
    <mergeCell ref="K164:L164"/>
    <mergeCell ref="K165:L165"/>
    <mergeCell ref="K167:L167"/>
    <mergeCell ref="K158:L158"/>
    <mergeCell ref="K159:L159"/>
    <mergeCell ref="K160:L160"/>
    <mergeCell ref="K161:L161"/>
    <mergeCell ref="K163:L163"/>
    <mergeCell ref="A106:B106"/>
    <mergeCell ref="A107:A108"/>
    <mergeCell ref="A125:N125"/>
    <mergeCell ref="K153:M153"/>
    <mergeCell ref="K156:M157"/>
    <mergeCell ref="R54:S54"/>
    <mergeCell ref="R55:S55"/>
    <mergeCell ref="B99:B101"/>
    <mergeCell ref="E99:E101"/>
    <mergeCell ref="A1:N1"/>
    <mergeCell ref="A54:P54"/>
    <mergeCell ref="A55:A56"/>
    <mergeCell ref="B55:O5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topLeftCell="A12" zoomScaleNormal="100" workbookViewId="0">
      <selection activeCell="B29" sqref="B29"/>
    </sheetView>
  </sheetViews>
  <sheetFormatPr defaultRowHeight="15"/>
  <cols>
    <col min="1" max="1" width="93.85546875" customWidth="1"/>
    <col min="2" max="2" width="22.7109375" bestFit="1" customWidth="1"/>
    <col min="4" max="4" width="21.5703125" customWidth="1"/>
    <col min="5" max="5" width="14.28515625" bestFit="1" customWidth="1"/>
    <col min="6" max="7" width="13.28515625" bestFit="1" customWidth="1"/>
  </cols>
  <sheetData>
    <row r="1" spans="1:2" ht="18.75" thickBot="1">
      <c r="A1" s="369" t="s">
        <v>153</v>
      </c>
      <c r="B1" s="370"/>
    </row>
    <row r="2" spans="1:2">
      <c r="A2" s="371" t="s">
        <v>11</v>
      </c>
      <c r="B2" s="202" t="s">
        <v>6</v>
      </c>
    </row>
    <row r="3" spans="1:2" ht="15.75" thickBot="1">
      <c r="A3" s="372"/>
      <c r="B3" s="133" t="s">
        <v>2</v>
      </c>
    </row>
    <row r="4" spans="1:2">
      <c r="A4" s="134" t="s">
        <v>12</v>
      </c>
      <c r="B4" s="135">
        <f>SUM(B5:B8)</f>
        <v>3573887.63</v>
      </c>
    </row>
    <row r="5" spans="1:2">
      <c r="A5" s="136" t="s">
        <v>13</v>
      </c>
      <c r="B5" s="137">
        <f>RECEITAS!N4</f>
        <v>395419.52999999997</v>
      </c>
    </row>
    <row r="6" spans="1:2">
      <c r="A6" s="136" t="s">
        <v>14</v>
      </c>
      <c r="B6" s="137">
        <f>RECEITAS!N6</f>
        <v>452671.08000000007</v>
      </c>
    </row>
    <row r="7" spans="1:2">
      <c r="A7" s="136" t="s">
        <v>220</v>
      </c>
      <c r="B7" s="137">
        <f>RECEITAS!N5</f>
        <v>708035.64</v>
      </c>
    </row>
    <row r="8" spans="1:2">
      <c r="A8" s="136" t="s">
        <v>15</v>
      </c>
      <c r="B8" s="137">
        <f>RECEITAS!N7</f>
        <v>2017761.38</v>
      </c>
    </row>
    <row r="9" spans="1:2">
      <c r="A9" s="138" t="s">
        <v>152</v>
      </c>
      <c r="B9" s="135">
        <f>SUM(B10:B16)</f>
        <v>40429949.759999998</v>
      </c>
    </row>
    <row r="10" spans="1:2">
      <c r="A10" s="136" t="s">
        <v>16</v>
      </c>
      <c r="B10" s="137">
        <f>RECEITAS!N14</f>
        <v>30534774.809999999</v>
      </c>
    </row>
    <row r="11" spans="1:2">
      <c r="A11" s="136" t="s">
        <v>17</v>
      </c>
      <c r="B11" s="137">
        <f>RECEITAS!N16</f>
        <v>72087.850000000006</v>
      </c>
    </row>
    <row r="12" spans="1:2">
      <c r="A12" s="136" t="s">
        <v>18</v>
      </c>
      <c r="B12" s="137">
        <f>RECEITAS!N27</f>
        <v>767007.50999999989</v>
      </c>
    </row>
    <row r="13" spans="1:2">
      <c r="A13" s="136" t="s">
        <v>19</v>
      </c>
      <c r="B13" s="137">
        <f>RECEITAS!N26</f>
        <v>9004664.4300000016</v>
      </c>
    </row>
    <row r="14" spans="1:2">
      <c r="A14" s="136" t="s">
        <v>20</v>
      </c>
      <c r="B14" s="137">
        <f>RECEITAS!N28</f>
        <v>51415.16</v>
      </c>
    </row>
    <row r="15" spans="1:2">
      <c r="A15" s="136" t="s">
        <v>21</v>
      </c>
      <c r="B15" s="137">
        <v>0</v>
      </c>
    </row>
    <row r="16" spans="1:2">
      <c r="A16" s="136" t="s">
        <v>22</v>
      </c>
      <c r="B16" s="137">
        <v>0</v>
      </c>
    </row>
    <row r="17" spans="1:5" ht="15.75" thickBot="1">
      <c r="A17" s="140" t="s">
        <v>23</v>
      </c>
      <c r="B17" s="139">
        <f>SUM(B4,B9)</f>
        <v>44003837.390000001</v>
      </c>
      <c r="D17" s="230"/>
    </row>
    <row r="18" spans="1:5">
      <c r="D18" s="230"/>
    </row>
    <row r="19" spans="1:5" ht="15.75" thickBot="1"/>
    <row r="20" spans="1:5">
      <c r="A20" s="131" t="s">
        <v>24</v>
      </c>
      <c r="B20" s="203" t="s">
        <v>9</v>
      </c>
      <c r="E20" s="3"/>
    </row>
    <row r="21" spans="1:5" ht="15.75" thickBot="1">
      <c r="A21" s="132" t="s">
        <v>25</v>
      </c>
      <c r="B21" s="193" t="s">
        <v>2</v>
      </c>
      <c r="E21" s="3"/>
    </row>
    <row r="22" spans="1:5">
      <c r="A22" s="1" t="s">
        <v>3</v>
      </c>
      <c r="B22" s="231">
        <v>10900058.529999999</v>
      </c>
    </row>
    <row r="23" spans="1:5">
      <c r="A23" s="2" t="s">
        <v>4</v>
      </c>
      <c r="B23" s="231">
        <v>42324.83</v>
      </c>
    </row>
    <row r="24" spans="1:5">
      <c r="A24" s="130" t="s">
        <v>229</v>
      </c>
      <c r="B24" s="129">
        <f>SUM(B22:B23)</f>
        <v>10942383.359999999</v>
      </c>
      <c r="E24" s="168"/>
    </row>
    <row r="25" spans="1:5" ht="15.75" thickBot="1">
      <c r="E25" s="168"/>
    </row>
    <row r="26" spans="1:5" ht="15.75" thickBot="1">
      <c r="A26" s="141" t="s">
        <v>221</v>
      </c>
      <c r="B26" s="229">
        <f>B24/B17</f>
        <v>0.24866884365150135</v>
      </c>
      <c r="E26" s="168"/>
    </row>
    <row r="27" spans="1:5" ht="15.75" thickBot="1">
      <c r="B27" t="s">
        <v>28</v>
      </c>
      <c r="E27" s="171"/>
    </row>
    <row r="28" spans="1:5">
      <c r="A28" s="245" t="s">
        <v>232</v>
      </c>
      <c r="B28" s="246">
        <f>(B24-(B17*15%))</f>
        <v>4341807.7514999993</v>
      </c>
    </row>
    <row r="29" spans="1:5">
      <c r="A29" s="247" t="s">
        <v>233</v>
      </c>
      <c r="B29" s="248">
        <f>B28/B17</f>
        <v>9.8668843651501345E-2</v>
      </c>
    </row>
    <row r="31" spans="1:5">
      <c r="B31" s="230"/>
    </row>
    <row r="35" spans="4:7">
      <c r="E35" t="s">
        <v>253</v>
      </c>
      <c r="F35" t="s">
        <v>254</v>
      </c>
      <c r="G35" t="s">
        <v>255</v>
      </c>
    </row>
    <row r="36" spans="4:7">
      <c r="D36" t="s">
        <v>252</v>
      </c>
      <c r="E36" s="168">
        <v>5458032.0099999998</v>
      </c>
      <c r="F36" s="168">
        <v>4141693.92</v>
      </c>
      <c r="G36" s="168">
        <v>3590220.9</v>
      </c>
    </row>
    <row r="37" spans="4:7">
      <c r="D37" t="s">
        <v>256</v>
      </c>
      <c r="E37" s="168">
        <v>5084532.01</v>
      </c>
      <c r="F37" s="168">
        <v>2662085.1800000002</v>
      </c>
      <c r="G37" s="168">
        <v>2265026.04</v>
      </c>
    </row>
    <row r="38" spans="4:7">
      <c r="E38" s="168"/>
      <c r="F38" s="168"/>
      <c r="G38" s="168"/>
    </row>
    <row r="39" spans="4:7">
      <c r="D39" t="s">
        <v>242</v>
      </c>
      <c r="E39" s="168">
        <f>E36-E37</f>
        <v>373500</v>
      </c>
      <c r="F39" s="168">
        <f t="shared" ref="F39:G39" si="0">F36-F37</f>
        <v>1479608.7399999998</v>
      </c>
      <c r="G39" s="168">
        <f t="shared" si="0"/>
        <v>1325194.8599999999</v>
      </c>
    </row>
  </sheetData>
  <mergeCells count="2">
    <mergeCell ref="A1:B1"/>
    <mergeCell ref="A2:A3"/>
  </mergeCells>
  <pageMargins left="0.511811024" right="0.511811024" top="0.78740157499999996" bottom="0.78740157499999996" header="0.31496062000000002" footer="0.31496062000000002"/>
  <pageSetup paperSize="9" scale="67" fitToHeight="0" orientation="portrait" r:id="rId1"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7"/>
  <sheetViews>
    <sheetView topLeftCell="A52" zoomScale="70" zoomScaleNormal="70" workbookViewId="0">
      <selection activeCell="S34" sqref="S34"/>
    </sheetView>
  </sheetViews>
  <sheetFormatPr defaultRowHeight="15.75"/>
  <cols>
    <col min="1" max="1" width="82.85546875" style="38" customWidth="1"/>
    <col min="2" max="2" width="17.140625" style="38" customWidth="1"/>
    <col min="3" max="3" width="16.140625" style="38" customWidth="1"/>
    <col min="4" max="4" width="19.85546875" style="38" bestFit="1" customWidth="1"/>
    <col min="5" max="5" width="17" style="38" customWidth="1"/>
    <col min="6" max="6" width="5.42578125" style="38" customWidth="1"/>
    <col min="7" max="7" width="5.85546875" style="38" customWidth="1"/>
    <col min="8" max="8" width="5.28515625" style="38" customWidth="1"/>
    <col min="9" max="9" width="4.85546875" style="38" customWidth="1"/>
    <col min="10" max="10" width="6.42578125" style="38" customWidth="1"/>
    <col min="11" max="11" width="7.85546875" style="38" customWidth="1"/>
    <col min="12" max="12" width="9.28515625" style="38" customWidth="1"/>
    <col min="13" max="13" width="20.28515625" style="38" customWidth="1"/>
    <col min="14" max="14" width="22.7109375" style="38" customWidth="1"/>
    <col min="15" max="15" width="22.28515625" style="49" customWidth="1"/>
    <col min="16" max="16" width="16.85546875" style="38" customWidth="1"/>
    <col min="17" max="17" width="7.28515625" style="38" customWidth="1"/>
    <col min="18" max="18" width="81" style="38" customWidth="1"/>
    <col min="19" max="19" width="21.5703125" style="38" customWidth="1"/>
    <col min="20" max="20" width="21" style="38" bestFit="1" customWidth="1"/>
    <col min="21" max="21" width="16.140625" style="38" bestFit="1" customWidth="1"/>
    <col min="22" max="16384" width="9.140625" style="38"/>
  </cols>
  <sheetData>
    <row r="1" spans="1:21" ht="18.75" thickBot="1">
      <c r="A1" s="353" t="s">
        <v>8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  <c r="R1" s="363" t="s">
        <v>27</v>
      </c>
      <c r="S1" s="364"/>
    </row>
    <row r="2" spans="1:21" ht="20.25" customHeight="1" thickBot="1">
      <c r="A2" s="356" t="s">
        <v>92</v>
      </c>
      <c r="B2" s="361" t="s">
        <v>6</v>
      </c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206"/>
      <c r="R2" s="365"/>
      <c r="S2" s="366"/>
    </row>
    <row r="3" spans="1:21" ht="36.75" thickBot="1">
      <c r="A3" s="357"/>
      <c r="B3" s="48" t="s">
        <v>29</v>
      </c>
      <c r="C3" s="48" t="s">
        <v>30</v>
      </c>
      <c r="D3" s="48" t="s">
        <v>31</v>
      </c>
      <c r="E3" s="48" t="s">
        <v>32</v>
      </c>
      <c r="F3" s="48" t="s">
        <v>33</v>
      </c>
      <c r="G3" s="48" t="s">
        <v>34</v>
      </c>
      <c r="H3" s="48" t="s">
        <v>35</v>
      </c>
      <c r="I3" s="48" t="s">
        <v>36</v>
      </c>
      <c r="J3" s="48" t="s">
        <v>37</v>
      </c>
      <c r="K3" s="48" t="s">
        <v>38</v>
      </c>
      <c r="L3" s="48" t="s">
        <v>39</v>
      </c>
      <c r="M3" s="48" t="s">
        <v>40</v>
      </c>
      <c r="N3" s="48" t="s">
        <v>108</v>
      </c>
      <c r="O3" s="39" t="s">
        <v>7</v>
      </c>
      <c r="R3" s="115" t="s">
        <v>147</v>
      </c>
      <c r="S3" s="116" t="s">
        <v>149</v>
      </c>
    </row>
    <row r="4" spans="1:21">
      <c r="A4" s="46" t="s">
        <v>10</v>
      </c>
      <c r="B4" s="54">
        <f t="shared" ref="B4:G4" si="0">SUM(B5:B8)</f>
        <v>112614.34999999999</v>
      </c>
      <c r="C4" s="54">
        <f t="shared" si="0"/>
        <v>114649.69</v>
      </c>
      <c r="D4" s="54">
        <f t="shared" si="0"/>
        <v>173894.78000000003</v>
      </c>
      <c r="E4" s="54">
        <f t="shared" si="0"/>
        <v>74207.94</v>
      </c>
      <c r="F4" s="54">
        <f t="shared" si="0"/>
        <v>412287.89</v>
      </c>
      <c r="G4" s="54">
        <f t="shared" si="0"/>
        <v>87066.3</v>
      </c>
      <c r="H4" s="54">
        <f>SUM(H5:H8)</f>
        <v>87041</v>
      </c>
      <c r="I4" s="54">
        <f>SUM(I5:I8)</f>
        <v>152786.07</v>
      </c>
      <c r="J4" s="54">
        <f t="shared" ref="J4:M4" si="1">SUM(J5:J8)</f>
        <v>737298.37</v>
      </c>
      <c r="K4" s="54">
        <f t="shared" si="1"/>
        <v>227448.88999999998</v>
      </c>
      <c r="L4" s="54">
        <f t="shared" si="1"/>
        <v>141021.33000000002</v>
      </c>
      <c r="M4" s="54">
        <f t="shared" si="1"/>
        <v>1253571.02</v>
      </c>
      <c r="N4" s="54">
        <f>SUM(B4:M4)</f>
        <v>3573887.6300000004</v>
      </c>
      <c r="O4" s="51"/>
      <c r="R4" s="62" t="str">
        <f>A4</f>
        <v>1. RECEITA DE IMPOSTOS</v>
      </c>
      <c r="S4" s="5">
        <f>N4</f>
        <v>3573887.6300000004</v>
      </c>
    </row>
    <row r="5" spans="1:21">
      <c r="A5" s="47" t="s">
        <v>93</v>
      </c>
      <c r="B5" s="53">
        <f>RECEITAS!B4</f>
        <v>53556.42</v>
      </c>
      <c r="C5" s="53">
        <f>RECEITAS!C4</f>
        <v>41136.32</v>
      </c>
      <c r="D5" s="53">
        <f>RECEITAS!D4</f>
        <v>28329.18</v>
      </c>
      <c r="E5" s="53">
        <f>RECEITAS!E4</f>
        <v>14429.94</v>
      </c>
      <c r="F5" s="53">
        <f>RECEITAS!F4</f>
        <v>14840</v>
      </c>
      <c r="G5" s="53">
        <f>RECEITAS!G4</f>
        <v>11273.94</v>
      </c>
      <c r="H5" s="53">
        <f>RECEITAS!H4</f>
        <v>29439.4</v>
      </c>
      <c r="I5" s="53">
        <f>RECEITAS!I4</f>
        <v>30591.41</v>
      </c>
      <c r="J5" s="53">
        <f>RECEITAS!J4</f>
        <v>27503.78</v>
      </c>
      <c r="K5" s="53">
        <f>RECEITAS!K4</f>
        <v>38796.199999999997</v>
      </c>
      <c r="L5" s="53">
        <f>RECEITAS!L4</f>
        <v>42183</v>
      </c>
      <c r="M5" s="53">
        <f>RECEITAS!M4</f>
        <v>63339.94</v>
      </c>
      <c r="N5" s="176">
        <f>SUM(B5:M5)</f>
        <v>395419.52999999997</v>
      </c>
      <c r="O5" s="51"/>
      <c r="R5" s="62" t="str">
        <f>A10</f>
        <v>2- RECEITA DE TRANSFERÊNCIAS CONSTITUCIONAIS E LEGAIS</v>
      </c>
      <c r="S5" s="123">
        <f>N10</f>
        <v>43823351.369999997</v>
      </c>
    </row>
    <row r="6" spans="1:21">
      <c r="A6" s="47" t="s">
        <v>94</v>
      </c>
      <c r="B6" s="177">
        <f>RECEITAS!B6</f>
        <v>22171.59</v>
      </c>
      <c r="C6" s="177">
        <f>RECEITAS!C6</f>
        <v>44426.93</v>
      </c>
      <c r="D6" s="177">
        <f>RECEITAS!D6</f>
        <v>97894.24</v>
      </c>
      <c r="E6" s="177">
        <f>RECEITAS!E6</f>
        <v>16679.91</v>
      </c>
      <c r="F6" s="177">
        <f>RECEITAS!F6</f>
        <v>27931.17</v>
      </c>
      <c r="G6" s="177">
        <f>RECEITAS!G6</f>
        <v>38037.97</v>
      </c>
      <c r="H6" s="177">
        <f>RECEITAS!H6</f>
        <v>23520.85</v>
      </c>
      <c r="I6" s="177">
        <f>RECEITAS!I6</f>
        <v>46057.36</v>
      </c>
      <c r="J6" s="177">
        <f>RECEITAS!J6</f>
        <v>7643.82</v>
      </c>
      <c r="K6" s="177">
        <f>RECEITAS!K6</f>
        <v>82011.08</v>
      </c>
      <c r="L6" s="177">
        <f>RECEITAS!L6</f>
        <v>20867.27</v>
      </c>
      <c r="M6" s="177">
        <f>RECEITAS!M6</f>
        <v>25428.89</v>
      </c>
      <c r="N6" s="176">
        <f>SUM(B6:M6)</f>
        <v>452671.08000000007</v>
      </c>
      <c r="O6" s="51"/>
      <c r="R6" s="62" t="str">
        <f>A20</f>
        <v>3- TOTAL DA RECEITA DE IMPOSTOS (1 + 2)</v>
      </c>
      <c r="S6" s="123">
        <f>N20</f>
        <v>47397239</v>
      </c>
    </row>
    <row r="7" spans="1:21">
      <c r="A7" s="47" t="s">
        <v>95</v>
      </c>
      <c r="B7" s="178">
        <f>RECEITAS!B5</f>
        <v>27437.39</v>
      </c>
      <c r="C7" s="178">
        <f>RECEITAS!C5</f>
        <v>19637.490000000002</v>
      </c>
      <c r="D7" s="178">
        <f>RECEITAS!D5</f>
        <v>38222.410000000003</v>
      </c>
      <c r="E7" s="178">
        <f>RECEITAS!E5</f>
        <v>33646.19</v>
      </c>
      <c r="F7" s="178">
        <f>RECEITAS!F5</f>
        <v>44743.1</v>
      </c>
      <c r="G7" s="178">
        <f>RECEITAS!G5</f>
        <v>28500.560000000001</v>
      </c>
      <c r="H7" s="178">
        <f>RECEITAS!H5</f>
        <v>34080.75</v>
      </c>
      <c r="I7" s="178">
        <f>RECEITAS!I5</f>
        <v>57629.64</v>
      </c>
      <c r="J7" s="178">
        <f>RECEITAS!J5</f>
        <v>66958.92</v>
      </c>
      <c r="K7" s="178">
        <f>RECEITAS!K5</f>
        <v>38444.58</v>
      </c>
      <c r="L7" s="178">
        <f>RECEITAS!L5</f>
        <v>67359.070000000007</v>
      </c>
      <c r="M7" s="178">
        <f>RECEITAS!M5</f>
        <v>251375.54</v>
      </c>
      <c r="N7" s="176">
        <f>SUM(B7:M7)</f>
        <v>708035.64</v>
      </c>
      <c r="O7" s="57"/>
      <c r="R7" s="121" t="s">
        <v>150</v>
      </c>
      <c r="S7" s="126">
        <f>S6/4</f>
        <v>11849309.75</v>
      </c>
      <c r="T7" s="125"/>
    </row>
    <row r="8" spans="1:21" ht="15" customHeight="1">
      <c r="A8" s="47" t="s">
        <v>96</v>
      </c>
      <c r="B8" s="178">
        <f>RECEITAS!B7</f>
        <v>9448.9500000000007</v>
      </c>
      <c r="C8" s="178">
        <f>RECEITAS!C7</f>
        <v>9448.9500000000007</v>
      </c>
      <c r="D8" s="178">
        <f>RECEITAS!D7</f>
        <v>9448.9500000000007</v>
      </c>
      <c r="E8" s="178">
        <f>RECEITAS!E7</f>
        <v>9451.9</v>
      </c>
      <c r="F8" s="178">
        <f>RECEITAS!F7</f>
        <v>324773.62</v>
      </c>
      <c r="G8" s="178">
        <f>RECEITAS!G7</f>
        <v>9253.83</v>
      </c>
      <c r="H8" s="178">
        <f>RECEITAS!H7</f>
        <v>0</v>
      </c>
      <c r="I8" s="178">
        <f>RECEITAS!I7</f>
        <v>18507.66</v>
      </c>
      <c r="J8" s="178">
        <f>RECEITAS!J7</f>
        <v>635191.85</v>
      </c>
      <c r="K8" s="178">
        <f>RECEITAS!K7</f>
        <v>68197.03</v>
      </c>
      <c r="L8" s="178">
        <f>RECEITAS!L7</f>
        <v>10611.99</v>
      </c>
      <c r="M8" s="178">
        <f>RECEITAS!M7</f>
        <v>913426.65</v>
      </c>
      <c r="N8" s="176">
        <f>SUM(B8:M8)</f>
        <v>2017761.38</v>
      </c>
      <c r="O8" s="57"/>
      <c r="R8" s="62" t="str">
        <f>A22</f>
        <v>4- TOTAL DESTINADO AO FUNDEB - 20% DE ((2.1) + (2.2) + (2.3) + (2.4) + (2.5))</v>
      </c>
      <c r="S8" s="123">
        <f>N22</f>
        <v>8024013.1900000004</v>
      </c>
      <c r="T8" s="150"/>
      <c r="U8" s="150"/>
    </row>
    <row r="9" spans="1:21">
      <c r="A9" s="61"/>
      <c r="B9" s="41"/>
      <c r="C9" s="41"/>
      <c r="D9" s="41"/>
      <c r="E9" s="41"/>
      <c r="F9" s="45"/>
      <c r="G9" s="45"/>
      <c r="H9" s="45"/>
      <c r="I9" s="45"/>
      <c r="J9" s="45"/>
      <c r="K9" s="45"/>
      <c r="L9" s="45"/>
      <c r="M9" s="45"/>
      <c r="N9" s="50"/>
      <c r="O9" s="58"/>
      <c r="R9" s="117" t="str">
        <f>A24</f>
        <v>5- VALOR MÍNIMO A SER APLICADO ALÉM DO VALOR DESTINADO AO FUNDEB - 5% DE ((2.2) + (2.3) + (2.4) + (2.5)) + 25% DE ((1.1) + (1.2) + (1.3) + (1.4) + (2.1.1) + (2.6)+ (2.7))</v>
      </c>
      <c r="S9" s="118">
        <f>S7-S8</f>
        <v>3825296.5599999996</v>
      </c>
      <c r="T9" s="125"/>
    </row>
    <row r="10" spans="1:21">
      <c r="A10" s="46" t="s">
        <v>97</v>
      </c>
      <c r="B10" s="55">
        <f t="shared" ref="B10:M10" si="2">SUM(B11:B18)</f>
        <v>3362560.39</v>
      </c>
      <c r="C10" s="42">
        <f t="shared" si="2"/>
        <v>4307602.33</v>
      </c>
      <c r="D10" s="42">
        <f t="shared" si="2"/>
        <v>2892625.35</v>
      </c>
      <c r="E10" s="42">
        <f t="shared" si="2"/>
        <v>3239676.7799999993</v>
      </c>
      <c r="F10" s="42">
        <f t="shared" si="2"/>
        <v>3776631.0199999996</v>
      </c>
      <c r="G10" s="42">
        <f t="shared" si="2"/>
        <v>3343381.03</v>
      </c>
      <c r="H10" s="42">
        <f t="shared" si="2"/>
        <v>4027605.9299999997</v>
      </c>
      <c r="I10" s="42">
        <f t="shared" si="2"/>
        <v>3076698.2199999997</v>
      </c>
      <c r="J10" s="42">
        <f t="shared" si="2"/>
        <v>3068525.12</v>
      </c>
      <c r="K10" s="42">
        <f t="shared" si="2"/>
        <v>3112080.52</v>
      </c>
      <c r="L10" s="42">
        <f t="shared" si="2"/>
        <v>4202539.51</v>
      </c>
      <c r="M10" s="42">
        <f t="shared" si="2"/>
        <v>5413425.1700000009</v>
      </c>
      <c r="N10" s="42">
        <f t="shared" ref="N10:N12" si="3">SUM(B10:M10)</f>
        <v>43823351.369999997</v>
      </c>
      <c r="O10" s="57"/>
    </row>
    <row r="11" spans="1:21">
      <c r="A11" s="47" t="s">
        <v>98</v>
      </c>
      <c r="B11" s="161">
        <f>RECEITAS!B14</f>
        <v>2711428.45</v>
      </c>
      <c r="C11" s="161">
        <f>RECEITAS!C14</f>
        <v>3588349.8</v>
      </c>
      <c r="D11" s="161">
        <f>RECEITAS!D14</f>
        <v>2195158.1800000002</v>
      </c>
      <c r="E11" s="161">
        <f>RECEITAS!E14</f>
        <v>2509750.86</v>
      </c>
      <c r="F11" s="161">
        <f>RECEITAS!F14</f>
        <v>2789991</v>
      </c>
      <c r="G11" s="161">
        <f>RECEITAS!G14</f>
        <v>2605830.6800000002</v>
      </c>
      <c r="H11" s="161">
        <f>RECEITAS!H14</f>
        <v>1878797.68</v>
      </c>
      <c r="I11" s="161">
        <f>RECEITAS!I14</f>
        <v>2209718.56</v>
      </c>
      <c r="J11" s="161">
        <f>RECEITAS!J14</f>
        <v>2252584.19</v>
      </c>
      <c r="K11" s="161">
        <f>RECEITAS!K14</f>
        <v>2092115.86</v>
      </c>
      <c r="L11" s="161">
        <f>RECEITAS!L14</f>
        <v>2714445.95</v>
      </c>
      <c r="M11" s="161">
        <f>RECEITAS!M14</f>
        <v>2986603.6</v>
      </c>
      <c r="N11" s="175">
        <f t="shared" si="3"/>
        <v>30534774.809999999</v>
      </c>
      <c r="O11" s="57"/>
      <c r="R11" s="62" t="str">
        <f>A26</f>
        <v>6- RECEITAS RECEBIDAS DO FUNDEB</v>
      </c>
      <c r="S11" s="124">
        <f>N26</f>
        <v>20264214.439999998</v>
      </c>
    </row>
    <row r="12" spans="1:21">
      <c r="A12" s="47" t="s">
        <v>104</v>
      </c>
      <c r="B12" s="161">
        <f>RECEITAS!B15</f>
        <v>0</v>
      </c>
      <c r="C12" s="161">
        <f>RECEITAS!C15</f>
        <v>0</v>
      </c>
      <c r="D12" s="161">
        <f>RECEITAS!D15</f>
        <v>0</v>
      </c>
      <c r="E12" s="161">
        <f>RECEITAS!E15</f>
        <v>0</v>
      </c>
      <c r="F12" s="161">
        <f>RECEITAS!F15</f>
        <v>0</v>
      </c>
      <c r="G12" s="161">
        <f>RECEITAS!G15</f>
        <v>0</v>
      </c>
      <c r="H12" s="161">
        <f>RECEITAS!H15</f>
        <v>1328011.1499999999</v>
      </c>
      <c r="I12" s="161">
        <f>RECEITAS!I15</f>
        <v>0</v>
      </c>
      <c r="J12" s="161">
        <f>RECEITAS!J15</f>
        <v>0</v>
      </c>
      <c r="K12" s="161">
        <f>RECEITAS!K15</f>
        <v>0</v>
      </c>
      <c r="L12" s="161">
        <f>RECEITAS!L15</f>
        <v>741263.42</v>
      </c>
      <c r="M12" s="161">
        <f>RECEITAS!M15</f>
        <v>1324127.04</v>
      </c>
      <c r="N12" s="175">
        <f t="shared" si="3"/>
        <v>3393401.61</v>
      </c>
      <c r="O12" s="57"/>
      <c r="R12" s="117" t="str">
        <f>A27</f>
        <v>6.1- FUNDEB - Impostos e Transferências de Impostos</v>
      </c>
      <c r="S12" s="118">
        <f>N27</f>
        <v>13535285.74</v>
      </c>
      <c r="T12" s="125"/>
    </row>
    <row r="13" spans="1:21">
      <c r="A13" s="47" t="s">
        <v>99</v>
      </c>
      <c r="B13" s="161">
        <f>RECEITAS!B26</f>
        <v>582961</v>
      </c>
      <c r="C13" s="161">
        <f>RECEITAS!C26</f>
        <v>583922.35</v>
      </c>
      <c r="D13" s="161">
        <f>RECEITAS!D26</f>
        <v>643709.37</v>
      </c>
      <c r="E13" s="161">
        <f>RECEITAS!E26</f>
        <v>682710.2</v>
      </c>
      <c r="F13" s="161">
        <f>RECEITAS!F26</f>
        <v>923603.04</v>
      </c>
      <c r="G13" s="161">
        <f>RECEITAS!G26</f>
        <v>665451.68999999994</v>
      </c>
      <c r="H13" s="161">
        <f>RECEITAS!H26</f>
        <v>764919.67</v>
      </c>
      <c r="I13" s="161">
        <f>RECEITAS!I26</f>
        <v>796885.24</v>
      </c>
      <c r="J13" s="161">
        <f>RECEITAS!J26</f>
        <v>743062.23</v>
      </c>
      <c r="K13" s="161">
        <f>RECEITAS!K26</f>
        <v>906262.96</v>
      </c>
      <c r="L13" s="161">
        <f>RECEITAS!L26</f>
        <v>679074.51</v>
      </c>
      <c r="M13" s="161">
        <f>RECEITAS!M26</f>
        <v>1032102.17</v>
      </c>
      <c r="N13" s="175">
        <f t="shared" ref="N13:N18" si="4">SUM(B13:M13)</f>
        <v>9004664.4300000016</v>
      </c>
      <c r="O13" s="57"/>
      <c r="R13" s="117" t="s">
        <v>159</v>
      </c>
      <c r="S13" s="118">
        <f>N30+N33</f>
        <v>6728928.7000000002</v>
      </c>
    </row>
    <row r="14" spans="1:21" ht="16.5" customHeight="1">
      <c r="A14" s="47" t="s">
        <v>106</v>
      </c>
      <c r="B14" s="161">
        <f>RECEITAS!B28</f>
        <v>4387.59</v>
      </c>
      <c r="C14" s="161">
        <f>RECEITAS!C28</f>
        <v>3128.88</v>
      </c>
      <c r="D14" s="161">
        <f>RECEITAS!D28</f>
        <v>3877.65</v>
      </c>
      <c r="E14" s="161">
        <f>RECEITAS!E28</f>
        <v>4133.8599999999997</v>
      </c>
      <c r="F14" s="161">
        <f>RECEITAS!F28</f>
        <v>3717.42</v>
      </c>
      <c r="G14" s="161">
        <f>RECEITAS!G28</f>
        <v>4635.51</v>
      </c>
      <c r="H14" s="161">
        <f>RECEITAS!H28</f>
        <v>4211.51</v>
      </c>
      <c r="I14" s="161">
        <f>RECEITAS!I28</f>
        <v>3748.66</v>
      </c>
      <c r="J14" s="161">
        <f>RECEITAS!J28</f>
        <v>4858.2700000000004</v>
      </c>
      <c r="K14" s="161">
        <f>RECEITAS!K28</f>
        <v>5427.34</v>
      </c>
      <c r="L14" s="161">
        <f>RECEITAS!L28</f>
        <v>4447.03</v>
      </c>
      <c r="M14" s="161">
        <f>RECEITAS!M28</f>
        <v>4841.4399999999996</v>
      </c>
      <c r="N14" s="175">
        <f t="shared" si="4"/>
        <v>51415.16</v>
      </c>
      <c r="O14" s="57"/>
      <c r="R14" s="62"/>
      <c r="S14" s="119"/>
    </row>
    <row r="15" spans="1:21">
      <c r="A15" s="47" t="s">
        <v>100</v>
      </c>
      <c r="B15" s="161">
        <f>RECEITAS!B16</f>
        <v>1084.4000000000001</v>
      </c>
      <c r="C15" s="161">
        <f>RECEITAS!C16</f>
        <v>266.64</v>
      </c>
      <c r="D15" s="161">
        <f>RECEITAS!D16</f>
        <v>605.91999999999996</v>
      </c>
      <c r="E15" s="161">
        <f>RECEITAS!E16</f>
        <v>346.94</v>
      </c>
      <c r="F15" s="161">
        <f>RECEITAS!F16</f>
        <v>238.76</v>
      </c>
      <c r="G15" s="161">
        <f>RECEITAS!G16</f>
        <v>398.04</v>
      </c>
      <c r="H15" s="161">
        <f>RECEITAS!H16</f>
        <v>899.56</v>
      </c>
      <c r="I15" s="161">
        <f>RECEITAS!I16</f>
        <v>1357.92</v>
      </c>
      <c r="J15" s="161">
        <f>RECEITAS!J16</f>
        <v>12278.87</v>
      </c>
      <c r="K15" s="161">
        <f>RECEITAS!K16</f>
        <v>45791.76</v>
      </c>
      <c r="L15" s="161">
        <f>RECEITAS!L16</f>
        <v>5308.01</v>
      </c>
      <c r="M15" s="161">
        <f>RECEITAS!M16</f>
        <v>3511.03</v>
      </c>
      <c r="N15" s="175">
        <f t="shared" si="4"/>
        <v>72087.850000000006</v>
      </c>
      <c r="O15" s="57"/>
    </row>
    <row r="16" spans="1:21">
      <c r="A16" s="47" t="s">
        <v>101</v>
      </c>
      <c r="B16" s="161">
        <f>RECEITAS!B27</f>
        <v>62698.95</v>
      </c>
      <c r="C16" s="161">
        <f>RECEITAS!C27</f>
        <v>131934.66</v>
      </c>
      <c r="D16" s="161">
        <f>RECEITAS!D27</f>
        <v>49274.23</v>
      </c>
      <c r="E16" s="161">
        <f>RECEITAS!E27</f>
        <v>42734.92</v>
      </c>
      <c r="F16" s="161">
        <f>RECEITAS!F27</f>
        <v>59080.800000000003</v>
      </c>
      <c r="G16" s="161">
        <f>RECEITAS!G27</f>
        <v>67065.11</v>
      </c>
      <c r="H16" s="161">
        <f>RECEITAS!H27</f>
        <v>50766.36</v>
      </c>
      <c r="I16" s="161">
        <f>RECEITAS!I27</f>
        <v>64987.839999999997</v>
      </c>
      <c r="J16" s="161">
        <f>RECEITAS!J27</f>
        <v>55741.56</v>
      </c>
      <c r="K16" s="161">
        <f>RECEITAS!K27</f>
        <v>62482.6</v>
      </c>
      <c r="L16" s="161">
        <f>RECEITAS!L27</f>
        <v>58000.59</v>
      </c>
      <c r="M16" s="161">
        <f>RECEITAS!M27</f>
        <v>62239.89</v>
      </c>
      <c r="N16" s="175">
        <f t="shared" si="4"/>
        <v>767007.50999999989</v>
      </c>
      <c r="O16" s="57"/>
      <c r="R16" s="367" t="s">
        <v>158</v>
      </c>
      <c r="S16" s="368"/>
      <c r="T16" s="125"/>
    </row>
    <row r="17" spans="1:20">
      <c r="A17" s="47" t="s">
        <v>102</v>
      </c>
      <c r="B17" s="56"/>
      <c r="C17" s="56"/>
      <c r="D17" s="56"/>
      <c r="E17" s="161"/>
      <c r="F17" s="161"/>
      <c r="G17" s="161"/>
      <c r="H17" s="161"/>
      <c r="I17" s="161"/>
      <c r="J17" s="161"/>
      <c r="K17" s="161"/>
      <c r="L17" s="161"/>
      <c r="M17" s="161"/>
      <c r="N17" s="175">
        <f t="shared" si="4"/>
        <v>0</v>
      </c>
      <c r="O17" s="57"/>
      <c r="R17" s="62" t="str">
        <f>A44</f>
        <v>FUNDEB - APLICAÇÃO 70%</v>
      </c>
      <c r="S17" s="64">
        <f>N44</f>
        <v>17537296.949999996</v>
      </c>
      <c r="T17" s="65"/>
    </row>
    <row r="18" spans="1:20">
      <c r="A18" s="47" t="s">
        <v>109</v>
      </c>
      <c r="B18" s="56"/>
      <c r="C18" s="56"/>
      <c r="D18" s="56"/>
      <c r="E18" s="161"/>
      <c r="F18" s="161"/>
      <c r="G18" s="161"/>
      <c r="H18" s="161"/>
      <c r="I18" s="161"/>
      <c r="J18" s="161"/>
      <c r="K18" s="161"/>
      <c r="L18" s="161"/>
      <c r="M18" s="161"/>
      <c r="N18" s="175">
        <f t="shared" si="4"/>
        <v>0</v>
      </c>
      <c r="O18" s="57"/>
      <c r="R18" s="62" t="str">
        <f>A49</f>
        <v>FUNDEB - APLICAÇÃO 30%</v>
      </c>
      <c r="S18" s="64">
        <f>N49</f>
        <v>3451659.19</v>
      </c>
    </row>
    <row r="19" spans="1:20">
      <c r="A19" s="40"/>
      <c r="B19" s="41"/>
      <c r="C19" s="41"/>
      <c r="D19" s="41"/>
      <c r="E19" s="45"/>
      <c r="F19" s="45"/>
      <c r="G19" s="45"/>
      <c r="H19" s="45"/>
      <c r="I19" s="45"/>
      <c r="J19" s="45"/>
      <c r="K19" s="45"/>
      <c r="L19" s="45"/>
      <c r="M19" s="45"/>
      <c r="N19" s="50"/>
      <c r="O19" s="58"/>
      <c r="R19" s="62" t="str">
        <f>A57</f>
        <v>MDE - FR 1500.1001</v>
      </c>
      <c r="S19" s="64">
        <f>N56</f>
        <v>4018141.74</v>
      </c>
      <c r="T19" s="65"/>
    </row>
    <row r="20" spans="1:20">
      <c r="A20" s="46" t="s">
        <v>103</v>
      </c>
      <c r="B20" s="42">
        <f t="shared" ref="B20:N20" si="5">B4+B10</f>
        <v>3475174.74</v>
      </c>
      <c r="C20" s="42">
        <f t="shared" si="5"/>
        <v>4422252.0200000005</v>
      </c>
      <c r="D20" s="42">
        <f t="shared" si="5"/>
        <v>3066520.13</v>
      </c>
      <c r="E20" s="42">
        <f t="shared" si="5"/>
        <v>3313884.7199999993</v>
      </c>
      <c r="F20" s="42">
        <f t="shared" si="5"/>
        <v>4188918.9099999997</v>
      </c>
      <c r="G20" s="42">
        <f t="shared" si="5"/>
        <v>3430447.3299999996</v>
      </c>
      <c r="H20" s="42">
        <f t="shared" si="5"/>
        <v>4114646.9299999997</v>
      </c>
      <c r="I20" s="42">
        <f t="shared" si="5"/>
        <v>3229484.2899999996</v>
      </c>
      <c r="J20" s="42">
        <f t="shared" si="5"/>
        <v>3805823.49</v>
      </c>
      <c r="K20" s="42">
        <f t="shared" si="5"/>
        <v>3339529.41</v>
      </c>
      <c r="L20" s="42">
        <f t="shared" si="5"/>
        <v>4343560.84</v>
      </c>
      <c r="M20" s="42">
        <f t="shared" si="5"/>
        <v>6666996.1900000013</v>
      </c>
      <c r="N20" s="42">
        <f t="shared" si="5"/>
        <v>47397239</v>
      </c>
      <c r="O20" s="57"/>
      <c r="R20" s="165" t="s">
        <v>158</v>
      </c>
      <c r="S20" s="169">
        <f>SUM(S17:S19)</f>
        <v>25007097.879999995</v>
      </c>
      <c r="T20" s="150"/>
    </row>
    <row r="21" spans="1:20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8"/>
      <c r="T21" s="160"/>
    </row>
    <row r="22" spans="1:20">
      <c r="A22" s="46" t="s">
        <v>105</v>
      </c>
      <c r="B22" s="42">
        <f>RECEITAS!B34</f>
        <v>671634.41</v>
      </c>
      <c r="C22" s="42">
        <f>RECEITAS!C34</f>
        <v>860894.58</v>
      </c>
      <c r="D22" s="42">
        <f>RECEITAS!D34</f>
        <v>577749.42000000004</v>
      </c>
      <c r="E22" s="42">
        <f>RECEITAS!E34</f>
        <v>647108.46</v>
      </c>
      <c r="F22" s="42">
        <f>RECEITAS!F34</f>
        <v>754582.59</v>
      </c>
      <c r="G22" s="42">
        <f>RECEITAS!G34</f>
        <v>667748.96</v>
      </c>
      <c r="H22" s="42">
        <f>RECEITAS!H34</f>
        <v>539076.56000000006</v>
      </c>
      <c r="I22" s="42">
        <f>RECEITAS!I34</f>
        <v>614589.78</v>
      </c>
      <c r="J22" s="42">
        <f>RECEITAS!J34</f>
        <v>546989.92000000004</v>
      </c>
      <c r="K22" s="42">
        <f>RECEITAS!K34</f>
        <v>621330.47</v>
      </c>
      <c r="L22" s="42">
        <f>RECEITAS!L34</f>
        <v>691365.68</v>
      </c>
      <c r="M22" s="42">
        <f>RECEITAS!M34</f>
        <v>830942.36</v>
      </c>
      <c r="N22" s="42">
        <f>SUM(B22:M22)</f>
        <v>8024013.1900000004</v>
      </c>
      <c r="O22" s="57"/>
      <c r="S22" s="125"/>
    </row>
    <row r="23" spans="1:20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>
        <f>N23-M22</f>
        <v>-13082.733999999939</v>
      </c>
      <c r="N23" s="50">
        <f>SUM(M11+M13+M14+M15+M16)*20%</f>
        <v>817859.62600000005</v>
      </c>
      <c r="O23" s="50"/>
      <c r="P23" s="58"/>
    </row>
    <row r="24" spans="1:20" ht="45.75" customHeight="1">
      <c r="A24" s="60" t="s">
        <v>107</v>
      </c>
      <c r="B24" s="42">
        <f>((B11+B13+B14+B15+B16)*5%)+((B4+B12+B17+B18)*25%)</f>
        <v>196281.60700000002</v>
      </c>
      <c r="C24" s="42">
        <f t="shared" ref="C24:M24" si="6">((C11+C13+C14+C15+C16)*5%)+((C4+C12+C17+C18)*25%)</f>
        <v>244042.53899999999</v>
      </c>
      <c r="D24" s="42">
        <f t="shared" si="6"/>
        <v>188104.96250000002</v>
      </c>
      <c r="E24" s="42">
        <f t="shared" si="6"/>
        <v>180535.82399999996</v>
      </c>
      <c r="F24" s="42">
        <f t="shared" si="6"/>
        <v>291903.52350000001</v>
      </c>
      <c r="G24" s="42">
        <f t="shared" si="6"/>
        <v>188935.62650000001</v>
      </c>
      <c r="H24" s="42">
        <f t="shared" si="6"/>
        <v>488742.77649999998</v>
      </c>
      <c r="I24" s="42">
        <f t="shared" si="6"/>
        <v>192031.42849999998</v>
      </c>
      <c r="J24" s="42">
        <f t="shared" si="6"/>
        <v>337750.84850000002</v>
      </c>
      <c r="K24" s="42">
        <f t="shared" si="6"/>
        <v>212466.24850000002</v>
      </c>
      <c r="L24" s="42">
        <f t="shared" si="6"/>
        <v>393634.99199999997</v>
      </c>
      <c r="M24" s="42">
        <f t="shared" si="6"/>
        <v>848889.42150000005</v>
      </c>
      <c r="N24" s="42">
        <f>SUM(B24:M24)</f>
        <v>3763319.7980000004</v>
      </c>
      <c r="O24" s="151"/>
      <c r="R24" s="122" t="s">
        <v>148</v>
      </c>
      <c r="S24" s="120" t="s">
        <v>156</v>
      </c>
    </row>
    <row r="25" spans="1:20" ht="19.5" customHeight="1">
      <c r="A25" s="52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8"/>
    </row>
    <row r="26" spans="1:20" s="49" customFormat="1" ht="19.5" customHeight="1">
      <c r="A26" s="60" t="s">
        <v>110</v>
      </c>
      <c r="B26" s="111">
        <f t="shared" ref="B26:K26" si="7">B27+B30+B33</f>
        <v>2279773.5700000003</v>
      </c>
      <c r="C26" s="111">
        <f t="shared" si="7"/>
        <v>1654732.6</v>
      </c>
      <c r="D26" s="111">
        <f t="shared" si="7"/>
        <v>1443869.96</v>
      </c>
      <c r="E26" s="111">
        <f t="shared" si="7"/>
        <v>1448310.5499999998</v>
      </c>
      <c r="F26" s="111">
        <f t="shared" si="7"/>
        <v>1770225.1600000001</v>
      </c>
      <c r="G26" s="111">
        <f t="shared" si="7"/>
        <v>1562384.03</v>
      </c>
      <c r="H26" s="111">
        <f t="shared" si="7"/>
        <v>1518147.57</v>
      </c>
      <c r="I26" s="111">
        <f>I27+I30+I33</f>
        <v>1651419.9899999998</v>
      </c>
      <c r="J26" s="111">
        <f t="shared" si="7"/>
        <v>1525764.7</v>
      </c>
      <c r="K26" s="111">
        <f t="shared" si="7"/>
        <v>1600239.46</v>
      </c>
      <c r="L26" s="111">
        <f>L27+L30+L33</f>
        <v>1779211.13</v>
      </c>
      <c r="M26" s="111">
        <f>M27+M30+M33</f>
        <v>2030135.72</v>
      </c>
      <c r="N26" s="175">
        <f>SUM(B26:M26)</f>
        <v>20264214.439999998</v>
      </c>
      <c r="O26" s="163">
        <f>N26*70%</f>
        <v>14184950.107999997</v>
      </c>
      <c r="R26" s="62" t="s">
        <v>146</v>
      </c>
      <c r="S26" s="43">
        <f>S17/S11</f>
        <v>0.86543186768605862</v>
      </c>
    </row>
    <row r="27" spans="1:20" s="49" customFormat="1" ht="19.5" customHeight="1">
      <c r="A27" s="60" t="s">
        <v>111</v>
      </c>
      <c r="B27" s="111">
        <f t="shared" ref="B27:L27" si="8">B28+B29</f>
        <v>942633.53</v>
      </c>
      <c r="C27" s="111">
        <f t="shared" si="8"/>
        <v>1287082.73</v>
      </c>
      <c r="D27" s="111">
        <f t="shared" si="8"/>
        <v>1042797.37</v>
      </c>
      <c r="E27" s="111">
        <f t="shared" si="8"/>
        <v>1056898.5799999998</v>
      </c>
      <c r="F27" s="111">
        <f t="shared" si="8"/>
        <v>1301239.9600000002</v>
      </c>
      <c r="G27" s="111">
        <f t="shared" si="8"/>
        <v>1060671.96</v>
      </c>
      <c r="H27" s="111">
        <f t="shared" si="8"/>
        <v>1016435.5</v>
      </c>
      <c r="I27" s="111">
        <f t="shared" si="8"/>
        <v>1117478.8399999999</v>
      </c>
      <c r="J27" s="111">
        <f t="shared" si="8"/>
        <v>971564.43</v>
      </c>
      <c r="K27" s="111">
        <f t="shared" si="8"/>
        <v>1043204.97</v>
      </c>
      <c r="L27" s="111">
        <f t="shared" si="8"/>
        <v>1222176.6399999999</v>
      </c>
      <c r="M27" s="111">
        <f>M28+M29</f>
        <v>1473101.23</v>
      </c>
      <c r="N27" s="175">
        <f>SUM(B27:M27)</f>
        <v>13535285.74</v>
      </c>
      <c r="O27" s="163">
        <f>O26-N44-N54</f>
        <v>-3786309.9519999982</v>
      </c>
      <c r="R27" s="38"/>
      <c r="S27" s="38"/>
    </row>
    <row r="28" spans="1:20" ht="19.5" customHeight="1">
      <c r="A28" s="63" t="s">
        <v>112</v>
      </c>
      <c r="B28" s="161">
        <f>RECEITAS!B45</f>
        <v>937580.01</v>
      </c>
      <c r="C28" s="161">
        <f>RECEITAS!C45</f>
        <v>1275209.46</v>
      </c>
      <c r="D28" s="161">
        <f>RECEITAS!D45</f>
        <v>1031496.9</v>
      </c>
      <c r="E28" s="161">
        <f>RECEITAS!E45</f>
        <v>1050002.2</v>
      </c>
      <c r="F28" s="161">
        <f>RECEITAS!F45</f>
        <v>1293468.0900000001</v>
      </c>
      <c r="G28" s="161">
        <f>RECEITAS!G45</f>
        <v>1058222.72</v>
      </c>
      <c r="H28" s="161">
        <f>RECEITAS!H45</f>
        <v>1014047.92</v>
      </c>
      <c r="I28" s="161">
        <f>RECEITAS!I45</f>
        <v>1114683.17</v>
      </c>
      <c r="J28" s="161">
        <f>RECEITAS!J45</f>
        <v>971564.43</v>
      </c>
      <c r="K28" s="161">
        <f>RECEITAS!K45</f>
        <v>1043204.97</v>
      </c>
      <c r="L28" s="161">
        <f>RECEITAS!L45</f>
        <v>1222176.6399999999</v>
      </c>
      <c r="M28" s="161">
        <f>RECEITAS!M45</f>
        <v>1473101.23</v>
      </c>
      <c r="N28" s="175">
        <f>SUM(B28:M28)</f>
        <v>13484757.74</v>
      </c>
      <c r="O28" s="163"/>
      <c r="R28" s="62" t="s">
        <v>337</v>
      </c>
      <c r="S28" s="43">
        <f>C68/N33</f>
        <v>0.93044251339664386</v>
      </c>
    </row>
    <row r="29" spans="1:20" ht="19.5" customHeight="1">
      <c r="A29" s="63" t="s">
        <v>113</v>
      </c>
      <c r="B29" s="161">
        <f>RECEITAS!B46</f>
        <v>5053.5199999999995</v>
      </c>
      <c r="C29" s="161">
        <f>RECEITAS!C46</f>
        <v>11873.27</v>
      </c>
      <c r="D29" s="161">
        <f>RECEITAS!D46</f>
        <v>11300.47</v>
      </c>
      <c r="E29" s="161">
        <f>RECEITAS!E46</f>
        <v>6896.38</v>
      </c>
      <c r="F29" s="161">
        <f>RECEITAS!F46</f>
        <v>7771.8700000000008</v>
      </c>
      <c r="G29" s="161">
        <f>RECEITAS!G46</f>
        <v>2449.2400000000002</v>
      </c>
      <c r="H29" s="161">
        <f>RECEITAS!H46</f>
        <v>2387.58</v>
      </c>
      <c r="I29" s="161">
        <f>RECEITAS!I46</f>
        <v>2795.67</v>
      </c>
      <c r="J29" s="161">
        <f>RECEITAS!J46</f>
        <v>0</v>
      </c>
      <c r="K29" s="161">
        <f>RECEITAS!K46</f>
        <v>0</v>
      </c>
      <c r="L29" s="161">
        <f>RECEITAS!L46</f>
        <v>0</v>
      </c>
      <c r="M29" s="161">
        <f>RECEITAS!M46</f>
        <v>0</v>
      </c>
      <c r="N29" s="175">
        <f>SUM(B29:M29)</f>
        <v>50528</v>
      </c>
      <c r="O29" s="163"/>
    </row>
    <row r="30" spans="1:20" s="49" customFormat="1" ht="19.5" customHeight="1">
      <c r="A30" s="60" t="s">
        <v>114</v>
      </c>
      <c r="B30" s="111">
        <f t="shared" ref="B30:F30" si="9">B31+B32</f>
        <v>878133.38</v>
      </c>
      <c r="C30" s="111">
        <f t="shared" si="9"/>
        <v>218801.35</v>
      </c>
      <c r="D30" s="111">
        <f t="shared" si="9"/>
        <v>238692.38</v>
      </c>
      <c r="E30" s="111">
        <f t="shared" si="9"/>
        <v>222011.43</v>
      </c>
      <c r="F30" s="111">
        <f t="shared" si="9"/>
        <v>278900.57</v>
      </c>
      <c r="G30" s="175">
        <f>RECEITAS!G47</f>
        <v>298083.08</v>
      </c>
      <c r="H30" s="175">
        <f>RECEITAS!H47</f>
        <v>298083.08</v>
      </c>
      <c r="I30" s="175">
        <f>RECEITAS!I47</f>
        <v>317231.40000000002</v>
      </c>
      <c r="J30" s="175">
        <f>RECEITAS!J47</f>
        <v>338792.97</v>
      </c>
      <c r="K30" s="175">
        <f>RECEITAS!K47</f>
        <v>341628.49</v>
      </c>
      <c r="L30" s="175">
        <f>RECEITAS!L47</f>
        <v>341628.49</v>
      </c>
      <c r="M30" s="175">
        <f>RECEITAS!M47</f>
        <v>341628.49</v>
      </c>
      <c r="N30" s="175">
        <f t="shared" ref="N30:N35" si="10">SUM(B30:M30)</f>
        <v>4113615.1100000003</v>
      </c>
      <c r="O30" s="163"/>
      <c r="R30" s="62" t="s">
        <v>338</v>
      </c>
      <c r="S30" s="43">
        <f>C69/N33</f>
        <v>0.16593157763539937</v>
      </c>
    </row>
    <row r="31" spans="1:20" ht="19.5" customHeight="1">
      <c r="A31" s="63" t="s">
        <v>115</v>
      </c>
      <c r="B31" s="161">
        <f>RECEITAS!B48</f>
        <v>878133.38</v>
      </c>
      <c r="C31" s="161">
        <f>RECEITAS!C48</f>
        <v>218801.35</v>
      </c>
      <c r="D31" s="161">
        <f>RECEITAS!D48</f>
        <v>238692.38</v>
      </c>
      <c r="E31" s="161">
        <f>RECEITAS!E48</f>
        <v>222011.43</v>
      </c>
      <c r="F31" s="161">
        <f>RECEITAS!F48</f>
        <v>278900.57</v>
      </c>
      <c r="G31" s="161">
        <f>RECEITAS!G48</f>
        <v>298083.08</v>
      </c>
      <c r="H31" s="161">
        <f>RECEITAS!H48</f>
        <v>298083.08</v>
      </c>
      <c r="I31" s="161">
        <f>RECEITAS!I48</f>
        <v>317231.40000000002</v>
      </c>
      <c r="J31" s="161">
        <f>RECEITAS!J48</f>
        <v>338792.97</v>
      </c>
      <c r="K31" s="161">
        <f>RECEITAS!K48</f>
        <v>341628.49</v>
      </c>
      <c r="L31" s="161">
        <f>RECEITAS!L48</f>
        <v>341628.49</v>
      </c>
      <c r="M31" s="161">
        <f>RECEITAS!M48</f>
        <v>341628.49</v>
      </c>
      <c r="N31" s="175">
        <f t="shared" si="10"/>
        <v>4113615.1100000003</v>
      </c>
      <c r="O31" s="168"/>
    </row>
    <row r="32" spans="1:20" ht="19.5" customHeight="1">
      <c r="A32" s="63" t="s">
        <v>116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75">
        <f t="shared" si="10"/>
        <v>0</v>
      </c>
      <c r="O32" s="168"/>
      <c r="R32" s="62" t="s">
        <v>339</v>
      </c>
      <c r="S32" s="43">
        <f>SUM(S19/S9)</f>
        <v>1.0504131318906162</v>
      </c>
    </row>
    <row r="33" spans="1:20" s="49" customFormat="1" ht="19.5" customHeight="1">
      <c r="A33" s="60" t="s">
        <v>117</v>
      </c>
      <c r="B33" s="111">
        <f t="shared" ref="B33:E33" si="11">B34+B35</f>
        <v>459006.66</v>
      </c>
      <c r="C33" s="111">
        <f t="shared" si="11"/>
        <v>148848.51999999999</v>
      </c>
      <c r="D33" s="111">
        <f t="shared" si="11"/>
        <v>162380.21</v>
      </c>
      <c r="E33" s="111">
        <f t="shared" si="11"/>
        <v>169400.54</v>
      </c>
      <c r="F33" s="111">
        <f t="shared" ref="F33:M33" si="12">F34+F35</f>
        <v>190084.63</v>
      </c>
      <c r="G33" s="111">
        <f t="shared" si="12"/>
        <v>203628.99</v>
      </c>
      <c r="H33" s="111">
        <f t="shared" si="12"/>
        <v>203628.99</v>
      </c>
      <c r="I33" s="111">
        <f t="shared" si="12"/>
        <v>216709.75</v>
      </c>
      <c r="J33" s="111">
        <f t="shared" si="12"/>
        <v>215407.3</v>
      </c>
      <c r="K33" s="111">
        <f t="shared" si="12"/>
        <v>215406</v>
      </c>
      <c r="L33" s="111">
        <f t="shared" si="12"/>
        <v>215406</v>
      </c>
      <c r="M33" s="111">
        <f t="shared" si="12"/>
        <v>215406</v>
      </c>
      <c r="N33" s="175">
        <f>SUM(B33:M33)</f>
        <v>2615313.59</v>
      </c>
      <c r="O33" s="163"/>
      <c r="R33" s="38"/>
      <c r="S33" s="38"/>
    </row>
    <row r="34" spans="1:20" ht="19.5" customHeight="1">
      <c r="A34" s="63" t="s">
        <v>118</v>
      </c>
      <c r="B34" s="161">
        <f>RECEITAS!B51</f>
        <v>459006.66</v>
      </c>
      <c r="C34" s="161">
        <f>RECEITAS!C51</f>
        <v>148848.51999999999</v>
      </c>
      <c r="D34" s="161">
        <f>RECEITAS!D51</f>
        <v>162380.21</v>
      </c>
      <c r="E34" s="161">
        <f>RECEITAS!E51</f>
        <v>169400.54</v>
      </c>
      <c r="F34" s="161">
        <f>RECEITAS!F51</f>
        <v>190084.63</v>
      </c>
      <c r="G34" s="161">
        <f>RECEITAS!G51</f>
        <v>203628.99</v>
      </c>
      <c r="H34" s="161">
        <f>RECEITAS!H51</f>
        <v>203628.99</v>
      </c>
      <c r="I34" s="161">
        <f>RECEITAS!I51</f>
        <v>216709.75</v>
      </c>
      <c r="J34" s="161">
        <f>RECEITAS!J51</f>
        <v>215407.3</v>
      </c>
      <c r="K34" s="161">
        <f>RECEITAS!K51</f>
        <v>215406</v>
      </c>
      <c r="L34" s="161">
        <f>RECEITAS!L51</f>
        <v>215406</v>
      </c>
      <c r="M34" s="161">
        <f>RECEITAS!M51</f>
        <v>215406</v>
      </c>
      <c r="N34" s="175">
        <f t="shared" si="10"/>
        <v>2615313.59</v>
      </c>
      <c r="O34" s="163">
        <f>N34*15%</f>
        <v>392297.03849999997</v>
      </c>
      <c r="R34" s="127" t="s">
        <v>151</v>
      </c>
      <c r="S34" s="128">
        <f>SUM(S8+S19)/S6</f>
        <v>0.25406870071060467</v>
      </c>
      <c r="T34" s="194">
        <f>S8+S19</f>
        <v>12042154.93</v>
      </c>
    </row>
    <row r="35" spans="1:20" ht="16.5" customHeight="1">
      <c r="A35" s="63" t="s">
        <v>119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75">
        <f t="shared" si="10"/>
        <v>0</v>
      </c>
      <c r="O35" s="163">
        <f>O34-N54</f>
        <v>-41666.07150000002</v>
      </c>
    </row>
    <row r="36" spans="1:20" ht="9" customHeight="1">
      <c r="A36" s="60"/>
      <c r="B36" s="161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207"/>
      <c r="O36" s="163"/>
    </row>
    <row r="37" spans="1:20" s="49" customFormat="1" ht="18" customHeight="1">
      <c r="A37" s="60" t="s">
        <v>120</v>
      </c>
      <c r="B37" s="111">
        <f>B28-B22</f>
        <v>265945.59999999998</v>
      </c>
      <c r="C37" s="111">
        <f>C28-C22</f>
        <v>414314.88</v>
      </c>
      <c r="D37" s="111">
        <f>D28-D22</f>
        <v>453747.48</v>
      </c>
      <c r="E37" s="111">
        <f t="shared" ref="E37:M37" si="13">E28-E22</f>
        <v>402893.74</v>
      </c>
      <c r="F37" s="111">
        <f t="shared" si="13"/>
        <v>538885.50000000012</v>
      </c>
      <c r="G37" s="111">
        <f t="shared" si="13"/>
        <v>390473.76</v>
      </c>
      <c r="H37" s="111">
        <f t="shared" si="13"/>
        <v>474971.36</v>
      </c>
      <c r="I37" s="111">
        <f t="shared" si="13"/>
        <v>500093.3899999999</v>
      </c>
      <c r="J37" s="111">
        <f t="shared" si="13"/>
        <v>424574.51</v>
      </c>
      <c r="K37" s="111">
        <f t="shared" si="13"/>
        <v>421874.5</v>
      </c>
      <c r="L37" s="111">
        <f t="shared" si="13"/>
        <v>530810.95999999985</v>
      </c>
      <c r="M37" s="111">
        <f t="shared" si="13"/>
        <v>642158.87</v>
      </c>
      <c r="N37" s="222">
        <f>SUM(B37:M37)</f>
        <v>5460744.5499999998</v>
      </c>
      <c r="O37" s="163"/>
    </row>
    <row r="38" spans="1:20" s="49" customFormat="1" ht="18" customHeight="1">
      <c r="A38" s="52"/>
      <c r="B38" s="66"/>
      <c r="C38" s="66"/>
      <c r="D38" s="66"/>
      <c r="E38" s="66"/>
      <c r="F38" s="66"/>
      <c r="G38" s="66"/>
      <c r="H38" s="66"/>
      <c r="J38" s="66"/>
      <c r="K38" s="66"/>
      <c r="L38" s="66"/>
      <c r="M38" s="66"/>
      <c r="N38" s="66"/>
      <c r="O38" s="67"/>
      <c r="P38" s="163"/>
      <c r="R38" s="49" t="s">
        <v>192</v>
      </c>
      <c r="S38" s="195">
        <f>S17+S18-S13</f>
        <v>14260027.439999998</v>
      </c>
    </row>
    <row r="39" spans="1:20" s="49" customFormat="1" ht="18" customHeight="1">
      <c r="A39" s="52" t="s">
        <v>28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7"/>
      <c r="P39" s="58"/>
      <c r="R39" s="49" t="s">
        <v>193</v>
      </c>
      <c r="S39" s="196">
        <f>S8</f>
        <v>8024013.1900000004</v>
      </c>
    </row>
    <row r="40" spans="1:20" s="49" customFormat="1" ht="18" customHeight="1">
      <c r="A40" s="350" t="s">
        <v>144</v>
      </c>
      <c r="B40" s="351"/>
      <c r="C40" s="351"/>
      <c r="D40" s="351"/>
      <c r="E40" s="351"/>
      <c r="F40" s="351"/>
      <c r="G40" s="351"/>
      <c r="H40" s="351"/>
      <c r="I40" s="351"/>
      <c r="J40" s="352"/>
      <c r="K40" s="157"/>
      <c r="L40" s="157"/>
      <c r="M40" s="157"/>
      <c r="N40" s="157"/>
      <c r="O40" s="114" t="s">
        <v>108</v>
      </c>
      <c r="P40" s="114" t="s">
        <v>7</v>
      </c>
      <c r="R40" s="49" t="s">
        <v>194</v>
      </c>
      <c r="S40" s="196">
        <f>S19</f>
        <v>4018141.74</v>
      </c>
    </row>
    <row r="41" spans="1:20" s="49" customFormat="1" ht="18" customHeight="1">
      <c r="A41" s="158"/>
      <c r="B41" s="159" t="s">
        <v>29</v>
      </c>
      <c r="C41" s="159" t="s">
        <v>30</v>
      </c>
      <c r="D41" s="159" t="s">
        <v>31</v>
      </c>
      <c r="E41" s="159" t="s">
        <v>32</v>
      </c>
      <c r="F41" s="159" t="s">
        <v>33</v>
      </c>
      <c r="G41" s="159" t="s">
        <v>34</v>
      </c>
      <c r="H41" s="159" t="s">
        <v>35</v>
      </c>
      <c r="I41" s="159" t="s">
        <v>36</v>
      </c>
      <c r="J41" s="159" t="s">
        <v>37</v>
      </c>
      <c r="K41" s="159" t="s">
        <v>38</v>
      </c>
      <c r="L41" s="159" t="s">
        <v>39</v>
      </c>
      <c r="M41" s="159" t="s">
        <v>40</v>
      </c>
      <c r="N41" s="114"/>
      <c r="O41" s="114"/>
    </row>
    <row r="42" spans="1:20" s="49" customFormat="1" ht="18" customHeight="1">
      <c r="A42" s="110" t="s">
        <v>155</v>
      </c>
      <c r="B42" s="112">
        <f t="shared" ref="B42:D42" si="14">B43+B56</f>
        <v>1454320.22</v>
      </c>
      <c r="C42" s="112">
        <f t="shared" si="14"/>
        <v>1967073.7799999998</v>
      </c>
      <c r="D42" s="112">
        <f t="shared" si="14"/>
        <v>2101283.7799999998</v>
      </c>
      <c r="E42" s="112">
        <f t="shared" ref="E42:N42" si="15">E43+E56</f>
        <v>1857789.56</v>
      </c>
      <c r="F42" s="112">
        <f t="shared" si="15"/>
        <v>2255550.23</v>
      </c>
      <c r="G42" s="112">
        <f t="shared" si="15"/>
        <v>2819560.84</v>
      </c>
      <c r="H42" s="112">
        <f t="shared" si="15"/>
        <v>2087508.3599999996</v>
      </c>
      <c r="I42" s="112">
        <f t="shared" si="15"/>
        <v>1742170.24</v>
      </c>
      <c r="J42" s="112">
        <f t="shared" si="15"/>
        <v>1793509.4900000002</v>
      </c>
      <c r="K42" s="112">
        <f t="shared" si="15"/>
        <v>1867369.61</v>
      </c>
      <c r="L42" s="112">
        <f t="shared" si="15"/>
        <v>1841818.1</v>
      </c>
      <c r="M42" s="112">
        <f t="shared" si="15"/>
        <v>3219143.67</v>
      </c>
      <c r="N42" s="112">
        <f t="shared" si="15"/>
        <v>25007097.880000003</v>
      </c>
      <c r="O42" s="110"/>
      <c r="R42" s="49" t="s">
        <v>195</v>
      </c>
      <c r="S42" s="195">
        <f>SUM(S38:S41)</f>
        <v>26302182.369999997</v>
      </c>
    </row>
    <row r="43" spans="1:20" s="49" customFormat="1" ht="18" customHeight="1">
      <c r="A43" s="179" t="s">
        <v>210</v>
      </c>
      <c r="B43" s="111">
        <f>B44+B49</f>
        <v>1440023.8699999999</v>
      </c>
      <c r="C43" s="111">
        <f t="shared" ref="C43:M43" si="16">C44+C49</f>
        <v>1866160.7799999998</v>
      </c>
      <c r="D43" s="111">
        <f t="shared" si="16"/>
        <v>1805474.3699999999</v>
      </c>
      <c r="E43" s="111">
        <f t="shared" si="16"/>
        <v>1642705.6400000001</v>
      </c>
      <c r="F43" s="111">
        <f t="shared" si="16"/>
        <v>1969548.96</v>
      </c>
      <c r="G43" s="111">
        <f t="shared" si="16"/>
        <v>1754888.8699999999</v>
      </c>
      <c r="H43" s="111">
        <f t="shared" si="16"/>
        <v>1727452.6999999997</v>
      </c>
      <c r="I43" s="111">
        <f t="shared" si="16"/>
        <v>1625182.67</v>
      </c>
      <c r="J43" s="111">
        <f t="shared" si="16"/>
        <v>1139333.06</v>
      </c>
      <c r="K43" s="111">
        <f t="shared" si="16"/>
        <v>1653665.82</v>
      </c>
      <c r="L43" s="111">
        <f t="shared" si="16"/>
        <v>1695374.23</v>
      </c>
      <c r="M43" s="111">
        <f t="shared" si="16"/>
        <v>2669145.17</v>
      </c>
      <c r="N43" s="222">
        <f>SUM(B43:M43)</f>
        <v>20988956.140000001</v>
      </c>
      <c r="O43" s="57"/>
    </row>
    <row r="44" spans="1:20" ht="18" customHeight="1">
      <c r="A44" s="180" t="s">
        <v>335</v>
      </c>
      <c r="B44" s="181">
        <f>SUM(B45:B48)</f>
        <v>1308190.0799999998</v>
      </c>
      <c r="C44" s="181">
        <f t="shared" ref="C44:M44" si="17">SUM(C45:C48)</f>
        <v>1690893.3199999998</v>
      </c>
      <c r="D44" s="181">
        <f t="shared" si="17"/>
        <v>1628038.47</v>
      </c>
      <c r="E44" s="181">
        <f t="shared" si="17"/>
        <v>1337503.7000000002</v>
      </c>
      <c r="F44" s="181">
        <f t="shared" si="17"/>
        <v>1674116.59</v>
      </c>
      <c r="G44" s="181">
        <f t="shared" si="17"/>
        <v>1497938.42</v>
      </c>
      <c r="H44" s="181">
        <f t="shared" si="17"/>
        <v>1526647.8299999998</v>
      </c>
      <c r="I44" s="181">
        <f t="shared" si="17"/>
        <v>1334875.67</v>
      </c>
      <c r="J44" s="181">
        <f t="shared" si="17"/>
        <v>959944.42999999993</v>
      </c>
      <c r="K44" s="181">
        <f t="shared" si="17"/>
        <v>1352163.76</v>
      </c>
      <c r="L44" s="181">
        <f t="shared" si="17"/>
        <v>1363886.51</v>
      </c>
      <c r="M44" s="181">
        <f t="shared" si="17"/>
        <v>1863098.17</v>
      </c>
      <c r="N44" s="223">
        <f>SUM(B44:M44)</f>
        <v>17537296.949999996</v>
      </c>
      <c r="O44" s="184">
        <f>N44/N26</f>
        <v>0.86543186768605862</v>
      </c>
      <c r="R44" s="172"/>
    </row>
    <row r="45" spans="1:20" ht="18" customHeight="1">
      <c r="A45" s="63" t="s">
        <v>201</v>
      </c>
      <c r="B45" s="156">
        <v>705519.36</v>
      </c>
      <c r="C45" s="156">
        <v>1105159.43</v>
      </c>
      <c r="D45" s="161">
        <v>879011.88</v>
      </c>
      <c r="E45" s="156">
        <v>726844.05</v>
      </c>
      <c r="F45" s="156">
        <v>1386281.03</v>
      </c>
      <c r="G45" s="156">
        <v>870317.87</v>
      </c>
      <c r="H45" s="156">
        <v>810013.44</v>
      </c>
      <c r="I45" s="156">
        <v>1040239.46</v>
      </c>
      <c r="J45" s="156">
        <v>913942.03</v>
      </c>
      <c r="K45" s="197">
        <v>734888.39</v>
      </c>
      <c r="L45" s="156">
        <v>930878.15</v>
      </c>
      <c r="M45" s="224">
        <v>1703950.01</v>
      </c>
      <c r="N45" s="223">
        <f t="shared" ref="N45:N54" si="18">SUM(B45:M45)</f>
        <v>11807045.100000001</v>
      </c>
      <c r="O45" s="43"/>
      <c r="R45" s="172"/>
    </row>
    <row r="46" spans="1:20" ht="18" customHeight="1">
      <c r="A46" s="63" t="s">
        <v>202</v>
      </c>
      <c r="B46" s="156">
        <v>481818.57</v>
      </c>
      <c r="C46" s="156">
        <v>465903.98</v>
      </c>
      <c r="D46" s="161">
        <v>597783.34</v>
      </c>
      <c r="E46" s="156">
        <v>488461.61</v>
      </c>
      <c r="F46" s="156">
        <v>92269.58</v>
      </c>
      <c r="G46" s="156">
        <v>0</v>
      </c>
      <c r="H46" s="156">
        <v>514437.18</v>
      </c>
      <c r="I46" s="156">
        <v>11213.31</v>
      </c>
      <c r="J46" s="156">
        <v>27692.44</v>
      </c>
      <c r="K46" s="197">
        <v>295837.78000000003</v>
      </c>
      <c r="L46" s="156">
        <v>315187.39</v>
      </c>
      <c r="M46" s="224">
        <v>6247.72</v>
      </c>
      <c r="N46" s="223">
        <f t="shared" si="18"/>
        <v>3296852.9000000004</v>
      </c>
      <c r="O46" s="43"/>
      <c r="R46" s="172"/>
    </row>
    <row r="47" spans="1:20" ht="18" customHeight="1">
      <c r="A47" s="63" t="s">
        <v>203</v>
      </c>
      <c r="B47" s="156">
        <v>0</v>
      </c>
      <c r="C47" s="156">
        <v>0</v>
      </c>
      <c r="D47" s="161">
        <v>0</v>
      </c>
      <c r="E47" s="156">
        <v>0</v>
      </c>
      <c r="F47" s="156">
        <v>0</v>
      </c>
      <c r="G47" s="156">
        <v>0</v>
      </c>
      <c r="H47" s="156"/>
      <c r="I47" s="156"/>
      <c r="J47" s="156"/>
      <c r="K47" s="156"/>
      <c r="L47" s="156"/>
      <c r="M47" s="224"/>
      <c r="N47" s="223">
        <f t="shared" si="18"/>
        <v>0</v>
      </c>
      <c r="O47" s="43"/>
      <c r="R47" s="172"/>
    </row>
    <row r="48" spans="1:20" ht="18" customHeight="1">
      <c r="A48" s="63" t="s">
        <v>211</v>
      </c>
      <c r="B48" s="156">
        <v>120852.15</v>
      </c>
      <c r="C48" s="156">
        <v>119829.91</v>
      </c>
      <c r="D48" s="161">
        <v>151243.25</v>
      </c>
      <c r="E48" s="156">
        <v>122198.04</v>
      </c>
      <c r="F48" s="156">
        <v>195565.98</v>
      </c>
      <c r="G48" s="156">
        <v>627620.55000000005</v>
      </c>
      <c r="H48" s="156">
        <v>202197.21</v>
      </c>
      <c r="I48" s="156">
        <v>283422.90000000002</v>
      </c>
      <c r="J48" s="156">
        <v>18309.96</v>
      </c>
      <c r="K48" s="197">
        <v>321437.59000000003</v>
      </c>
      <c r="L48" s="156">
        <v>117820.97</v>
      </c>
      <c r="M48" s="224">
        <v>152900.44</v>
      </c>
      <c r="N48" s="223">
        <f t="shared" si="18"/>
        <v>2433398.9499999997</v>
      </c>
      <c r="O48" s="43"/>
      <c r="R48" s="172"/>
    </row>
    <row r="49" spans="1:18" ht="18" customHeight="1">
      <c r="A49" s="180" t="s">
        <v>336</v>
      </c>
      <c r="B49" s="181">
        <f>SUM(B50:B54)</f>
        <v>131833.79</v>
      </c>
      <c r="C49" s="181">
        <f t="shared" ref="C49:M49" si="19">SUM(C50:C54)</f>
        <v>175267.46</v>
      </c>
      <c r="D49" s="181">
        <f t="shared" si="19"/>
        <v>177435.9</v>
      </c>
      <c r="E49" s="181">
        <f t="shared" si="19"/>
        <v>305201.94</v>
      </c>
      <c r="F49" s="181">
        <f t="shared" si="19"/>
        <v>295432.37</v>
      </c>
      <c r="G49" s="181">
        <f t="shared" si="19"/>
        <v>256950.45</v>
      </c>
      <c r="H49" s="181">
        <f t="shared" si="19"/>
        <v>200804.87</v>
      </c>
      <c r="I49" s="181">
        <f t="shared" si="19"/>
        <v>290307</v>
      </c>
      <c r="J49" s="181">
        <f t="shared" si="19"/>
        <v>179388.63</v>
      </c>
      <c r="K49" s="181">
        <f t="shared" si="19"/>
        <v>301502.06</v>
      </c>
      <c r="L49" s="181">
        <f t="shared" si="19"/>
        <v>331487.72000000003</v>
      </c>
      <c r="M49" s="181">
        <f t="shared" si="19"/>
        <v>806047</v>
      </c>
      <c r="N49" s="223">
        <f t="shared" si="18"/>
        <v>3451659.19</v>
      </c>
      <c r="O49" s="182">
        <f>N49/N26</f>
        <v>0.17033274101100562</v>
      </c>
      <c r="Q49" s="164"/>
    </row>
    <row r="50" spans="1:18" ht="18" customHeight="1">
      <c r="A50" s="63" t="s">
        <v>204</v>
      </c>
      <c r="B50" s="156">
        <v>131833.79</v>
      </c>
      <c r="C50" s="156">
        <v>175267.46</v>
      </c>
      <c r="D50" s="161">
        <v>177435.9</v>
      </c>
      <c r="E50" s="156">
        <v>144584.46</v>
      </c>
      <c r="F50" s="156">
        <v>191666.93</v>
      </c>
      <c r="G50" s="156">
        <v>256950.45</v>
      </c>
      <c r="H50" s="156">
        <v>160165.82</v>
      </c>
      <c r="I50" s="197">
        <v>146429.60999999999</v>
      </c>
      <c r="J50" s="197">
        <v>20006.400000000001</v>
      </c>
      <c r="K50" s="197">
        <v>153632.12</v>
      </c>
      <c r="L50" s="156">
        <v>153158.16</v>
      </c>
      <c r="M50" s="224">
        <v>383438.45</v>
      </c>
      <c r="N50" s="223">
        <f t="shared" si="18"/>
        <v>2094569.5499999998</v>
      </c>
      <c r="O50" s="43"/>
      <c r="Q50" s="164"/>
    </row>
    <row r="51" spans="1:18" ht="18" customHeight="1">
      <c r="A51" s="63" t="s">
        <v>205</v>
      </c>
      <c r="B51" s="156">
        <v>0</v>
      </c>
      <c r="C51" s="156">
        <v>0</v>
      </c>
      <c r="D51" s="161">
        <v>0</v>
      </c>
      <c r="E51" s="156">
        <v>160617.48000000001</v>
      </c>
      <c r="F51" s="156">
        <v>103765.44</v>
      </c>
      <c r="G51" s="156">
        <v>0</v>
      </c>
      <c r="H51" s="156">
        <v>40639.050000000003</v>
      </c>
      <c r="I51" s="197">
        <v>143877.39000000001</v>
      </c>
      <c r="J51" s="197">
        <v>159382.23000000001</v>
      </c>
      <c r="K51" s="197">
        <v>147869.94</v>
      </c>
      <c r="L51" s="156">
        <v>166975</v>
      </c>
      <c r="M51" s="224"/>
      <c r="N51" s="223">
        <f t="shared" si="18"/>
        <v>923126.53</v>
      </c>
      <c r="O51" s="43"/>
      <c r="Q51" s="164"/>
    </row>
    <row r="52" spans="1:18" ht="18" customHeight="1">
      <c r="A52" s="63" t="s">
        <v>208</v>
      </c>
      <c r="B52" s="156">
        <v>0</v>
      </c>
      <c r="C52" s="156">
        <v>0</v>
      </c>
      <c r="D52" s="161">
        <v>0</v>
      </c>
      <c r="E52" s="156">
        <v>0</v>
      </c>
      <c r="F52" s="156">
        <v>0</v>
      </c>
      <c r="G52" s="156">
        <v>0</v>
      </c>
      <c r="H52" s="156">
        <v>0</v>
      </c>
      <c r="I52" s="156">
        <v>0</v>
      </c>
      <c r="J52" s="156"/>
      <c r="K52" s="156"/>
      <c r="L52" s="156"/>
      <c r="M52" s="224"/>
      <c r="N52" s="223">
        <f t="shared" si="18"/>
        <v>0</v>
      </c>
      <c r="O52" s="43"/>
      <c r="Q52" s="164"/>
    </row>
    <row r="53" spans="1:18" ht="18" customHeight="1">
      <c r="A53" s="63" t="s">
        <v>207</v>
      </c>
      <c r="B53" s="156">
        <v>0</v>
      </c>
      <c r="C53" s="156">
        <v>0</v>
      </c>
      <c r="D53" s="161">
        <v>0</v>
      </c>
      <c r="E53" s="156">
        <v>0</v>
      </c>
      <c r="F53" s="156">
        <v>0</v>
      </c>
      <c r="G53" s="156">
        <v>0</v>
      </c>
      <c r="H53" s="156">
        <v>0</v>
      </c>
      <c r="I53" s="156">
        <v>0</v>
      </c>
      <c r="J53" s="156"/>
      <c r="K53" s="156"/>
      <c r="L53" s="156"/>
      <c r="M53" s="224"/>
      <c r="N53" s="223">
        <f t="shared" si="18"/>
        <v>0</v>
      </c>
      <c r="O53" s="43"/>
      <c r="Q53" s="164"/>
    </row>
    <row r="54" spans="1:18" ht="18" customHeight="1">
      <c r="A54" s="63" t="s">
        <v>206</v>
      </c>
      <c r="B54" s="156">
        <v>0</v>
      </c>
      <c r="C54" s="156">
        <v>0</v>
      </c>
      <c r="D54" s="161">
        <v>0</v>
      </c>
      <c r="E54" s="156">
        <v>0</v>
      </c>
      <c r="F54" s="156">
        <v>0</v>
      </c>
      <c r="G54" s="197">
        <v>0</v>
      </c>
      <c r="H54" s="156">
        <v>0</v>
      </c>
      <c r="I54" s="156">
        <v>0</v>
      </c>
      <c r="J54" s="156"/>
      <c r="K54" s="156"/>
      <c r="L54" s="224">
        <v>11354.56</v>
      </c>
      <c r="M54" s="296">
        <f>363822.75+58785.8</f>
        <v>422608.55</v>
      </c>
      <c r="N54" s="223">
        <f t="shared" si="18"/>
        <v>433963.11</v>
      </c>
      <c r="O54" s="43">
        <f>N54/N33</f>
        <v>0.16593157763539937</v>
      </c>
      <c r="Q54" s="164"/>
    </row>
    <row r="55" spans="1:18" s="49" customFormat="1" ht="9.75" customHeight="1">
      <c r="A55" s="52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6"/>
      <c r="O55" s="58"/>
    </row>
    <row r="56" spans="1:18" s="49" customFormat="1" ht="18" customHeight="1">
      <c r="A56" s="183" t="s">
        <v>145</v>
      </c>
      <c r="B56" s="181">
        <f>B57</f>
        <v>14296.35</v>
      </c>
      <c r="C56" s="181">
        <f t="shared" ref="C56:M56" si="20">C57</f>
        <v>100913</v>
      </c>
      <c r="D56" s="181">
        <f t="shared" si="20"/>
        <v>295809.40999999997</v>
      </c>
      <c r="E56" s="181">
        <f t="shared" si="20"/>
        <v>215083.92</v>
      </c>
      <c r="F56" s="181">
        <f t="shared" si="20"/>
        <v>286001.27</v>
      </c>
      <c r="G56" s="181">
        <f t="shared" si="20"/>
        <v>1064671.97</v>
      </c>
      <c r="H56" s="181">
        <f t="shared" si="20"/>
        <v>360055.66</v>
      </c>
      <c r="I56" s="181">
        <f t="shared" si="20"/>
        <v>116987.57</v>
      </c>
      <c r="J56" s="181">
        <f t="shared" si="20"/>
        <v>654176.43000000005</v>
      </c>
      <c r="K56" s="181">
        <f t="shared" si="20"/>
        <v>213703.79</v>
      </c>
      <c r="L56" s="181">
        <f t="shared" si="20"/>
        <v>146443.87</v>
      </c>
      <c r="M56" s="181">
        <f t="shared" si="20"/>
        <v>549998.5</v>
      </c>
      <c r="N56" s="223">
        <f>SUM(B56:M56)</f>
        <v>4018141.74</v>
      </c>
      <c r="O56" s="184"/>
      <c r="R56" s="172"/>
    </row>
    <row r="57" spans="1:18" s="49" customFormat="1" ht="18" customHeight="1">
      <c r="A57" s="63" t="s">
        <v>209</v>
      </c>
      <c r="B57" s="156">
        <v>14296.35</v>
      </c>
      <c r="C57" s="156">
        <v>100913</v>
      </c>
      <c r="D57" s="161">
        <v>295809.40999999997</v>
      </c>
      <c r="E57" s="156">
        <v>215083.92</v>
      </c>
      <c r="F57" s="156">
        <v>286001.27</v>
      </c>
      <c r="G57" s="224">
        <v>1064671.97</v>
      </c>
      <c r="H57" s="224">
        <v>360055.66</v>
      </c>
      <c r="I57" s="197">
        <v>116987.57</v>
      </c>
      <c r="J57" s="224">
        <v>654176.43000000005</v>
      </c>
      <c r="K57" s="224">
        <v>213703.79</v>
      </c>
      <c r="L57" s="224">
        <v>146443.87</v>
      </c>
      <c r="M57" s="224">
        <v>549998.5</v>
      </c>
      <c r="N57" s="222">
        <f>SUM(B57:M57)</f>
        <v>4018141.74</v>
      </c>
      <c r="O57" s="57">
        <f>N64</f>
        <v>0.25406870071060467</v>
      </c>
    </row>
    <row r="58" spans="1:18" ht="15">
      <c r="O58" s="38"/>
    </row>
    <row r="59" spans="1:18" ht="15">
      <c r="O59" s="38"/>
    </row>
    <row r="60" spans="1:18">
      <c r="K60" s="345" t="s">
        <v>212</v>
      </c>
      <c r="L60" s="345"/>
      <c r="M60" s="345"/>
      <c r="N60" s="345"/>
      <c r="O60" s="38"/>
    </row>
    <row r="61" spans="1:18">
      <c r="A61" s="190" t="s">
        <v>181</v>
      </c>
      <c r="B61" s="190" t="s">
        <v>182</v>
      </c>
      <c r="C61" s="190" t="s">
        <v>183</v>
      </c>
      <c r="D61" s="190" t="s">
        <v>217</v>
      </c>
      <c r="E61" s="190" t="s">
        <v>184</v>
      </c>
      <c r="J61" s="3"/>
      <c r="K61" s="344" t="s">
        <v>257</v>
      </c>
      <c r="L61" s="344"/>
      <c r="M61" s="344"/>
      <c r="N61" s="185">
        <f>N22</f>
        <v>8024013.1900000004</v>
      </c>
    </row>
    <row r="62" spans="1:18">
      <c r="K62" s="344" t="s">
        <v>258</v>
      </c>
      <c r="L62" s="344"/>
      <c r="M62" s="344"/>
      <c r="N62" s="185">
        <f>N57</f>
        <v>4018141.74</v>
      </c>
    </row>
    <row r="63" spans="1:18">
      <c r="A63" s="62" t="str">
        <f>A27</f>
        <v>6.1- FUNDEB - Impostos e Transferências de Impostos</v>
      </c>
      <c r="B63" s="64">
        <f>N27</f>
        <v>13535285.74</v>
      </c>
      <c r="C63" s="64">
        <f>N45+N50</f>
        <v>13901614.650000002</v>
      </c>
      <c r="D63" s="43">
        <f>C63/B63</f>
        <v>1.0270647341354171</v>
      </c>
      <c r="E63" s="64">
        <f>B63-C63</f>
        <v>-366328.91000000201</v>
      </c>
      <c r="G63" s="170"/>
      <c r="J63" s="160"/>
      <c r="K63" s="344" t="s">
        <v>174</v>
      </c>
      <c r="L63" s="344"/>
      <c r="M63" s="344"/>
      <c r="N63" s="186">
        <f>SUM(N61:N62)</f>
        <v>12042154.93</v>
      </c>
      <c r="O63" s="227"/>
      <c r="P63" s="150">
        <v>23950</v>
      </c>
    </row>
    <row r="64" spans="1:18">
      <c r="D64" s="113"/>
      <c r="E64" s="65"/>
      <c r="K64" s="347" t="s">
        <v>216</v>
      </c>
      <c r="L64" s="348"/>
      <c r="M64" s="349"/>
      <c r="N64" s="57">
        <f>N63/N20</f>
        <v>0.25406870071060467</v>
      </c>
      <c r="P64" s="150">
        <v>6572</v>
      </c>
    </row>
    <row r="65" spans="1:16">
      <c r="A65" s="62" t="str">
        <f>A30</f>
        <v>6.2- FUNDEB - Complementação da União - VAAF</v>
      </c>
      <c r="B65" s="64">
        <f>N30</f>
        <v>4113615.1100000003</v>
      </c>
      <c r="C65" s="64">
        <f>N46+N51</f>
        <v>4219979.4300000006</v>
      </c>
      <c r="D65" s="43">
        <f>C65/B65</f>
        <v>1.0258566533707623</v>
      </c>
      <c r="E65" s="64">
        <f>B65-C65</f>
        <v>-106364.3200000003</v>
      </c>
      <c r="G65" s="170"/>
      <c r="J65" s="150"/>
      <c r="P65" s="150">
        <v>8708</v>
      </c>
    </row>
    <row r="66" spans="1:16">
      <c r="D66" s="113"/>
      <c r="E66" s="65"/>
      <c r="G66" s="170"/>
      <c r="M66" s="346"/>
      <c r="N66" s="346"/>
      <c r="O66" s="163"/>
      <c r="P66" s="150">
        <v>9650.9500000000007</v>
      </c>
    </row>
    <row r="67" spans="1:16">
      <c r="A67" s="62" t="str">
        <f>A33</f>
        <v>6.3- FUNDEB - Complementação da União - VAAT</v>
      </c>
      <c r="B67" s="358">
        <f>N33</f>
        <v>2615313.59</v>
      </c>
      <c r="C67" s="64">
        <f>N47+N52</f>
        <v>0</v>
      </c>
      <c r="D67" s="43">
        <f>C67/B67</f>
        <v>0</v>
      </c>
      <c r="E67" s="358">
        <f>B67-SUM(C67:C69)</f>
        <v>-252048.46999999974</v>
      </c>
      <c r="G67" s="170"/>
      <c r="P67" s="150">
        <v>9904.85</v>
      </c>
    </row>
    <row r="68" spans="1:16">
      <c r="A68" s="62" t="s">
        <v>196</v>
      </c>
      <c r="B68" s="359"/>
      <c r="C68" s="64">
        <f>N48+N53</f>
        <v>2433398.9499999997</v>
      </c>
      <c r="D68" s="43">
        <f>C68/B67</f>
        <v>0.93044251339664386</v>
      </c>
      <c r="E68" s="359"/>
      <c r="G68" s="170"/>
      <c r="P68" s="150"/>
    </row>
    <row r="69" spans="1:16">
      <c r="A69" s="62" t="s">
        <v>197</v>
      </c>
      <c r="B69" s="360"/>
      <c r="C69" s="64">
        <f>N54</f>
        <v>433963.11</v>
      </c>
      <c r="D69" s="43">
        <f>C69/B67</f>
        <v>0.16593157763539937</v>
      </c>
      <c r="E69" s="360"/>
      <c r="G69" s="170"/>
      <c r="J69" s="65"/>
      <c r="P69" s="150"/>
    </row>
    <row r="70" spans="1:16" ht="15.75" customHeight="1">
      <c r="D70" s="113"/>
      <c r="J70" s="160"/>
      <c r="K70" s="345" t="s">
        <v>213</v>
      </c>
      <c r="L70" s="345"/>
      <c r="M70" s="345"/>
      <c r="N70" s="345"/>
      <c r="O70" s="345"/>
      <c r="P70" s="160">
        <f>SUM(P63:P69)</f>
        <v>58785.799999999996</v>
      </c>
    </row>
    <row r="71" spans="1:16">
      <c r="A71" s="192" t="s">
        <v>185</v>
      </c>
      <c r="B71" s="64">
        <f>SUM(B63:B69)</f>
        <v>20264214.440000001</v>
      </c>
      <c r="C71" s="64">
        <f>SUM(C63:C69)</f>
        <v>20988956.140000001</v>
      </c>
      <c r="D71" s="199">
        <f>C71/B71</f>
        <v>1.0357646086970642</v>
      </c>
      <c r="E71" s="64">
        <f>B71-C71</f>
        <v>-724741.69999999925</v>
      </c>
      <c r="K71" s="344" t="s">
        <v>214</v>
      </c>
      <c r="L71" s="344"/>
      <c r="M71" s="344"/>
      <c r="N71" s="344"/>
      <c r="O71" s="187">
        <f>C63+N56</f>
        <v>17919756.390000001</v>
      </c>
    </row>
    <row r="72" spans="1:16">
      <c r="K72" s="344" t="s">
        <v>215</v>
      </c>
      <c r="L72" s="344"/>
      <c r="M72" s="344"/>
      <c r="N72" s="344"/>
      <c r="O72" s="187">
        <f>N28-N22</f>
        <v>5460744.5499999998</v>
      </c>
    </row>
    <row r="73" spans="1:16">
      <c r="K73" s="344" t="s">
        <v>234</v>
      </c>
      <c r="L73" s="344"/>
      <c r="M73" s="344"/>
      <c r="N73" s="344"/>
      <c r="O73" s="187">
        <f>O71-O72</f>
        <v>12459011.84</v>
      </c>
    </row>
    <row r="75" spans="1:16">
      <c r="A75" s="343" t="s">
        <v>219</v>
      </c>
      <c r="B75" s="343"/>
      <c r="C75" s="228"/>
      <c r="D75" s="228"/>
      <c r="E75" s="228"/>
      <c r="K75" s="344" t="s">
        <v>216</v>
      </c>
      <c r="L75" s="344"/>
      <c r="M75" s="344"/>
      <c r="N75" s="344"/>
      <c r="O75" s="57">
        <f>O73/N20</f>
        <v>0.26286366258591559</v>
      </c>
    </row>
    <row r="77" spans="1:16">
      <c r="A77" s="62" t="s">
        <v>191</v>
      </c>
      <c r="B77" s="161">
        <f>N33</f>
        <v>2615313.59</v>
      </c>
    </row>
    <row r="78" spans="1:16">
      <c r="A78" s="62" t="s">
        <v>186</v>
      </c>
      <c r="B78" s="161">
        <f>B77*16%</f>
        <v>418450.17439999996</v>
      </c>
    </row>
    <row r="79" spans="1:16">
      <c r="A79" s="62" t="s">
        <v>187</v>
      </c>
      <c r="B79" s="161">
        <f>N54</f>
        <v>433963.11</v>
      </c>
    </row>
    <row r="80" spans="1:16">
      <c r="A80" s="62" t="s">
        <v>188</v>
      </c>
      <c r="B80" s="43">
        <f>B79/B77</f>
        <v>0.16593157763539937</v>
      </c>
      <c r="K80" s="345" t="s">
        <v>241</v>
      </c>
      <c r="L80" s="345"/>
      <c r="M80" s="345"/>
      <c r="N80" s="345"/>
    </row>
    <row r="81" spans="1:15">
      <c r="A81" s="46" t="s">
        <v>189</v>
      </c>
      <c r="B81" s="175">
        <f>B78-B79</f>
        <v>-15512.935600000026</v>
      </c>
      <c r="K81" s="362" t="s">
        <v>317</v>
      </c>
      <c r="L81" s="362"/>
      <c r="M81" s="362"/>
      <c r="N81" s="185">
        <f>(N20/4)-N22</f>
        <v>3825296.5599999996</v>
      </c>
      <c r="O81" s="196"/>
    </row>
    <row r="82" spans="1:15">
      <c r="K82" s="344" t="s">
        <v>174</v>
      </c>
      <c r="L82" s="344"/>
      <c r="M82" s="344"/>
      <c r="N82" s="186">
        <f>N56</f>
        <v>4018141.74</v>
      </c>
      <c r="O82" s="196"/>
    </row>
    <row r="83" spans="1:15">
      <c r="A83" s="62" t="s">
        <v>322</v>
      </c>
      <c r="B83" s="161">
        <v>2701329.34</v>
      </c>
      <c r="K83" s="344" t="s">
        <v>242</v>
      </c>
      <c r="L83" s="344"/>
      <c r="M83" s="344"/>
      <c r="N83" s="151">
        <f>N81-N82</f>
        <v>-192845.18000000063</v>
      </c>
    </row>
    <row r="84" spans="1:15">
      <c r="A84" s="62" t="s">
        <v>190</v>
      </c>
      <c r="B84" s="161">
        <f>B83*15%</f>
        <v>405199.40099999995</v>
      </c>
      <c r="N84" s="65"/>
    </row>
    <row r="85" spans="1:15">
      <c r="A85" s="46" t="s">
        <v>218</v>
      </c>
      <c r="B85" s="162">
        <f>B84-B79</f>
        <v>-28763.709000000032</v>
      </c>
    </row>
    <row r="86" spans="1:15" ht="15">
      <c r="N86" s="65"/>
      <c r="O86" s="170"/>
    </row>
    <row r="87" spans="1:15" ht="15">
      <c r="O87" s="150"/>
    </row>
  </sheetData>
  <mergeCells count="25">
    <mergeCell ref="K80:N80"/>
    <mergeCell ref="K81:M81"/>
    <mergeCell ref="K82:M82"/>
    <mergeCell ref="K83:M83"/>
    <mergeCell ref="R1:S1"/>
    <mergeCell ref="R2:S2"/>
    <mergeCell ref="R16:S16"/>
    <mergeCell ref="A40:J40"/>
    <mergeCell ref="A1:P1"/>
    <mergeCell ref="A2:A3"/>
    <mergeCell ref="B67:B69"/>
    <mergeCell ref="E67:E69"/>
    <mergeCell ref="B2:O2"/>
    <mergeCell ref="K60:N60"/>
    <mergeCell ref="A75:B75"/>
    <mergeCell ref="K61:M61"/>
    <mergeCell ref="K63:M63"/>
    <mergeCell ref="K71:N71"/>
    <mergeCell ref="K72:N72"/>
    <mergeCell ref="K73:N73"/>
    <mergeCell ref="K70:O70"/>
    <mergeCell ref="K75:N75"/>
    <mergeCell ref="M66:N66"/>
    <mergeCell ref="K64:M64"/>
    <mergeCell ref="K62:M62"/>
  </mergeCells>
  <pageMargins left="0.511811024" right="0.511811024" top="0.78740157499999996" bottom="0.78740157499999996" header="0.31496062000000002" footer="0.31496062000000002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P97"/>
  <sheetViews>
    <sheetView topLeftCell="B23" zoomScale="60" zoomScaleNormal="60" workbookViewId="0">
      <selection activeCell="M38" sqref="M38"/>
    </sheetView>
  </sheetViews>
  <sheetFormatPr defaultRowHeight="15.75"/>
  <cols>
    <col min="1" max="1" width="64" style="76" customWidth="1"/>
    <col min="2" max="2" width="22.42578125" style="76" customWidth="1"/>
    <col min="3" max="3" width="22.28515625" style="76" bestFit="1" customWidth="1"/>
    <col min="4" max="6" width="23.28515625" style="76" bestFit="1" customWidth="1"/>
    <col min="7" max="7" width="24" style="76" bestFit="1" customWidth="1"/>
    <col min="8" max="8" width="22.7109375" style="76" bestFit="1" customWidth="1"/>
    <col min="9" max="9" width="24" style="76" bestFit="1" customWidth="1"/>
    <col min="10" max="10" width="23.28515625" style="76" bestFit="1" customWidth="1"/>
    <col min="11" max="11" width="24.42578125" style="76" customWidth="1"/>
    <col min="12" max="12" width="22.7109375" style="76" bestFit="1" customWidth="1"/>
    <col min="13" max="13" width="24.42578125" style="76" bestFit="1" customWidth="1"/>
    <col min="14" max="14" width="27.7109375" style="76" customWidth="1"/>
    <col min="15" max="15" width="25.85546875" style="76" customWidth="1"/>
    <col min="16" max="16" width="21" style="76" customWidth="1"/>
    <col min="17" max="255" width="9.140625" style="76"/>
    <col min="256" max="256" width="33" style="76" customWidth="1"/>
    <col min="257" max="257" width="17.42578125" style="76" customWidth="1"/>
    <col min="258" max="258" width="17.140625" style="76" customWidth="1"/>
    <col min="259" max="259" width="16" style="76" customWidth="1"/>
    <col min="260" max="260" width="16.5703125" style="76" customWidth="1"/>
    <col min="261" max="261" width="16.28515625" style="76" customWidth="1"/>
    <col min="262" max="262" width="18.28515625" style="76" customWidth="1"/>
    <col min="263" max="263" width="17.42578125" style="76" customWidth="1"/>
    <col min="264" max="264" width="15.85546875" style="76" customWidth="1"/>
    <col min="265" max="265" width="17" style="76" customWidth="1"/>
    <col min="266" max="266" width="19.7109375" style="76" customWidth="1"/>
    <col min="267" max="267" width="17.28515625" style="76" customWidth="1"/>
    <col min="268" max="268" width="18.140625" style="76" customWidth="1"/>
    <col min="269" max="269" width="21.7109375" style="76" customWidth="1"/>
    <col min="270" max="270" width="0.42578125" style="76" customWidth="1"/>
    <col min="271" max="271" width="16.140625" style="76" bestFit="1" customWidth="1"/>
    <col min="272" max="272" width="11.5703125" style="76" bestFit="1" customWidth="1"/>
    <col min="273" max="511" width="9.140625" style="76"/>
    <col min="512" max="512" width="33" style="76" customWidth="1"/>
    <col min="513" max="513" width="17.42578125" style="76" customWidth="1"/>
    <col min="514" max="514" width="17.140625" style="76" customWidth="1"/>
    <col min="515" max="515" width="16" style="76" customWidth="1"/>
    <col min="516" max="516" width="16.5703125" style="76" customWidth="1"/>
    <col min="517" max="517" width="16.28515625" style="76" customWidth="1"/>
    <col min="518" max="518" width="18.28515625" style="76" customWidth="1"/>
    <col min="519" max="519" width="17.42578125" style="76" customWidth="1"/>
    <col min="520" max="520" width="15.85546875" style="76" customWidth="1"/>
    <col min="521" max="521" width="17" style="76" customWidth="1"/>
    <col min="522" max="522" width="19.7109375" style="76" customWidth="1"/>
    <col min="523" max="523" width="17.28515625" style="76" customWidth="1"/>
    <col min="524" max="524" width="18.140625" style="76" customWidth="1"/>
    <col min="525" max="525" width="21.7109375" style="76" customWidth="1"/>
    <col min="526" max="526" width="0.42578125" style="76" customWidth="1"/>
    <col min="527" max="527" width="16.140625" style="76" bestFit="1" customWidth="1"/>
    <col min="528" max="528" width="11.5703125" style="76" bestFit="1" customWidth="1"/>
    <col min="529" max="767" width="9.140625" style="76"/>
    <col min="768" max="768" width="33" style="76" customWidth="1"/>
    <col min="769" max="769" width="17.42578125" style="76" customWidth="1"/>
    <col min="770" max="770" width="17.140625" style="76" customWidth="1"/>
    <col min="771" max="771" width="16" style="76" customWidth="1"/>
    <col min="772" max="772" width="16.5703125" style="76" customWidth="1"/>
    <col min="773" max="773" width="16.28515625" style="76" customWidth="1"/>
    <col min="774" max="774" width="18.28515625" style="76" customWidth="1"/>
    <col min="775" max="775" width="17.42578125" style="76" customWidth="1"/>
    <col min="776" max="776" width="15.85546875" style="76" customWidth="1"/>
    <col min="777" max="777" width="17" style="76" customWidth="1"/>
    <col min="778" max="778" width="19.7109375" style="76" customWidth="1"/>
    <col min="779" max="779" width="17.28515625" style="76" customWidth="1"/>
    <col min="780" max="780" width="18.140625" style="76" customWidth="1"/>
    <col min="781" max="781" width="21.7109375" style="76" customWidth="1"/>
    <col min="782" max="782" width="0.42578125" style="76" customWidth="1"/>
    <col min="783" max="783" width="16.140625" style="76" bestFit="1" customWidth="1"/>
    <col min="784" max="784" width="11.5703125" style="76" bestFit="1" customWidth="1"/>
    <col min="785" max="1023" width="9.140625" style="76"/>
    <col min="1024" max="1024" width="33" style="76" customWidth="1"/>
    <col min="1025" max="1025" width="17.42578125" style="76" customWidth="1"/>
    <col min="1026" max="1026" width="17.140625" style="76" customWidth="1"/>
    <col min="1027" max="1027" width="16" style="76" customWidth="1"/>
    <col min="1028" max="1028" width="16.5703125" style="76" customWidth="1"/>
    <col min="1029" max="1029" width="16.28515625" style="76" customWidth="1"/>
    <col min="1030" max="1030" width="18.28515625" style="76" customWidth="1"/>
    <col min="1031" max="1031" width="17.42578125" style="76" customWidth="1"/>
    <col min="1032" max="1032" width="15.85546875" style="76" customWidth="1"/>
    <col min="1033" max="1033" width="17" style="76" customWidth="1"/>
    <col min="1034" max="1034" width="19.7109375" style="76" customWidth="1"/>
    <col min="1035" max="1035" width="17.28515625" style="76" customWidth="1"/>
    <col min="1036" max="1036" width="18.140625" style="76" customWidth="1"/>
    <col min="1037" max="1037" width="21.7109375" style="76" customWidth="1"/>
    <col min="1038" max="1038" width="0.42578125" style="76" customWidth="1"/>
    <col min="1039" max="1039" width="16.140625" style="76" bestFit="1" customWidth="1"/>
    <col min="1040" max="1040" width="11.5703125" style="76" bestFit="1" customWidth="1"/>
    <col min="1041" max="1279" width="9.140625" style="76"/>
    <col min="1280" max="1280" width="33" style="76" customWidth="1"/>
    <col min="1281" max="1281" width="17.42578125" style="76" customWidth="1"/>
    <col min="1282" max="1282" width="17.140625" style="76" customWidth="1"/>
    <col min="1283" max="1283" width="16" style="76" customWidth="1"/>
    <col min="1284" max="1284" width="16.5703125" style="76" customWidth="1"/>
    <col min="1285" max="1285" width="16.28515625" style="76" customWidth="1"/>
    <col min="1286" max="1286" width="18.28515625" style="76" customWidth="1"/>
    <col min="1287" max="1287" width="17.42578125" style="76" customWidth="1"/>
    <col min="1288" max="1288" width="15.85546875" style="76" customWidth="1"/>
    <col min="1289" max="1289" width="17" style="76" customWidth="1"/>
    <col min="1290" max="1290" width="19.7109375" style="76" customWidth="1"/>
    <col min="1291" max="1291" width="17.28515625" style="76" customWidth="1"/>
    <col min="1292" max="1292" width="18.140625" style="76" customWidth="1"/>
    <col min="1293" max="1293" width="21.7109375" style="76" customWidth="1"/>
    <col min="1294" max="1294" width="0.42578125" style="76" customWidth="1"/>
    <col min="1295" max="1295" width="16.140625" style="76" bestFit="1" customWidth="1"/>
    <col min="1296" max="1296" width="11.5703125" style="76" bestFit="1" customWidth="1"/>
    <col min="1297" max="1535" width="9.140625" style="76"/>
    <col min="1536" max="1536" width="33" style="76" customWidth="1"/>
    <col min="1537" max="1537" width="17.42578125" style="76" customWidth="1"/>
    <col min="1538" max="1538" width="17.140625" style="76" customWidth="1"/>
    <col min="1539" max="1539" width="16" style="76" customWidth="1"/>
    <col min="1540" max="1540" width="16.5703125" style="76" customWidth="1"/>
    <col min="1541" max="1541" width="16.28515625" style="76" customWidth="1"/>
    <col min="1542" max="1542" width="18.28515625" style="76" customWidth="1"/>
    <col min="1543" max="1543" width="17.42578125" style="76" customWidth="1"/>
    <col min="1544" max="1544" width="15.85546875" style="76" customWidth="1"/>
    <col min="1545" max="1545" width="17" style="76" customWidth="1"/>
    <col min="1546" max="1546" width="19.7109375" style="76" customWidth="1"/>
    <col min="1547" max="1547" width="17.28515625" style="76" customWidth="1"/>
    <col min="1548" max="1548" width="18.140625" style="76" customWidth="1"/>
    <col min="1549" max="1549" width="21.7109375" style="76" customWidth="1"/>
    <col min="1550" max="1550" width="0.42578125" style="76" customWidth="1"/>
    <col min="1551" max="1551" width="16.140625" style="76" bestFit="1" customWidth="1"/>
    <col min="1552" max="1552" width="11.5703125" style="76" bestFit="1" customWidth="1"/>
    <col min="1553" max="1791" width="9.140625" style="76"/>
    <col min="1792" max="1792" width="33" style="76" customWidth="1"/>
    <col min="1793" max="1793" width="17.42578125" style="76" customWidth="1"/>
    <col min="1794" max="1794" width="17.140625" style="76" customWidth="1"/>
    <col min="1795" max="1795" width="16" style="76" customWidth="1"/>
    <col min="1796" max="1796" width="16.5703125" style="76" customWidth="1"/>
    <col min="1797" max="1797" width="16.28515625" style="76" customWidth="1"/>
    <col min="1798" max="1798" width="18.28515625" style="76" customWidth="1"/>
    <col min="1799" max="1799" width="17.42578125" style="76" customWidth="1"/>
    <col min="1800" max="1800" width="15.85546875" style="76" customWidth="1"/>
    <col min="1801" max="1801" width="17" style="76" customWidth="1"/>
    <col min="1802" max="1802" width="19.7109375" style="76" customWidth="1"/>
    <col min="1803" max="1803" width="17.28515625" style="76" customWidth="1"/>
    <col min="1804" max="1804" width="18.140625" style="76" customWidth="1"/>
    <col min="1805" max="1805" width="21.7109375" style="76" customWidth="1"/>
    <col min="1806" max="1806" width="0.42578125" style="76" customWidth="1"/>
    <col min="1807" max="1807" width="16.140625" style="76" bestFit="1" customWidth="1"/>
    <col min="1808" max="1808" width="11.5703125" style="76" bestFit="1" customWidth="1"/>
    <col min="1809" max="2047" width="9.140625" style="76"/>
    <col min="2048" max="2048" width="33" style="76" customWidth="1"/>
    <col min="2049" max="2049" width="17.42578125" style="76" customWidth="1"/>
    <col min="2050" max="2050" width="17.140625" style="76" customWidth="1"/>
    <col min="2051" max="2051" width="16" style="76" customWidth="1"/>
    <col min="2052" max="2052" width="16.5703125" style="76" customWidth="1"/>
    <col min="2053" max="2053" width="16.28515625" style="76" customWidth="1"/>
    <col min="2054" max="2054" width="18.28515625" style="76" customWidth="1"/>
    <col min="2055" max="2055" width="17.42578125" style="76" customWidth="1"/>
    <col min="2056" max="2056" width="15.85546875" style="76" customWidth="1"/>
    <col min="2057" max="2057" width="17" style="76" customWidth="1"/>
    <col min="2058" max="2058" width="19.7109375" style="76" customWidth="1"/>
    <col min="2059" max="2059" width="17.28515625" style="76" customWidth="1"/>
    <col min="2060" max="2060" width="18.140625" style="76" customWidth="1"/>
    <col min="2061" max="2061" width="21.7109375" style="76" customWidth="1"/>
    <col min="2062" max="2062" width="0.42578125" style="76" customWidth="1"/>
    <col min="2063" max="2063" width="16.140625" style="76" bestFit="1" customWidth="1"/>
    <col min="2064" max="2064" width="11.5703125" style="76" bestFit="1" customWidth="1"/>
    <col min="2065" max="2303" width="9.140625" style="76"/>
    <col min="2304" max="2304" width="33" style="76" customWidth="1"/>
    <col min="2305" max="2305" width="17.42578125" style="76" customWidth="1"/>
    <col min="2306" max="2306" width="17.140625" style="76" customWidth="1"/>
    <col min="2307" max="2307" width="16" style="76" customWidth="1"/>
    <col min="2308" max="2308" width="16.5703125" style="76" customWidth="1"/>
    <col min="2309" max="2309" width="16.28515625" style="76" customWidth="1"/>
    <col min="2310" max="2310" width="18.28515625" style="76" customWidth="1"/>
    <col min="2311" max="2311" width="17.42578125" style="76" customWidth="1"/>
    <col min="2312" max="2312" width="15.85546875" style="76" customWidth="1"/>
    <col min="2313" max="2313" width="17" style="76" customWidth="1"/>
    <col min="2314" max="2314" width="19.7109375" style="76" customWidth="1"/>
    <col min="2315" max="2315" width="17.28515625" style="76" customWidth="1"/>
    <col min="2316" max="2316" width="18.140625" style="76" customWidth="1"/>
    <col min="2317" max="2317" width="21.7109375" style="76" customWidth="1"/>
    <col min="2318" max="2318" width="0.42578125" style="76" customWidth="1"/>
    <col min="2319" max="2319" width="16.140625" style="76" bestFit="1" customWidth="1"/>
    <col min="2320" max="2320" width="11.5703125" style="76" bestFit="1" customWidth="1"/>
    <col min="2321" max="2559" width="9.140625" style="76"/>
    <col min="2560" max="2560" width="33" style="76" customWidth="1"/>
    <col min="2561" max="2561" width="17.42578125" style="76" customWidth="1"/>
    <col min="2562" max="2562" width="17.140625" style="76" customWidth="1"/>
    <col min="2563" max="2563" width="16" style="76" customWidth="1"/>
    <col min="2564" max="2564" width="16.5703125" style="76" customWidth="1"/>
    <col min="2565" max="2565" width="16.28515625" style="76" customWidth="1"/>
    <col min="2566" max="2566" width="18.28515625" style="76" customWidth="1"/>
    <col min="2567" max="2567" width="17.42578125" style="76" customWidth="1"/>
    <col min="2568" max="2568" width="15.85546875" style="76" customWidth="1"/>
    <col min="2569" max="2569" width="17" style="76" customWidth="1"/>
    <col min="2570" max="2570" width="19.7109375" style="76" customWidth="1"/>
    <col min="2571" max="2571" width="17.28515625" style="76" customWidth="1"/>
    <col min="2572" max="2572" width="18.140625" style="76" customWidth="1"/>
    <col min="2573" max="2573" width="21.7109375" style="76" customWidth="1"/>
    <col min="2574" max="2574" width="0.42578125" style="76" customWidth="1"/>
    <col min="2575" max="2575" width="16.140625" style="76" bestFit="1" customWidth="1"/>
    <col min="2576" max="2576" width="11.5703125" style="76" bestFit="1" customWidth="1"/>
    <col min="2577" max="2815" width="9.140625" style="76"/>
    <col min="2816" max="2816" width="33" style="76" customWidth="1"/>
    <col min="2817" max="2817" width="17.42578125" style="76" customWidth="1"/>
    <col min="2818" max="2818" width="17.140625" style="76" customWidth="1"/>
    <col min="2819" max="2819" width="16" style="76" customWidth="1"/>
    <col min="2820" max="2820" width="16.5703125" style="76" customWidth="1"/>
    <col min="2821" max="2821" width="16.28515625" style="76" customWidth="1"/>
    <col min="2822" max="2822" width="18.28515625" style="76" customWidth="1"/>
    <col min="2823" max="2823" width="17.42578125" style="76" customWidth="1"/>
    <col min="2824" max="2824" width="15.85546875" style="76" customWidth="1"/>
    <col min="2825" max="2825" width="17" style="76" customWidth="1"/>
    <col min="2826" max="2826" width="19.7109375" style="76" customWidth="1"/>
    <col min="2827" max="2827" width="17.28515625" style="76" customWidth="1"/>
    <col min="2828" max="2828" width="18.140625" style="76" customWidth="1"/>
    <col min="2829" max="2829" width="21.7109375" style="76" customWidth="1"/>
    <col min="2830" max="2830" width="0.42578125" style="76" customWidth="1"/>
    <col min="2831" max="2831" width="16.140625" style="76" bestFit="1" customWidth="1"/>
    <col min="2832" max="2832" width="11.5703125" style="76" bestFit="1" customWidth="1"/>
    <col min="2833" max="3071" width="9.140625" style="76"/>
    <col min="3072" max="3072" width="33" style="76" customWidth="1"/>
    <col min="3073" max="3073" width="17.42578125" style="76" customWidth="1"/>
    <col min="3074" max="3074" width="17.140625" style="76" customWidth="1"/>
    <col min="3075" max="3075" width="16" style="76" customWidth="1"/>
    <col min="3076" max="3076" width="16.5703125" style="76" customWidth="1"/>
    <col min="3077" max="3077" width="16.28515625" style="76" customWidth="1"/>
    <col min="3078" max="3078" width="18.28515625" style="76" customWidth="1"/>
    <col min="3079" max="3079" width="17.42578125" style="76" customWidth="1"/>
    <col min="3080" max="3080" width="15.85546875" style="76" customWidth="1"/>
    <col min="3081" max="3081" width="17" style="76" customWidth="1"/>
    <col min="3082" max="3082" width="19.7109375" style="76" customWidth="1"/>
    <col min="3083" max="3083" width="17.28515625" style="76" customWidth="1"/>
    <col min="3084" max="3084" width="18.140625" style="76" customWidth="1"/>
    <col min="3085" max="3085" width="21.7109375" style="76" customWidth="1"/>
    <col min="3086" max="3086" width="0.42578125" style="76" customWidth="1"/>
    <col min="3087" max="3087" width="16.140625" style="76" bestFit="1" customWidth="1"/>
    <col min="3088" max="3088" width="11.5703125" style="76" bestFit="1" customWidth="1"/>
    <col min="3089" max="3327" width="9.140625" style="76"/>
    <col min="3328" max="3328" width="33" style="76" customWidth="1"/>
    <col min="3329" max="3329" width="17.42578125" style="76" customWidth="1"/>
    <col min="3330" max="3330" width="17.140625" style="76" customWidth="1"/>
    <col min="3331" max="3331" width="16" style="76" customWidth="1"/>
    <col min="3332" max="3332" width="16.5703125" style="76" customWidth="1"/>
    <col min="3333" max="3333" width="16.28515625" style="76" customWidth="1"/>
    <col min="3334" max="3334" width="18.28515625" style="76" customWidth="1"/>
    <col min="3335" max="3335" width="17.42578125" style="76" customWidth="1"/>
    <col min="3336" max="3336" width="15.85546875" style="76" customWidth="1"/>
    <col min="3337" max="3337" width="17" style="76" customWidth="1"/>
    <col min="3338" max="3338" width="19.7109375" style="76" customWidth="1"/>
    <col min="3339" max="3339" width="17.28515625" style="76" customWidth="1"/>
    <col min="3340" max="3340" width="18.140625" style="76" customWidth="1"/>
    <col min="3341" max="3341" width="21.7109375" style="76" customWidth="1"/>
    <col min="3342" max="3342" width="0.42578125" style="76" customWidth="1"/>
    <col min="3343" max="3343" width="16.140625" style="76" bestFit="1" customWidth="1"/>
    <col min="3344" max="3344" width="11.5703125" style="76" bestFit="1" customWidth="1"/>
    <col min="3345" max="3583" width="9.140625" style="76"/>
    <col min="3584" max="3584" width="33" style="76" customWidth="1"/>
    <col min="3585" max="3585" width="17.42578125" style="76" customWidth="1"/>
    <col min="3586" max="3586" width="17.140625" style="76" customWidth="1"/>
    <col min="3587" max="3587" width="16" style="76" customWidth="1"/>
    <col min="3588" max="3588" width="16.5703125" style="76" customWidth="1"/>
    <col min="3589" max="3589" width="16.28515625" style="76" customWidth="1"/>
    <col min="3590" max="3590" width="18.28515625" style="76" customWidth="1"/>
    <col min="3591" max="3591" width="17.42578125" style="76" customWidth="1"/>
    <col min="3592" max="3592" width="15.85546875" style="76" customWidth="1"/>
    <col min="3593" max="3593" width="17" style="76" customWidth="1"/>
    <col min="3594" max="3594" width="19.7109375" style="76" customWidth="1"/>
    <col min="3595" max="3595" width="17.28515625" style="76" customWidth="1"/>
    <col min="3596" max="3596" width="18.140625" style="76" customWidth="1"/>
    <col min="3597" max="3597" width="21.7109375" style="76" customWidth="1"/>
    <col min="3598" max="3598" width="0.42578125" style="76" customWidth="1"/>
    <col min="3599" max="3599" width="16.140625" style="76" bestFit="1" customWidth="1"/>
    <col min="3600" max="3600" width="11.5703125" style="76" bestFit="1" customWidth="1"/>
    <col min="3601" max="3839" width="9.140625" style="76"/>
    <col min="3840" max="3840" width="33" style="76" customWidth="1"/>
    <col min="3841" max="3841" width="17.42578125" style="76" customWidth="1"/>
    <col min="3842" max="3842" width="17.140625" style="76" customWidth="1"/>
    <col min="3843" max="3843" width="16" style="76" customWidth="1"/>
    <col min="3844" max="3844" width="16.5703125" style="76" customWidth="1"/>
    <col min="3845" max="3845" width="16.28515625" style="76" customWidth="1"/>
    <col min="3846" max="3846" width="18.28515625" style="76" customWidth="1"/>
    <col min="3847" max="3847" width="17.42578125" style="76" customWidth="1"/>
    <col min="3848" max="3848" width="15.85546875" style="76" customWidth="1"/>
    <col min="3849" max="3849" width="17" style="76" customWidth="1"/>
    <col min="3850" max="3850" width="19.7109375" style="76" customWidth="1"/>
    <col min="3851" max="3851" width="17.28515625" style="76" customWidth="1"/>
    <col min="3852" max="3852" width="18.140625" style="76" customWidth="1"/>
    <col min="3853" max="3853" width="21.7109375" style="76" customWidth="1"/>
    <col min="3854" max="3854" width="0.42578125" style="76" customWidth="1"/>
    <col min="3855" max="3855" width="16.140625" style="76" bestFit="1" customWidth="1"/>
    <col min="3856" max="3856" width="11.5703125" style="76" bestFit="1" customWidth="1"/>
    <col min="3857" max="4095" width="9.140625" style="76"/>
    <col min="4096" max="4096" width="33" style="76" customWidth="1"/>
    <col min="4097" max="4097" width="17.42578125" style="76" customWidth="1"/>
    <col min="4098" max="4098" width="17.140625" style="76" customWidth="1"/>
    <col min="4099" max="4099" width="16" style="76" customWidth="1"/>
    <col min="4100" max="4100" width="16.5703125" style="76" customWidth="1"/>
    <col min="4101" max="4101" width="16.28515625" style="76" customWidth="1"/>
    <col min="4102" max="4102" width="18.28515625" style="76" customWidth="1"/>
    <col min="4103" max="4103" width="17.42578125" style="76" customWidth="1"/>
    <col min="4104" max="4104" width="15.85546875" style="76" customWidth="1"/>
    <col min="4105" max="4105" width="17" style="76" customWidth="1"/>
    <col min="4106" max="4106" width="19.7109375" style="76" customWidth="1"/>
    <col min="4107" max="4107" width="17.28515625" style="76" customWidth="1"/>
    <col min="4108" max="4108" width="18.140625" style="76" customWidth="1"/>
    <col min="4109" max="4109" width="21.7109375" style="76" customWidth="1"/>
    <col min="4110" max="4110" width="0.42578125" style="76" customWidth="1"/>
    <col min="4111" max="4111" width="16.140625" style="76" bestFit="1" customWidth="1"/>
    <col min="4112" max="4112" width="11.5703125" style="76" bestFit="1" customWidth="1"/>
    <col min="4113" max="4351" width="9.140625" style="76"/>
    <col min="4352" max="4352" width="33" style="76" customWidth="1"/>
    <col min="4353" max="4353" width="17.42578125" style="76" customWidth="1"/>
    <col min="4354" max="4354" width="17.140625" style="76" customWidth="1"/>
    <col min="4355" max="4355" width="16" style="76" customWidth="1"/>
    <col min="4356" max="4356" width="16.5703125" style="76" customWidth="1"/>
    <col min="4357" max="4357" width="16.28515625" style="76" customWidth="1"/>
    <col min="4358" max="4358" width="18.28515625" style="76" customWidth="1"/>
    <col min="4359" max="4359" width="17.42578125" style="76" customWidth="1"/>
    <col min="4360" max="4360" width="15.85546875" style="76" customWidth="1"/>
    <col min="4361" max="4361" width="17" style="76" customWidth="1"/>
    <col min="4362" max="4362" width="19.7109375" style="76" customWidth="1"/>
    <col min="4363" max="4363" width="17.28515625" style="76" customWidth="1"/>
    <col min="4364" max="4364" width="18.140625" style="76" customWidth="1"/>
    <col min="4365" max="4365" width="21.7109375" style="76" customWidth="1"/>
    <col min="4366" max="4366" width="0.42578125" style="76" customWidth="1"/>
    <col min="4367" max="4367" width="16.140625" style="76" bestFit="1" customWidth="1"/>
    <col min="4368" max="4368" width="11.5703125" style="76" bestFit="1" customWidth="1"/>
    <col min="4369" max="4607" width="9.140625" style="76"/>
    <col min="4608" max="4608" width="33" style="76" customWidth="1"/>
    <col min="4609" max="4609" width="17.42578125" style="76" customWidth="1"/>
    <col min="4610" max="4610" width="17.140625" style="76" customWidth="1"/>
    <col min="4611" max="4611" width="16" style="76" customWidth="1"/>
    <col min="4612" max="4612" width="16.5703125" style="76" customWidth="1"/>
    <col min="4613" max="4613" width="16.28515625" style="76" customWidth="1"/>
    <col min="4614" max="4614" width="18.28515625" style="76" customWidth="1"/>
    <col min="4615" max="4615" width="17.42578125" style="76" customWidth="1"/>
    <col min="4616" max="4616" width="15.85546875" style="76" customWidth="1"/>
    <col min="4617" max="4617" width="17" style="76" customWidth="1"/>
    <col min="4618" max="4618" width="19.7109375" style="76" customWidth="1"/>
    <col min="4619" max="4619" width="17.28515625" style="76" customWidth="1"/>
    <col min="4620" max="4620" width="18.140625" style="76" customWidth="1"/>
    <col min="4621" max="4621" width="21.7109375" style="76" customWidth="1"/>
    <col min="4622" max="4622" width="0.42578125" style="76" customWidth="1"/>
    <col min="4623" max="4623" width="16.140625" style="76" bestFit="1" customWidth="1"/>
    <col min="4624" max="4624" width="11.5703125" style="76" bestFit="1" customWidth="1"/>
    <col min="4625" max="4863" width="9.140625" style="76"/>
    <col min="4864" max="4864" width="33" style="76" customWidth="1"/>
    <col min="4865" max="4865" width="17.42578125" style="76" customWidth="1"/>
    <col min="4866" max="4866" width="17.140625" style="76" customWidth="1"/>
    <col min="4867" max="4867" width="16" style="76" customWidth="1"/>
    <col min="4868" max="4868" width="16.5703125" style="76" customWidth="1"/>
    <col min="4869" max="4869" width="16.28515625" style="76" customWidth="1"/>
    <col min="4870" max="4870" width="18.28515625" style="76" customWidth="1"/>
    <col min="4871" max="4871" width="17.42578125" style="76" customWidth="1"/>
    <col min="4872" max="4872" width="15.85546875" style="76" customWidth="1"/>
    <col min="4873" max="4873" width="17" style="76" customWidth="1"/>
    <col min="4874" max="4874" width="19.7109375" style="76" customWidth="1"/>
    <col min="4875" max="4875" width="17.28515625" style="76" customWidth="1"/>
    <col min="4876" max="4876" width="18.140625" style="76" customWidth="1"/>
    <col min="4877" max="4877" width="21.7109375" style="76" customWidth="1"/>
    <col min="4878" max="4878" width="0.42578125" style="76" customWidth="1"/>
    <col min="4879" max="4879" width="16.140625" style="76" bestFit="1" customWidth="1"/>
    <col min="4880" max="4880" width="11.5703125" style="76" bestFit="1" customWidth="1"/>
    <col min="4881" max="5119" width="9.140625" style="76"/>
    <col min="5120" max="5120" width="33" style="76" customWidth="1"/>
    <col min="5121" max="5121" width="17.42578125" style="76" customWidth="1"/>
    <col min="5122" max="5122" width="17.140625" style="76" customWidth="1"/>
    <col min="5123" max="5123" width="16" style="76" customWidth="1"/>
    <col min="5124" max="5124" width="16.5703125" style="76" customWidth="1"/>
    <col min="5125" max="5125" width="16.28515625" style="76" customWidth="1"/>
    <col min="5126" max="5126" width="18.28515625" style="76" customWidth="1"/>
    <col min="5127" max="5127" width="17.42578125" style="76" customWidth="1"/>
    <col min="5128" max="5128" width="15.85546875" style="76" customWidth="1"/>
    <col min="5129" max="5129" width="17" style="76" customWidth="1"/>
    <col min="5130" max="5130" width="19.7109375" style="76" customWidth="1"/>
    <col min="5131" max="5131" width="17.28515625" style="76" customWidth="1"/>
    <col min="5132" max="5132" width="18.140625" style="76" customWidth="1"/>
    <col min="5133" max="5133" width="21.7109375" style="76" customWidth="1"/>
    <col min="5134" max="5134" width="0.42578125" style="76" customWidth="1"/>
    <col min="5135" max="5135" width="16.140625" style="76" bestFit="1" customWidth="1"/>
    <col min="5136" max="5136" width="11.5703125" style="76" bestFit="1" customWidth="1"/>
    <col min="5137" max="5375" width="9.140625" style="76"/>
    <col min="5376" max="5376" width="33" style="76" customWidth="1"/>
    <col min="5377" max="5377" width="17.42578125" style="76" customWidth="1"/>
    <col min="5378" max="5378" width="17.140625" style="76" customWidth="1"/>
    <col min="5379" max="5379" width="16" style="76" customWidth="1"/>
    <col min="5380" max="5380" width="16.5703125" style="76" customWidth="1"/>
    <col min="5381" max="5381" width="16.28515625" style="76" customWidth="1"/>
    <col min="5382" max="5382" width="18.28515625" style="76" customWidth="1"/>
    <col min="5383" max="5383" width="17.42578125" style="76" customWidth="1"/>
    <col min="5384" max="5384" width="15.85546875" style="76" customWidth="1"/>
    <col min="5385" max="5385" width="17" style="76" customWidth="1"/>
    <col min="5386" max="5386" width="19.7109375" style="76" customWidth="1"/>
    <col min="5387" max="5387" width="17.28515625" style="76" customWidth="1"/>
    <col min="5388" max="5388" width="18.140625" style="76" customWidth="1"/>
    <col min="5389" max="5389" width="21.7109375" style="76" customWidth="1"/>
    <col min="5390" max="5390" width="0.42578125" style="76" customWidth="1"/>
    <col min="5391" max="5391" width="16.140625" style="76" bestFit="1" customWidth="1"/>
    <col min="5392" max="5392" width="11.5703125" style="76" bestFit="1" customWidth="1"/>
    <col min="5393" max="5631" width="9.140625" style="76"/>
    <col min="5632" max="5632" width="33" style="76" customWidth="1"/>
    <col min="5633" max="5633" width="17.42578125" style="76" customWidth="1"/>
    <col min="5634" max="5634" width="17.140625" style="76" customWidth="1"/>
    <col min="5635" max="5635" width="16" style="76" customWidth="1"/>
    <col min="5636" max="5636" width="16.5703125" style="76" customWidth="1"/>
    <col min="5637" max="5637" width="16.28515625" style="76" customWidth="1"/>
    <col min="5638" max="5638" width="18.28515625" style="76" customWidth="1"/>
    <col min="5639" max="5639" width="17.42578125" style="76" customWidth="1"/>
    <col min="5640" max="5640" width="15.85546875" style="76" customWidth="1"/>
    <col min="5641" max="5641" width="17" style="76" customWidth="1"/>
    <col min="5642" max="5642" width="19.7109375" style="76" customWidth="1"/>
    <col min="5643" max="5643" width="17.28515625" style="76" customWidth="1"/>
    <col min="5644" max="5644" width="18.140625" style="76" customWidth="1"/>
    <col min="5645" max="5645" width="21.7109375" style="76" customWidth="1"/>
    <col min="5646" max="5646" width="0.42578125" style="76" customWidth="1"/>
    <col min="5647" max="5647" width="16.140625" style="76" bestFit="1" customWidth="1"/>
    <col min="5648" max="5648" width="11.5703125" style="76" bestFit="1" customWidth="1"/>
    <col min="5649" max="5887" width="9.140625" style="76"/>
    <col min="5888" max="5888" width="33" style="76" customWidth="1"/>
    <col min="5889" max="5889" width="17.42578125" style="76" customWidth="1"/>
    <col min="5890" max="5890" width="17.140625" style="76" customWidth="1"/>
    <col min="5891" max="5891" width="16" style="76" customWidth="1"/>
    <col min="5892" max="5892" width="16.5703125" style="76" customWidth="1"/>
    <col min="5893" max="5893" width="16.28515625" style="76" customWidth="1"/>
    <col min="5894" max="5894" width="18.28515625" style="76" customWidth="1"/>
    <col min="5895" max="5895" width="17.42578125" style="76" customWidth="1"/>
    <col min="5896" max="5896" width="15.85546875" style="76" customWidth="1"/>
    <col min="5897" max="5897" width="17" style="76" customWidth="1"/>
    <col min="5898" max="5898" width="19.7109375" style="76" customWidth="1"/>
    <col min="5899" max="5899" width="17.28515625" style="76" customWidth="1"/>
    <col min="5900" max="5900" width="18.140625" style="76" customWidth="1"/>
    <col min="5901" max="5901" width="21.7109375" style="76" customWidth="1"/>
    <col min="5902" max="5902" width="0.42578125" style="76" customWidth="1"/>
    <col min="5903" max="5903" width="16.140625" style="76" bestFit="1" customWidth="1"/>
    <col min="5904" max="5904" width="11.5703125" style="76" bestFit="1" customWidth="1"/>
    <col min="5905" max="6143" width="9.140625" style="76"/>
    <col min="6144" max="6144" width="33" style="76" customWidth="1"/>
    <col min="6145" max="6145" width="17.42578125" style="76" customWidth="1"/>
    <col min="6146" max="6146" width="17.140625" style="76" customWidth="1"/>
    <col min="6147" max="6147" width="16" style="76" customWidth="1"/>
    <col min="6148" max="6148" width="16.5703125" style="76" customWidth="1"/>
    <col min="6149" max="6149" width="16.28515625" style="76" customWidth="1"/>
    <col min="6150" max="6150" width="18.28515625" style="76" customWidth="1"/>
    <col min="6151" max="6151" width="17.42578125" style="76" customWidth="1"/>
    <col min="6152" max="6152" width="15.85546875" style="76" customWidth="1"/>
    <col min="6153" max="6153" width="17" style="76" customWidth="1"/>
    <col min="6154" max="6154" width="19.7109375" style="76" customWidth="1"/>
    <col min="6155" max="6155" width="17.28515625" style="76" customWidth="1"/>
    <col min="6156" max="6156" width="18.140625" style="76" customWidth="1"/>
    <col min="6157" max="6157" width="21.7109375" style="76" customWidth="1"/>
    <col min="6158" max="6158" width="0.42578125" style="76" customWidth="1"/>
    <col min="6159" max="6159" width="16.140625" style="76" bestFit="1" customWidth="1"/>
    <col min="6160" max="6160" width="11.5703125" style="76" bestFit="1" customWidth="1"/>
    <col min="6161" max="6399" width="9.140625" style="76"/>
    <col min="6400" max="6400" width="33" style="76" customWidth="1"/>
    <col min="6401" max="6401" width="17.42578125" style="76" customWidth="1"/>
    <col min="6402" max="6402" width="17.140625" style="76" customWidth="1"/>
    <col min="6403" max="6403" width="16" style="76" customWidth="1"/>
    <col min="6404" max="6404" width="16.5703125" style="76" customWidth="1"/>
    <col min="6405" max="6405" width="16.28515625" style="76" customWidth="1"/>
    <col min="6406" max="6406" width="18.28515625" style="76" customWidth="1"/>
    <col min="6407" max="6407" width="17.42578125" style="76" customWidth="1"/>
    <col min="6408" max="6408" width="15.85546875" style="76" customWidth="1"/>
    <col min="6409" max="6409" width="17" style="76" customWidth="1"/>
    <col min="6410" max="6410" width="19.7109375" style="76" customWidth="1"/>
    <col min="6411" max="6411" width="17.28515625" style="76" customWidth="1"/>
    <col min="6412" max="6412" width="18.140625" style="76" customWidth="1"/>
    <col min="6413" max="6413" width="21.7109375" style="76" customWidth="1"/>
    <col min="6414" max="6414" width="0.42578125" style="76" customWidth="1"/>
    <col min="6415" max="6415" width="16.140625" style="76" bestFit="1" customWidth="1"/>
    <col min="6416" max="6416" width="11.5703125" style="76" bestFit="1" customWidth="1"/>
    <col min="6417" max="6655" width="9.140625" style="76"/>
    <col min="6656" max="6656" width="33" style="76" customWidth="1"/>
    <col min="6657" max="6657" width="17.42578125" style="76" customWidth="1"/>
    <col min="6658" max="6658" width="17.140625" style="76" customWidth="1"/>
    <col min="6659" max="6659" width="16" style="76" customWidth="1"/>
    <col min="6660" max="6660" width="16.5703125" style="76" customWidth="1"/>
    <col min="6661" max="6661" width="16.28515625" style="76" customWidth="1"/>
    <col min="6662" max="6662" width="18.28515625" style="76" customWidth="1"/>
    <col min="6663" max="6663" width="17.42578125" style="76" customWidth="1"/>
    <col min="6664" max="6664" width="15.85546875" style="76" customWidth="1"/>
    <col min="6665" max="6665" width="17" style="76" customWidth="1"/>
    <col min="6666" max="6666" width="19.7109375" style="76" customWidth="1"/>
    <col min="6667" max="6667" width="17.28515625" style="76" customWidth="1"/>
    <col min="6668" max="6668" width="18.140625" style="76" customWidth="1"/>
    <col min="6669" max="6669" width="21.7109375" style="76" customWidth="1"/>
    <col min="6670" max="6670" width="0.42578125" style="76" customWidth="1"/>
    <col min="6671" max="6671" width="16.140625" style="76" bestFit="1" customWidth="1"/>
    <col min="6672" max="6672" width="11.5703125" style="76" bestFit="1" customWidth="1"/>
    <col min="6673" max="6911" width="9.140625" style="76"/>
    <col min="6912" max="6912" width="33" style="76" customWidth="1"/>
    <col min="6913" max="6913" width="17.42578125" style="76" customWidth="1"/>
    <col min="6914" max="6914" width="17.140625" style="76" customWidth="1"/>
    <col min="6915" max="6915" width="16" style="76" customWidth="1"/>
    <col min="6916" max="6916" width="16.5703125" style="76" customWidth="1"/>
    <col min="6917" max="6917" width="16.28515625" style="76" customWidth="1"/>
    <col min="6918" max="6918" width="18.28515625" style="76" customWidth="1"/>
    <col min="6919" max="6919" width="17.42578125" style="76" customWidth="1"/>
    <col min="6920" max="6920" width="15.85546875" style="76" customWidth="1"/>
    <col min="6921" max="6921" width="17" style="76" customWidth="1"/>
    <col min="6922" max="6922" width="19.7109375" style="76" customWidth="1"/>
    <col min="6923" max="6923" width="17.28515625" style="76" customWidth="1"/>
    <col min="6924" max="6924" width="18.140625" style="76" customWidth="1"/>
    <col min="6925" max="6925" width="21.7109375" style="76" customWidth="1"/>
    <col min="6926" max="6926" width="0.42578125" style="76" customWidth="1"/>
    <col min="6927" max="6927" width="16.140625" style="76" bestFit="1" customWidth="1"/>
    <col min="6928" max="6928" width="11.5703125" style="76" bestFit="1" customWidth="1"/>
    <col min="6929" max="7167" width="9.140625" style="76"/>
    <col min="7168" max="7168" width="33" style="76" customWidth="1"/>
    <col min="7169" max="7169" width="17.42578125" style="76" customWidth="1"/>
    <col min="7170" max="7170" width="17.140625" style="76" customWidth="1"/>
    <col min="7171" max="7171" width="16" style="76" customWidth="1"/>
    <col min="7172" max="7172" width="16.5703125" style="76" customWidth="1"/>
    <col min="7173" max="7173" width="16.28515625" style="76" customWidth="1"/>
    <col min="7174" max="7174" width="18.28515625" style="76" customWidth="1"/>
    <col min="7175" max="7175" width="17.42578125" style="76" customWidth="1"/>
    <col min="7176" max="7176" width="15.85546875" style="76" customWidth="1"/>
    <col min="7177" max="7177" width="17" style="76" customWidth="1"/>
    <col min="7178" max="7178" width="19.7109375" style="76" customWidth="1"/>
    <col min="7179" max="7179" width="17.28515625" style="76" customWidth="1"/>
    <col min="7180" max="7180" width="18.140625" style="76" customWidth="1"/>
    <col min="7181" max="7181" width="21.7109375" style="76" customWidth="1"/>
    <col min="7182" max="7182" width="0.42578125" style="76" customWidth="1"/>
    <col min="7183" max="7183" width="16.140625" style="76" bestFit="1" customWidth="1"/>
    <col min="7184" max="7184" width="11.5703125" style="76" bestFit="1" customWidth="1"/>
    <col min="7185" max="7423" width="9.140625" style="76"/>
    <col min="7424" max="7424" width="33" style="76" customWidth="1"/>
    <col min="7425" max="7425" width="17.42578125" style="76" customWidth="1"/>
    <col min="7426" max="7426" width="17.140625" style="76" customWidth="1"/>
    <col min="7427" max="7427" width="16" style="76" customWidth="1"/>
    <col min="7428" max="7428" width="16.5703125" style="76" customWidth="1"/>
    <col min="7429" max="7429" width="16.28515625" style="76" customWidth="1"/>
    <col min="7430" max="7430" width="18.28515625" style="76" customWidth="1"/>
    <col min="7431" max="7431" width="17.42578125" style="76" customWidth="1"/>
    <col min="7432" max="7432" width="15.85546875" style="76" customWidth="1"/>
    <col min="7433" max="7433" width="17" style="76" customWidth="1"/>
    <col min="7434" max="7434" width="19.7109375" style="76" customWidth="1"/>
    <col min="7435" max="7435" width="17.28515625" style="76" customWidth="1"/>
    <col min="7436" max="7436" width="18.140625" style="76" customWidth="1"/>
    <col min="7437" max="7437" width="21.7109375" style="76" customWidth="1"/>
    <col min="7438" max="7438" width="0.42578125" style="76" customWidth="1"/>
    <col min="7439" max="7439" width="16.140625" style="76" bestFit="1" customWidth="1"/>
    <col min="7440" max="7440" width="11.5703125" style="76" bestFit="1" customWidth="1"/>
    <col min="7441" max="7679" width="9.140625" style="76"/>
    <col min="7680" max="7680" width="33" style="76" customWidth="1"/>
    <col min="7681" max="7681" width="17.42578125" style="76" customWidth="1"/>
    <col min="7682" max="7682" width="17.140625" style="76" customWidth="1"/>
    <col min="7683" max="7683" width="16" style="76" customWidth="1"/>
    <col min="7684" max="7684" width="16.5703125" style="76" customWidth="1"/>
    <col min="7685" max="7685" width="16.28515625" style="76" customWidth="1"/>
    <col min="7686" max="7686" width="18.28515625" style="76" customWidth="1"/>
    <col min="7687" max="7687" width="17.42578125" style="76" customWidth="1"/>
    <col min="7688" max="7688" width="15.85546875" style="76" customWidth="1"/>
    <col min="7689" max="7689" width="17" style="76" customWidth="1"/>
    <col min="7690" max="7690" width="19.7109375" style="76" customWidth="1"/>
    <col min="7691" max="7691" width="17.28515625" style="76" customWidth="1"/>
    <col min="7692" max="7692" width="18.140625" style="76" customWidth="1"/>
    <col min="7693" max="7693" width="21.7109375" style="76" customWidth="1"/>
    <col min="7694" max="7694" width="0.42578125" style="76" customWidth="1"/>
    <col min="7695" max="7695" width="16.140625" style="76" bestFit="1" customWidth="1"/>
    <col min="7696" max="7696" width="11.5703125" style="76" bestFit="1" customWidth="1"/>
    <col min="7697" max="7935" width="9.140625" style="76"/>
    <col min="7936" max="7936" width="33" style="76" customWidth="1"/>
    <col min="7937" max="7937" width="17.42578125" style="76" customWidth="1"/>
    <col min="7938" max="7938" width="17.140625" style="76" customWidth="1"/>
    <col min="7939" max="7939" width="16" style="76" customWidth="1"/>
    <col min="7940" max="7940" width="16.5703125" style="76" customWidth="1"/>
    <col min="7941" max="7941" width="16.28515625" style="76" customWidth="1"/>
    <col min="7942" max="7942" width="18.28515625" style="76" customWidth="1"/>
    <col min="7943" max="7943" width="17.42578125" style="76" customWidth="1"/>
    <col min="7944" max="7944" width="15.85546875" style="76" customWidth="1"/>
    <col min="7945" max="7945" width="17" style="76" customWidth="1"/>
    <col min="7946" max="7946" width="19.7109375" style="76" customWidth="1"/>
    <col min="7947" max="7947" width="17.28515625" style="76" customWidth="1"/>
    <col min="7948" max="7948" width="18.140625" style="76" customWidth="1"/>
    <col min="7949" max="7949" width="21.7109375" style="76" customWidth="1"/>
    <col min="7950" max="7950" width="0.42578125" style="76" customWidth="1"/>
    <col min="7951" max="7951" width="16.140625" style="76" bestFit="1" customWidth="1"/>
    <col min="7952" max="7952" width="11.5703125" style="76" bestFit="1" customWidth="1"/>
    <col min="7953" max="8191" width="9.140625" style="76"/>
    <col min="8192" max="8192" width="33" style="76" customWidth="1"/>
    <col min="8193" max="8193" width="17.42578125" style="76" customWidth="1"/>
    <col min="8194" max="8194" width="17.140625" style="76" customWidth="1"/>
    <col min="8195" max="8195" width="16" style="76" customWidth="1"/>
    <col min="8196" max="8196" width="16.5703125" style="76" customWidth="1"/>
    <col min="8197" max="8197" width="16.28515625" style="76" customWidth="1"/>
    <col min="8198" max="8198" width="18.28515625" style="76" customWidth="1"/>
    <col min="8199" max="8199" width="17.42578125" style="76" customWidth="1"/>
    <col min="8200" max="8200" width="15.85546875" style="76" customWidth="1"/>
    <col min="8201" max="8201" width="17" style="76" customWidth="1"/>
    <col min="8202" max="8202" width="19.7109375" style="76" customWidth="1"/>
    <col min="8203" max="8203" width="17.28515625" style="76" customWidth="1"/>
    <col min="8204" max="8204" width="18.140625" style="76" customWidth="1"/>
    <col min="8205" max="8205" width="21.7109375" style="76" customWidth="1"/>
    <col min="8206" max="8206" width="0.42578125" style="76" customWidth="1"/>
    <col min="8207" max="8207" width="16.140625" style="76" bestFit="1" customWidth="1"/>
    <col min="8208" max="8208" width="11.5703125" style="76" bestFit="1" customWidth="1"/>
    <col min="8209" max="8447" width="9.140625" style="76"/>
    <col min="8448" max="8448" width="33" style="76" customWidth="1"/>
    <col min="8449" max="8449" width="17.42578125" style="76" customWidth="1"/>
    <col min="8450" max="8450" width="17.140625" style="76" customWidth="1"/>
    <col min="8451" max="8451" width="16" style="76" customWidth="1"/>
    <col min="8452" max="8452" width="16.5703125" style="76" customWidth="1"/>
    <col min="8453" max="8453" width="16.28515625" style="76" customWidth="1"/>
    <col min="8454" max="8454" width="18.28515625" style="76" customWidth="1"/>
    <col min="8455" max="8455" width="17.42578125" style="76" customWidth="1"/>
    <col min="8456" max="8456" width="15.85546875" style="76" customWidth="1"/>
    <col min="8457" max="8457" width="17" style="76" customWidth="1"/>
    <col min="8458" max="8458" width="19.7109375" style="76" customWidth="1"/>
    <col min="8459" max="8459" width="17.28515625" style="76" customWidth="1"/>
    <col min="8460" max="8460" width="18.140625" style="76" customWidth="1"/>
    <col min="8461" max="8461" width="21.7109375" style="76" customWidth="1"/>
    <col min="8462" max="8462" width="0.42578125" style="76" customWidth="1"/>
    <col min="8463" max="8463" width="16.140625" style="76" bestFit="1" customWidth="1"/>
    <col min="8464" max="8464" width="11.5703125" style="76" bestFit="1" customWidth="1"/>
    <col min="8465" max="8703" width="9.140625" style="76"/>
    <col min="8704" max="8704" width="33" style="76" customWidth="1"/>
    <col min="8705" max="8705" width="17.42578125" style="76" customWidth="1"/>
    <col min="8706" max="8706" width="17.140625" style="76" customWidth="1"/>
    <col min="8707" max="8707" width="16" style="76" customWidth="1"/>
    <col min="8708" max="8708" width="16.5703125" style="76" customWidth="1"/>
    <col min="8709" max="8709" width="16.28515625" style="76" customWidth="1"/>
    <col min="8710" max="8710" width="18.28515625" style="76" customWidth="1"/>
    <col min="8711" max="8711" width="17.42578125" style="76" customWidth="1"/>
    <col min="8712" max="8712" width="15.85546875" style="76" customWidth="1"/>
    <col min="8713" max="8713" width="17" style="76" customWidth="1"/>
    <col min="8714" max="8714" width="19.7109375" style="76" customWidth="1"/>
    <col min="8715" max="8715" width="17.28515625" style="76" customWidth="1"/>
    <col min="8716" max="8716" width="18.140625" style="76" customWidth="1"/>
    <col min="8717" max="8717" width="21.7109375" style="76" customWidth="1"/>
    <col min="8718" max="8718" width="0.42578125" style="76" customWidth="1"/>
    <col min="8719" max="8719" width="16.140625" style="76" bestFit="1" customWidth="1"/>
    <col min="8720" max="8720" width="11.5703125" style="76" bestFit="1" customWidth="1"/>
    <col min="8721" max="8959" width="9.140625" style="76"/>
    <col min="8960" max="8960" width="33" style="76" customWidth="1"/>
    <col min="8961" max="8961" width="17.42578125" style="76" customWidth="1"/>
    <col min="8962" max="8962" width="17.140625" style="76" customWidth="1"/>
    <col min="8963" max="8963" width="16" style="76" customWidth="1"/>
    <col min="8964" max="8964" width="16.5703125" style="76" customWidth="1"/>
    <col min="8965" max="8965" width="16.28515625" style="76" customWidth="1"/>
    <col min="8966" max="8966" width="18.28515625" style="76" customWidth="1"/>
    <col min="8967" max="8967" width="17.42578125" style="76" customWidth="1"/>
    <col min="8968" max="8968" width="15.85546875" style="76" customWidth="1"/>
    <col min="8969" max="8969" width="17" style="76" customWidth="1"/>
    <col min="8970" max="8970" width="19.7109375" style="76" customWidth="1"/>
    <col min="8971" max="8971" width="17.28515625" style="76" customWidth="1"/>
    <col min="8972" max="8972" width="18.140625" style="76" customWidth="1"/>
    <col min="8973" max="8973" width="21.7109375" style="76" customWidth="1"/>
    <col min="8974" max="8974" width="0.42578125" style="76" customWidth="1"/>
    <col min="8975" max="8975" width="16.140625" style="76" bestFit="1" customWidth="1"/>
    <col min="8976" max="8976" width="11.5703125" style="76" bestFit="1" customWidth="1"/>
    <col min="8977" max="9215" width="9.140625" style="76"/>
    <col min="9216" max="9216" width="33" style="76" customWidth="1"/>
    <col min="9217" max="9217" width="17.42578125" style="76" customWidth="1"/>
    <col min="9218" max="9218" width="17.140625" style="76" customWidth="1"/>
    <col min="9219" max="9219" width="16" style="76" customWidth="1"/>
    <col min="9220" max="9220" width="16.5703125" style="76" customWidth="1"/>
    <col min="9221" max="9221" width="16.28515625" style="76" customWidth="1"/>
    <col min="9222" max="9222" width="18.28515625" style="76" customWidth="1"/>
    <col min="9223" max="9223" width="17.42578125" style="76" customWidth="1"/>
    <col min="9224" max="9224" width="15.85546875" style="76" customWidth="1"/>
    <col min="9225" max="9225" width="17" style="76" customWidth="1"/>
    <col min="9226" max="9226" width="19.7109375" style="76" customWidth="1"/>
    <col min="9227" max="9227" width="17.28515625" style="76" customWidth="1"/>
    <col min="9228" max="9228" width="18.140625" style="76" customWidth="1"/>
    <col min="9229" max="9229" width="21.7109375" style="76" customWidth="1"/>
    <col min="9230" max="9230" width="0.42578125" style="76" customWidth="1"/>
    <col min="9231" max="9231" width="16.140625" style="76" bestFit="1" customWidth="1"/>
    <col min="9232" max="9232" width="11.5703125" style="76" bestFit="1" customWidth="1"/>
    <col min="9233" max="9471" width="9.140625" style="76"/>
    <col min="9472" max="9472" width="33" style="76" customWidth="1"/>
    <col min="9473" max="9473" width="17.42578125" style="76" customWidth="1"/>
    <col min="9474" max="9474" width="17.140625" style="76" customWidth="1"/>
    <col min="9475" max="9475" width="16" style="76" customWidth="1"/>
    <col min="9476" max="9476" width="16.5703125" style="76" customWidth="1"/>
    <col min="9477" max="9477" width="16.28515625" style="76" customWidth="1"/>
    <col min="9478" max="9478" width="18.28515625" style="76" customWidth="1"/>
    <col min="9479" max="9479" width="17.42578125" style="76" customWidth="1"/>
    <col min="9480" max="9480" width="15.85546875" style="76" customWidth="1"/>
    <col min="9481" max="9481" width="17" style="76" customWidth="1"/>
    <col min="9482" max="9482" width="19.7109375" style="76" customWidth="1"/>
    <col min="9483" max="9483" width="17.28515625" style="76" customWidth="1"/>
    <col min="9484" max="9484" width="18.140625" style="76" customWidth="1"/>
    <col min="9485" max="9485" width="21.7109375" style="76" customWidth="1"/>
    <col min="9486" max="9486" width="0.42578125" style="76" customWidth="1"/>
    <col min="9487" max="9487" width="16.140625" style="76" bestFit="1" customWidth="1"/>
    <col min="9488" max="9488" width="11.5703125" style="76" bestFit="1" customWidth="1"/>
    <col min="9489" max="9727" width="9.140625" style="76"/>
    <col min="9728" max="9728" width="33" style="76" customWidth="1"/>
    <col min="9729" max="9729" width="17.42578125" style="76" customWidth="1"/>
    <col min="9730" max="9730" width="17.140625" style="76" customWidth="1"/>
    <col min="9731" max="9731" width="16" style="76" customWidth="1"/>
    <col min="9732" max="9732" width="16.5703125" style="76" customWidth="1"/>
    <col min="9733" max="9733" width="16.28515625" style="76" customWidth="1"/>
    <col min="9734" max="9734" width="18.28515625" style="76" customWidth="1"/>
    <col min="9735" max="9735" width="17.42578125" style="76" customWidth="1"/>
    <col min="9736" max="9736" width="15.85546875" style="76" customWidth="1"/>
    <col min="9737" max="9737" width="17" style="76" customWidth="1"/>
    <col min="9738" max="9738" width="19.7109375" style="76" customWidth="1"/>
    <col min="9739" max="9739" width="17.28515625" style="76" customWidth="1"/>
    <col min="9740" max="9740" width="18.140625" style="76" customWidth="1"/>
    <col min="9741" max="9741" width="21.7109375" style="76" customWidth="1"/>
    <col min="9742" max="9742" width="0.42578125" style="76" customWidth="1"/>
    <col min="9743" max="9743" width="16.140625" style="76" bestFit="1" customWidth="1"/>
    <col min="9744" max="9744" width="11.5703125" style="76" bestFit="1" customWidth="1"/>
    <col min="9745" max="9983" width="9.140625" style="76"/>
    <col min="9984" max="9984" width="33" style="76" customWidth="1"/>
    <col min="9985" max="9985" width="17.42578125" style="76" customWidth="1"/>
    <col min="9986" max="9986" width="17.140625" style="76" customWidth="1"/>
    <col min="9987" max="9987" width="16" style="76" customWidth="1"/>
    <col min="9988" max="9988" width="16.5703125" style="76" customWidth="1"/>
    <col min="9989" max="9989" width="16.28515625" style="76" customWidth="1"/>
    <col min="9990" max="9990" width="18.28515625" style="76" customWidth="1"/>
    <col min="9991" max="9991" width="17.42578125" style="76" customWidth="1"/>
    <col min="9992" max="9992" width="15.85546875" style="76" customWidth="1"/>
    <col min="9993" max="9993" width="17" style="76" customWidth="1"/>
    <col min="9994" max="9994" width="19.7109375" style="76" customWidth="1"/>
    <col min="9995" max="9995" width="17.28515625" style="76" customWidth="1"/>
    <col min="9996" max="9996" width="18.140625" style="76" customWidth="1"/>
    <col min="9997" max="9997" width="21.7109375" style="76" customWidth="1"/>
    <col min="9998" max="9998" width="0.42578125" style="76" customWidth="1"/>
    <col min="9999" max="9999" width="16.140625" style="76" bestFit="1" customWidth="1"/>
    <col min="10000" max="10000" width="11.5703125" style="76" bestFit="1" customWidth="1"/>
    <col min="10001" max="10239" width="9.140625" style="76"/>
    <col min="10240" max="10240" width="33" style="76" customWidth="1"/>
    <col min="10241" max="10241" width="17.42578125" style="76" customWidth="1"/>
    <col min="10242" max="10242" width="17.140625" style="76" customWidth="1"/>
    <col min="10243" max="10243" width="16" style="76" customWidth="1"/>
    <col min="10244" max="10244" width="16.5703125" style="76" customWidth="1"/>
    <col min="10245" max="10245" width="16.28515625" style="76" customWidth="1"/>
    <col min="10246" max="10246" width="18.28515625" style="76" customWidth="1"/>
    <col min="10247" max="10247" width="17.42578125" style="76" customWidth="1"/>
    <col min="10248" max="10248" width="15.85546875" style="76" customWidth="1"/>
    <col min="10249" max="10249" width="17" style="76" customWidth="1"/>
    <col min="10250" max="10250" width="19.7109375" style="76" customWidth="1"/>
    <col min="10251" max="10251" width="17.28515625" style="76" customWidth="1"/>
    <col min="10252" max="10252" width="18.140625" style="76" customWidth="1"/>
    <col min="10253" max="10253" width="21.7109375" style="76" customWidth="1"/>
    <col min="10254" max="10254" width="0.42578125" style="76" customWidth="1"/>
    <col min="10255" max="10255" width="16.140625" style="76" bestFit="1" customWidth="1"/>
    <col min="10256" max="10256" width="11.5703125" style="76" bestFit="1" customWidth="1"/>
    <col min="10257" max="10495" width="9.140625" style="76"/>
    <col min="10496" max="10496" width="33" style="76" customWidth="1"/>
    <col min="10497" max="10497" width="17.42578125" style="76" customWidth="1"/>
    <col min="10498" max="10498" width="17.140625" style="76" customWidth="1"/>
    <col min="10499" max="10499" width="16" style="76" customWidth="1"/>
    <col min="10500" max="10500" width="16.5703125" style="76" customWidth="1"/>
    <col min="10501" max="10501" width="16.28515625" style="76" customWidth="1"/>
    <col min="10502" max="10502" width="18.28515625" style="76" customWidth="1"/>
    <col min="10503" max="10503" width="17.42578125" style="76" customWidth="1"/>
    <col min="10504" max="10504" width="15.85546875" style="76" customWidth="1"/>
    <col min="10505" max="10505" width="17" style="76" customWidth="1"/>
    <col min="10506" max="10506" width="19.7109375" style="76" customWidth="1"/>
    <col min="10507" max="10507" width="17.28515625" style="76" customWidth="1"/>
    <col min="10508" max="10508" width="18.140625" style="76" customWidth="1"/>
    <col min="10509" max="10509" width="21.7109375" style="76" customWidth="1"/>
    <col min="10510" max="10510" width="0.42578125" style="76" customWidth="1"/>
    <col min="10511" max="10511" width="16.140625" style="76" bestFit="1" customWidth="1"/>
    <col min="10512" max="10512" width="11.5703125" style="76" bestFit="1" customWidth="1"/>
    <col min="10513" max="10751" width="9.140625" style="76"/>
    <col min="10752" max="10752" width="33" style="76" customWidth="1"/>
    <col min="10753" max="10753" width="17.42578125" style="76" customWidth="1"/>
    <col min="10754" max="10754" width="17.140625" style="76" customWidth="1"/>
    <col min="10755" max="10755" width="16" style="76" customWidth="1"/>
    <col min="10756" max="10756" width="16.5703125" style="76" customWidth="1"/>
    <col min="10757" max="10757" width="16.28515625" style="76" customWidth="1"/>
    <col min="10758" max="10758" width="18.28515625" style="76" customWidth="1"/>
    <col min="10759" max="10759" width="17.42578125" style="76" customWidth="1"/>
    <col min="10760" max="10760" width="15.85546875" style="76" customWidth="1"/>
    <col min="10761" max="10761" width="17" style="76" customWidth="1"/>
    <col min="10762" max="10762" width="19.7109375" style="76" customWidth="1"/>
    <col min="10763" max="10763" width="17.28515625" style="76" customWidth="1"/>
    <col min="10764" max="10764" width="18.140625" style="76" customWidth="1"/>
    <col min="10765" max="10765" width="21.7109375" style="76" customWidth="1"/>
    <col min="10766" max="10766" width="0.42578125" style="76" customWidth="1"/>
    <col min="10767" max="10767" width="16.140625" style="76" bestFit="1" customWidth="1"/>
    <col min="10768" max="10768" width="11.5703125" style="76" bestFit="1" customWidth="1"/>
    <col min="10769" max="11007" width="9.140625" style="76"/>
    <col min="11008" max="11008" width="33" style="76" customWidth="1"/>
    <col min="11009" max="11009" width="17.42578125" style="76" customWidth="1"/>
    <col min="11010" max="11010" width="17.140625" style="76" customWidth="1"/>
    <col min="11011" max="11011" width="16" style="76" customWidth="1"/>
    <col min="11012" max="11012" width="16.5703125" style="76" customWidth="1"/>
    <col min="11013" max="11013" width="16.28515625" style="76" customWidth="1"/>
    <col min="11014" max="11014" width="18.28515625" style="76" customWidth="1"/>
    <col min="11015" max="11015" width="17.42578125" style="76" customWidth="1"/>
    <col min="11016" max="11016" width="15.85546875" style="76" customWidth="1"/>
    <col min="11017" max="11017" width="17" style="76" customWidth="1"/>
    <col min="11018" max="11018" width="19.7109375" style="76" customWidth="1"/>
    <col min="11019" max="11019" width="17.28515625" style="76" customWidth="1"/>
    <col min="11020" max="11020" width="18.140625" style="76" customWidth="1"/>
    <col min="11021" max="11021" width="21.7109375" style="76" customWidth="1"/>
    <col min="11022" max="11022" width="0.42578125" style="76" customWidth="1"/>
    <col min="11023" max="11023" width="16.140625" style="76" bestFit="1" customWidth="1"/>
    <col min="11024" max="11024" width="11.5703125" style="76" bestFit="1" customWidth="1"/>
    <col min="11025" max="11263" width="9.140625" style="76"/>
    <col min="11264" max="11264" width="33" style="76" customWidth="1"/>
    <col min="11265" max="11265" width="17.42578125" style="76" customWidth="1"/>
    <col min="11266" max="11266" width="17.140625" style="76" customWidth="1"/>
    <col min="11267" max="11267" width="16" style="76" customWidth="1"/>
    <col min="11268" max="11268" width="16.5703125" style="76" customWidth="1"/>
    <col min="11269" max="11269" width="16.28515625" style="76" customWidth="1"/>
    <col min="11270" max="11270" width="18.28515625" style="76" customWidth="1"/>
    <col min="11271" max="11271" width="17.42578125" style="76" customWidth="1"/>
    <col min="11272" max="11272" width="15.85546875" style="76" customWidth="1"/>
    <col min="11273" max="11273" width="17" style="76" customWidth="1"/>
    <col min="11274" max="11274" width="19.7109375" style="76" customWidth="1"/>
    <col min="11275" max="11275" width="17.28515625" style="76" customWidth="1"/>
    <col min="11276" max="11276" width="18.140625" style="76" customWidth="1"/>
    <col min="11277" max="11277" width="21.7109375" style="76" customWidth="1"/>
    <col min="11278" max="11278" width="0.42578125" style="76" customWidth="1"/>
    <col min="11279" max="11279" width="16.140625" style="76" bestFit="1" customWidth="1"/>
    <col min="11280" max="11280" width="11.5703125" style="76" bestFit="1" customWidth="1"/>
    <col min="11281" max="11519" width="9.140625" style="76"/>
    <col min="11520" max="11520" width="33" style="76" customWidth="1"/>
    <col min="11521" max="11521" width="17.42578125" style="76" customWidth="1"/>
    <col min="11522" max="11522" width="17.140625" style="76" customWidth="1"/>
    <col min="11523" max="11523" width="16" style="76" customWidth="1"/>
    <col min="11524" max="11524" width="16.5703125" style="76" customWidth="1"/>
    <col min="11525" max="11525" width="16.28515625" style="76" customWidth="1"/>
    <col min="11526" max="11526" width="18.28515625" style="76" customWidth="1"/>
    <col min="11527" max="11527" width="17.42578125" style="76" customWidth="1"/>
    <col min="11528" max="11528" width="15.85546875" style="76" customWidth="1"/>
    <col min="11529" max="11529" width="17" style="76" customWidth="1"/>
    <col min="11530" max="11530" width="19.7109375" style="76" customWidth="1"/>
    <col min="11531" max="11531" width="17.28515625" style="76" customWidth="1"/>
    <col min="11532" max="11532" width="18.140625" style="76" customWidth="1"/>
    <col min="11533" max="11533" width="21.7109375" style="76" customWidth="1"/>
    <col min="11534" max="11534" width="0.42578125" style="76" customWidth="1"/>
    <col min="11535" max="11535" width="16.140625" style="76" bestFit="1" customWidth="1"/>
    <col min="11536" max="11536" width="11.5703125" style="76" bestFit="1" customWidth="1"/>
    <col min="11537" max="11775" width="9.140625" style="76"/>
    <col min="11776" max="11776" width="33" style="76" customWidth="1"/>
    <col min="11777" max="11777" width="17.42578125" style="76" customWidth="1"/>
    <col min="11778" max="11778" width="17.140625" style="76" customWidth="1"/>
    <col min="11779" max="11779" width="16" style="76" customWidth="1"/>
    <col min="11780" max="11780" width="16.5703125" style="76" customWidth="1"/>
    <col min="11781" max="11781" width="16.28515625" style="76" customWidth="1"/>
    <col min="11782" max="11782" width="18.28515625" style="76" customWidth="1"/>
    <col min="11783" max="11783" width="17.42578125" style="76" customWidth="1"/>
    <col min="11784" max="11784" width="15.85546875" style="76" customWidth="1"/>
    <col min="11785" max="11785" width="17" style="76" customWidth="1"/>
    <col min="11786" max="11786" width="19.7109375" style="76" customWidth="1"/>
    <col min="11787" max="11787" width="17.28515625" style="76" customWidth="1"/>
    <col min="11788" max="11788" width="18.140625" style="76" customWidth="1"/>
    <col min="11789" max="11789" width="21.7109375" style="76" customWidth="1"/>
    <col min="11790" max="11790" width="0.42578125" style="76" customWidth="1"/>
    <col min="11791" max="11791" width="16.140625" style="76" bestFit="1" customWidth="1"/>
    <col min="11792" max="11792" width="11.5703125" style="76" bestFit="1" customWidth="1"/>
    <col min="11793" max="12031" width="9.140625" style="76"/>
    <col min="12032" max="12032" width="33" style="76" customWidth="1"/>
    <col min="12033" max="12033" width="17.42578125" style="76" customWidth="1"/>
    <col min="12034" max="12034" width="17.140625" style="76" customWidth="1"/>
    <col min="12035" max="12035" width="16" style="76" customWidth="1"/>
    <col min="12036" max="12036" width="16.5703125" style="76" customWidth="1"/>
    <col min="12037" max="12037" width="16.28515625" style="76" customWidth="1"/>
    <col min="12038" max="12038" width="18.28515625" style="76" customWidth="1"/>
    <col min="12039" max="12039" width="17.42578125" style="76" customWidth="1"/>
    <col min="12040" max="12040" width="15.85546875" style="76" customWidth="1"/>
    <col min="12041" max="12041" width="17" style="76" customWidth="1"/>
    <col min="12042" max="12042" width="19.7109375" style="76" customWidth="1"/>
    <col min="12043" max="12043" width="17.28515625" style="76" customWidth="1"/>
    <col min="12044" max="12044" width="18.140625" style="76" customWidth="1"/>
    <col min="12045" max="12045" width="21.7109375" style="76" customWidth="1"/>
    <col min="12046" max="12046" width="0.42578125" style="76" customWidth="1"/>
    <col min="12047" max="12047" width="16.140625" style="76" bestFit="1" customWidth="1"/>
    <col min="12048" max="12048" width="11.5703125" style="76" bestFit="1" customWidth="1"/>
    <col min="12049" max="12287" width="9.140625" style="76"/>
    <col min="12288" max="12288" width="33" style="76" customWidth="1"/>
    <col min="12289" max="12289" width="17.42578125" style="76" customWidth="1"/>
    <col min="12290" max="12290" width="17.140625" style="76" customWidth="1"/>
    <col min="12291" max="12291" width="16" style="76" customWidth="1"/>
    <col min="12292" max="12292" width="16.5703125" style="76" customWidth="1"/>
    <col min="12293" max="12293" width="16.28515625" style="76" customWidth="1"/>
    <col min="12294" max="12294" width="18.28515625" style="76" customWidth="1"/>
    <col min="12295" max="12295" width="17.42578125" style="76" customWidth="1"/>
    <col min="12296" max="12296" width="15.85546875" style="76" customWidth="1"/>
    <col min="12297" max="12297" width="17" style="76" customWidth="1"/>
    <col min="12298" max="12298" width="19.7109375" style="76" customWidth="1"/>
    <col min="12299" max="12299" width="17.28515625" style="76" customWidth="1"/>
    <col min="12300" max="12300" width="18.140625" style="76" customWidth="1"/>
    <col min="12301" max="12301" width="21.7109375" style="76" customWidth="1"/>
    <col min="12302" max="12302" width="0.42578125" style="76" customWidth="1"/>
    <col min="12303" max="12303" width="16.140625" style="76" bestFit="1" customWidth="1"/>
    <col min="12304" max="12304" width="11.5703125" style="76" bestFit="1" customWidth="1"/>
    <col min="12305" max="12543" width="9.140625" style="76"/>
    <col min="12544" max="12544" width="33" style="76" customWidth="1"/>
    <col min="12545" max="12545" width="17.42578125" style="76" customWidth="1"/>
    <col min="12546" max="12546" width="17.140625" style="76" customWidth="1"/>
    <col min="12547" max="12547" width="16" style="76" customWidth="1"/>
    <col min="12548" max="12548" width="16.5703125" style="76" customWidth="1"/>
    <col min="12549" max="12549" width="16.28515625" style="76" customWidth="1"/>
    <col min="12550" max="12550" width="18.28515625" style="76" customWidth="1"/>
    <col min="12551" max="12551" width="17.42578125" style="76" customWidth="1"/>
    <col min="12552" max="12552" width="15.85546875" style="76" customWidth="1"/>
    <col min="12553" max="12553" width="17" style="76" customWidth="1"/>
    <col min="12554" max="12554" width="19.7109375" style="76" customWidth="1"/>
    <col min="12555" max="12555" width="17.28515625" style="76" customWidth="1"/>
    <col min="12556" max="12556" width="18.140625" style="76" customWidth="1"/>
    <col min="12557" max="12557" width="21.7109375" style="76" customWidth="1"/>
    <col min="12558" max="12558" width="0.42578125" style="76" customWidth="1"/>
    <col min="12559" max="12559" width="16.140625" style="76" bestFit="1" customWidth="1"/>
    <col min="12560" max="12560" width="11.5703125" style="76" bestFit="1" customWidth="1"/>
    <col min="12561" max="12799" width="9.140625" style="76"/>
    <col min="12800" max="12800" width="33" style="76" customWidth="1"/>
    <col min="12801" max="12801" width="17.42578125" style="76" customWidth="1"/>
    <col min="12802" max="12802" width="17.140625" style="76" customWidth="1"/>
    <col min="12803" max="12803" width="16" style="76" customWidth="1"/>
    <col min="12804" max="12804" width="16.5703125" style="76" customWidth="1"/>
    <col min="12805" max="12805" width="16.28515625" style="76" customWidth="1"/>
    <col min="12806" max="12806" width="18.28515625" style="76" customWidth="1"/>
    <col min="12807" max="12807" width="17.42578125" style="76" customWidth="1"/>
    <col min="12808" max="12808" width="15.85546875" style="76" customWidth="1"/>
    <col min="12809" max="12809" width="17" style="76" customWidth="1"/>
    <col min="12810" max="12810" width="19.7109375" style="76" customWidth="1"/>
    <col min="12811" max="12811" width="17.28515625" style="76" customWidth="1"/>
    <col min="12812" max="12812" width="18.140625" style="76" customWidth="1"/>
    <col min="12813" max="12813" width="21.7109375" style="76" customWidth="1"/>
    <col min="12814" max="12814" width="0.42578125" style="76" customWidth="1"/>
    <col min="12815" max="12815" width="16.140625" style="76" bestFit="1" customWidth="1"/>
    <col min="12816" max="12816" width="11.5703125" style="76" bestFit="1" customWidth="1"/>
    <col min="12817" max="13055" width="9.140625" style="76"/>
    <col min="13056" max="13056" width="33" style="76" customWidth="1"/>
    <col min="13057" max="13057" width="17.42578125" style="76" customWidth="1"/>
    <col min="13058" max="13058" width="17.140625" style="76" customWidth="1"/>
    <col min="13059" max="13059" width="16" style="76" customWidth="1"/>
    <col min="13060" max="13060" width="16.5703125" style="76" customWidth="1"/>
    <col min="13061" max="13061" width="16.28515625" style="76" customWidth="1"/>
    <col min="13062" max="13062" width="18.28515625" style="76" customWidth="1"/>
    <col min="13063" max="13063" width="17.42578125" style="76" customWidth="1"/>
    <col min="13064" max="13064" width="15.85546875" style="76" customWidth="1"/>
    <col min="13065" max="13065" width="17" style="76" customWidth="1"/>
    <col min="13066" max="13066" width="19.7109375" style="76" customWidth="1"/>
    <col min="13067" max="13067" width="17.28515625" style="76" customWidth="1"/>
    <col min="13068" max="13068" width="18.140625" style="76" customWidth="1"/>
    <col min="13069" max="13069" width="21.7109375" style="76" customWidth="1"/>
    <col min="13070" max="13070" width="0.42578125" style="76" customWidth="1"/>
    <col min="13071" max="13071" width="16.140625" style="76" bestFit="1" customWidth="1"/>
    <col min="13072" max="13072" width="11.5703125" style="76" bestFit="1" customWidth="1"/>
    <col min="13073" max="13311" width="9.140625" style="76"/>
    <col min="13312" max="13312" width="33" style="76" customWidth="1"/>
    <col min="13313" max="13313" width="17.42578125" style="76" customWidth="1"/>
    <col min="13314" max="13314" width="17.140625" style="76" customWidth="1"/>
    <col min="13315" max="13315" width="16" style="76" customWidth="1"/>
    <col min="13316" max="13316" width="16.5703125" style="76" customWidth="1"/>
    <col min="13317" max="13317" width="16.28515625" style="76" customWidth="1"/>
    <col min="13318" max="13318" width="18.28515625" style="76" customWidth="1"/>
    <col min="13319" max="13319" width="17.42578125" style="76" customWidth="1"/>
    <col min="13320" max="13320" width="15.85546875" style="76" customWidth="1"/>
    <col min="13321" max="13321" width="17" style="76" customWidth="1"/>
    <col min="13322" max="13322" width="19.7109375" style="76" customWidth="1"/>
    <col min="13323" max="13323" width="17.28515625" style="76" customWidth="1"/>
    <col min="13324" max="13324" width="18.140625" style="76" customWidth="1"/>
    <col min="13325" max="13325" width="21.7109375" style="76" customWidth="1"/>
    <col min="13326" max="13326" width="0.42578125" style="76" customWidth="1"/>
    <col min="13327" max="13327" width="16.140625" style="76" bestFit="1" customWidth="1"/>
    <col min="13328" max="13328" width="11.5703125" style="76" bestFit="1" customWidth="1"/>
    <col min="13329" max="13567" width="9.140625" style="76"/>
    <col min="13568" max="13568" width="33" style="76" customWidth="1"/>
    <col min="13569" max="13569" width="17.42578125" style="76" customWidth="1"/>
    <col min="13570" max="13570" width="17.140625" style="76" customWidth="1"/>
    <col min="13571" max="13571" width="16" style="76" customWidth="1"/>
    <col min="13572" max="13572" width="16.5703125" style="76" customWidth="1"/>
    <col min="13573" max="13573" width="16.28515625" style="76" customWidth="1"/>
    <col min="13574" max="13574" width="18.28515625" style="76" customWidth="1"/>
    <col min="13575" max="13575" width="17.42578125" style="76" customWidth="1"/>
    <col min="13576" max="13576" width="15.85546875" style="76" customWidth="1"/>
    <col min="13577" max="13577" width="17" style="76" customWidth="1"/>
    <col min="13578" max="13578" width="19.7109375" style="76" customWidth="1"/>
    <col min="13579" max="13579" width="17.28515625" style="76" customWidth="1"/>
    <col min="13580" max="13580" width="18.140625" style="76" customWidth="1"/>
    <col min="13581" max="13581" width="21.7109375" style="76" customWidth="1"/>
    <col min="13582" max="13582" width="0.42578125" style="76" customWidth="1"/>
    <col min="13583" max="13583" width="16.140625" style="76" bestFit="1" customWidth="1"/>
    <col min="13584" max="13584" width="11.5703125" style="76" bestFit="1" customWidth="1"/>
    <col min="13585" max="13823" width="9.140625" style="76"/>
    <col min="13824" max="13824" width="33" style="76" customWidth="1"/>
    <col min="13825" max="13825" width="17.42578125" style="76" customWidth="1"/>
    <col min="13826" max="13826" width="17.140625" style="76" customWidth="1"/>
    <col min="13827" max="13827" width="16" style="76" customWidth="1"/>
    <col min="13828" max="13828" width="16.5703125" style="76" customWidth="1"/>
    <col min="13829" max="13829" width="16.28515625" style="76" customWidth="1"/>
    <col min="13830" max="13830" width="18.28515625" style="76" customWidth="1"/>
    <col min="13831" max="13831" width="17.42578125" style="76" customWidth="1"/>
    <col min="13832" max="13832" width="15.85546875" style="76" customWidth="1"/>
    <col min="13833" max="13833" width="17" style="76" customWidth="1"/>
    <col min="13834" max="13834" width="19.7109375" style="76" customWidth="1"/>
    <col min="13835" max="13835" width="17.28515625" style="76" customWidth="1"/>
    <col min="13836" max="13836" width="18.140625" style="76" customWidth="1"/>
    <col min="13837" max="13837" width="21.7109375" style="76" customWidth="1"/>
    <col min="13838" max="13838" width="0.42578125" style="76" customWidth="1"/>
    <col min="13839" max="13839" width="16.140625" style="76" bestFit="1" customWidth="1"/>
    <col min="13840" max="13840" width="11.5703125" style="76" bestFit="1" customWidth="1"/>
    <col min="13841" max="14079" width="9.140625" style="76"/>
    <col min="14080" max="14080" width="33" style="76" customWidth="1"/>
    <col min="14081" max="14081" width="17.42578125" style="76" customWidth="1"/>
    <col min="14082" max="14082" width="17.140625" style="76" customWidth="1"/>
    <col min="14083" max="14083" width="16" style="76" customWidth="1"/>
    <col min="14084" max="14084" width="16.5703125" style="76" customWidth="1"/>
    <col min="14085" max="14085" width="16.28515625" style="76" customWidth="1"/>
    <col min="14086" max="14086" width="18.28515625" style="76" customWidth="1"/>
    <col min="14087" max="14087" width="17.42578125" style="76" customWidth="1"/>
    <col min="14088" max="14088" width="15.85546875" style="76" customWidth="1"/>
    <col min="14089" max="14089" width="17" style="76" customWidth="1"/>
    <col min="14090" max="14090" width="19.7109375" style="76" customWidth="1"/>
    <col min="14091" max="14091" width="17.28515625" style="76" customWidth="1"/>
    <col min="14092" max="14092" width="18.140625" style="76" customWidth="1"/>
    <col min="14093" max="14093" width="21.7109375" style="76" customWidth="1"/>
    <col min="14094" max="14094" width="0.42578125" style="76" customWidth="1"/>
    <col min="14095" max="14095" width="16.140625" style="76" bestFit="1" customWidth="1"/>
    <col min="14096" max="14096" width="11.5703125" style="76" bestFit="1" customWidth="1"/>
    <col min="14097" max="14335" width="9.140625" style="76"/>
    <col min="14336" max="14336" width="33" style="76" customWidth="1"/>
    <col min="14337" max="14337" width="17.42578125" style="76" customWidth="1"/>
    <col min="14338" max="14338" width="17.140625" style="76" customWidth="1"/>
    <col min="14339" max="14339" width="16" style="76" customWidth="1"/>
    <col min="14340" max="14340" width="16.5703125" style="76" customWidth="1"/>
    <col min="14341" max="14341" width="16.28515625" style="76" customWidth="1"/>
    <col min="14342" max="14342" width="18.28515625" style="76" customWidth="1"/>
    <col min="14343" max="14343" width="17.42578125" style="76" customWidth="1"/>
    <col min="14344" max="14344" width="15.85546875" style="76" customWidth="1"/>
    <col min="14345" max="14345" width="17" style="76" customWidth="1"/>
    <col min="14346" max="14346" width="19.7109375" style="76" customWidth="1"/>
    <col min="14347" max="14347" width="17.28515625" style="76" customWidth="1"/>
    <col min="14348" max="14348" width="18.140625" style="76" customWidth="1"/>
    <col min="14349" max="14349" width="21.7109375" style="76" customWidth="1"/>
    <col min="14350" max="14350" width="0.42578125" style="76" customWidth="1"/>
    <col min="14351" max="14351" width="16.140625" style="76" bestFit="1" customWidth="1"/>
    <col min="14352" max="14352" width="11.5703125" style="76" bestFit="1" customWidth="1"/>
    <col min="14353" max="14591" width="9.140625" style="76"/>
    <col min="14592" max="14592" width="33" style="76" customWidth="1"/>
    <col min="14593" max="14593" width="17.42578125" style="76" customWidth="1"/>
    <col min="14594" max="14594" width="17.140625" style="76" customWidth="1"/>
    <col min="14595" max="14595" width="16" style="76" customWidth="1"/>
    <col min="14596" max="14596" width="16.5703125" style="76" customWidth="1"/>
    <col min="14597" max="14597" width="16.28515625" style="76" customWidth="1"/>
    <col min="14598" max="14598" width="18.28515625" style="76" customWidth="1"/>
    <col min="14599" max="14599" width="17.42578125" style="76" customWidth="1"/>
    <col min="14600" max="14600" width="15.85546875" style="76" customWidth="1"/>
    <col min="14601" max="14601" width="17" style="76" customWidth="1"/>
    <col min="14602" max="14602" width="19.7109375" style="76" customWidth="1"/>
    <col min="14603" max="14603" width="17.28515625" style="76" customWidth="1"/>
    <col min="14604" max="14604" width="18.140625" style="76" customWidth="1"/>
    <col min="14605" max="14605" width="21.7109375" style="76" customWidth="1"/>
    <col min="14606" max="14606" width="0.42578125" style="76" customWidth="1"/>
    <col min="14607" max="14607" width="16.140625" style="76" bestFit="1" customWidth="1"/>
    <col min="14608" max="14608" width="11.5703125" style="76" bestFit="1" customWidth="1"/>
    <col min="14609" max="14847" width="9.140625" style="76"/>
    <col min="14848" max="14848" width="33" style="76" customWidth="1"/>
    <col min="14849" max="14849" width="17.42578125" style="76" customWidth="1"/>
    <col min="14850" max="14850" width="17.140625" style="76" customWidth="1"/>
    <col min="14851" max="14851" width="16" style="76" customWidth="1"/>
    <col min="14852" max="14852" width="16.5703125" style="76" customWidth="1"/>
    <col min="14853" max="14853" width="16.28515625" style="76" customWidth="1"/>
    <col min="14854" max="14854" width="18.28515625" style="76" customWidth="1"/>
    <col min="14855" max="14855" width="17.42578125" style="76" customWidth="1"/>
    <col min="14856" max="14856" width="15.85546875" style="76" customWidth="1"/>
    <col min="14857" max="14857" width="17" style="76" customWidth="1"/>
    <col min="14858" max="14858" width="19.7109375" style="76" customWidth="1"/>
    <col min="14859" max="14859" width="17.28515625" style="76" customWidth="1"/>
    <col min="14860" max="14860" width="18.140625" style="76" customWidth="1"/>
    <col min="14861" max="14861" width="21.7109375" style="76" customWidth="1"/>
    <col min="14862" max="14862" width="0.42578125" style="76" customWidth="1"/>
    <col min="14863" max="14863" width="16.140625" style="76" bestFit="1" customWidth="1"/>
    <col min="14864" max="14864" width="11.5703125" style="76" bestFit="1" customWidth="1"/>
    <col min="14865" max="15103" width="9.140625" style="76"/>
    <col min="15104" max="15104" width="33" style="76" customWidth="1"/>
    <col min="15105" max="15105" width="17.42578125" style="76" customWidth="1"/>
    <col min="15106" max="15106" width="17.140625" style="76" customWidth="1"/>
    <col min="15107" max="15107" width="16" style="76" customWidth="1"/>
    <col min="15108" max="15108" width="16.5703125" style="76" customWidth="1"/>
    <col min="15109" max="15109" width="16.28515625" style="76" customWidth="1"/>
    <col min="15110" max="15110" width="18.28515625" style="76" customWidth="1"/>
    <col min="15111" max="15111" width="17.42578125" style="76" customWidth="1"/>
    <col min="15112" max="15112" width="15.85546875" style="76" customWidth="1"/>
    <col min="15113" max="15113" width="17" style="76" customWidth="1"/>
    <col min="15114" max="15114" width="19.7109375" style="76" customWidth="1"/>
    <col min="15115" max="15115" width="17.28515625" style="76" customWidth="1"/>
    <col min="15116" max="15116" width="18.140625" style="76" customWidth="1"/>
    <col min="15117" max="15117" width="21.7109375" style="76" customWidth="1"/>
    <col min="15118" max="15118" width="0.42578125" style="76" customWidth="1"/>
    <col min="15119" max="15119" width="16.140625" style="76" bestFit="1" customWidth="1"/>
    <col min="15120" max="15120" width="11.5703125" style="76" bestFit="1" customWidth="1"/>
    <col min="15121" max="15359" width="9.140625" style="76"/>
    <col min="15360" max="15360" width="33" style="76" customWidth="1"/>
    <col min="15361" max="15361" width="17.42578125" style="76" customWidth="1"/>
    <col min="15362" max="15362" width="17.140625" style="76" customWidth="1"/>
    <col min="15363" max="15363" width="16" style="76" customWidth="1"/>
    <col min="15364" max="15364" width="16.5703125" style="76" customWidth="1"/>
    <col min="15365" max="15365" width="16.28515625" style="76" customWidth="1"/>
    <col min="15366" max="15366" width="18.28515625" style="76" customWidth="1"/>
    <col min="15367" max="15367" width="17.42578125" style="76" customWidth="1"/>
    <col min="15368" max="15368" width="15.85546875" style="76" customWidth="1"/>
    <col min="15369" max="15369" width="17" style="76" customWidth="1"/>
    <col min="15370" max="15370" width="19.7109375" style="76" customWidth="1"/>
    <col min="15371" max="15371" width="17.28515625" style="76" customWidth="1"/>
    <col min="15372" max="15372" width="18.140625" style="76" customWidth="1"/>
    <col min="15373" max="15373" width="21.7109375" style="76" customWidth="1"/>
    <col min="15374" max="15374" width="0.42578125" style="76" customWidth="1"/>
    <col min="15375" max="15375" width="16.140625" style="76" bestFit="1" customWidth="1"/>
    <col min="15376" max="15376" width="11.5703125" style="76" bestFit="1" customWidth="1"/>
    <col min="15377" max="15615" width="9.140625" style="76"/>
    <col min="15616" max="15616" width="33" style="76" customWidth="1"/>
    <col min="15617" max="15617" width="17.42578125" style="76" customWidth="1"/>
    <col min="15618" max="15618" width="17.140625" style="76" customWidth="1"/>
    <col min="15619" max="15619" width="16" style="76" customWidth="1"/>
    <col min="15620" max="15620" width="16.5703125" style="76" customWidth="1"/>
    <col min="15621" max="15621" width="16.28515625" style="76" customWidth="1"/>
    <col min="15622" max="15622" width="18.28515625" style="76" customWidth="1"/>
    <col min="15623" max="15623" width="17.42578125" style="76" customWidth="1"/>
    <col min="15624" max="15624" width="15.85546875" style="76" customWidth="1"/>
    <col min="15625" max="15625" width="17" style="76" customWidth="1"/>
    <col min="15626" max="15626" width="19.7109375" style="76" customWidth="1"/>
    <col min="15627" max="15627" width="17.28515625" style="76" customWidth="1"/>
    <col min="15628" max="15628" width="18.140625" style="76" customWidth="1"/>
    <col min="15629" max="15629" width="21.7109375" style="76" customWidth="1"/>
    <col min="15630" max="15630" width="0.42578125" style="76" customWidth="1"/>
    <col min="15631" max="15631" width="16.140625" style="76" bestFit="1" customWidth="1"/>
    <col min="15632" max="15632" width="11.5703125" style="76" bestFit="1" customWidth="1"/>
    <col min="15633" max="15871" width="9.140625" style="76"/>
    <col min="15872" max="15872" width="33" style="76" customWidth="1"/>
    <col min="15873" max="15873" width="17.42578125" style="76" customWidth="1"/>
    <col min="15874" max="15874" width="17.140625" style="76" customWidth="1"/>
    <col min="15875" max="15875" width="16" style="76" customWidth="1"/>
    <col min="15876" max="15876" width="16.5703125" style="76" customWidth="1"/>
    <col min="15877" max="15877" width="16.28515625" style="76" customWidth="1"/>
    <col min="15878" max="15878" width="18.28515625" style="76" customWidth="1"/>
    <col min="15879" max="15879" width="17.42578125" style="76" customWidth="1"/>
    <col min="15880" max="15880" width="15.85546875" style="76" customWidth="1"/>
    <col min="15881" max="15881" width="17" style="76" customWidth="1"/>
    <col min="15882" max="15882" width="19.7109375" style="76" customWidth="1"/>
    <col min="15883" max="15883" width="17.28515625" style="76" customWidth="1"/>
    <col min="15884" max="15884" width="18.140625" style="76" customWidth="1"/>
    <col min="15885" max="15885" width="21.7109375" style="76" customWidth="1"/>
    <col min="15886" max="15886" width="0.42578125" style="76" customWidth="1"/>
    <col min="15887" max="15887" width="16.140625" style="76" bestFit="1" customWidth="1"/>
    <col min="15888" max="15888" width="11.5703125" style="76" bestFit="1" customWidth="1"/>
    <col min="15889" max="16127" width="9.140625" style="76"/>
    <col min="16128" max="16128" width="33" style="76" customWidth="1"/>
    <col min="16129" max="16129" width="17.42578125" style="76" customWidth="1"/>
    <col min="16130" max="16130" width="17.140625" style="76" customWidth="1"/>
    <col min="16131" max="16131" width="16" style="76" customWidth="1"/>
    <col min="16132" max="16132" width="16.5703125" style="76" customWidth="1"/>
    <col min="16133" max="16133" width="16.28515625" style="76" customWidth="1"/>
    <col min="16134" max="16134" width="18.28515625" style="76" customWidth="1"/>
    <col min="16135" max="16135" width="17.42578125" style="76" customWidth="1"/>
    <col min="16136" max="16136" width="15.85546875" style="76" customWidth="1"/>
    <col min="16137" max="16137" width="17" style="76" customWidth="1"/>
    <col min="16138" max="16138" width="19.7109375" style="76" customWidth="1"/>
    <col min="16139" max="16139" width="17.28515625" style="76" customWidth="1"/>
    <col min="16140" max="16140" width="18.140625" style="76" customWidth="1"/>
    <col min="16141" max="16141" width="21.7109375" style="76" customWidth="1"/>
    <col min="16142" max="16142" width="0.42578125" style="76" customWidth="1"/>
    <col min="16143" max="16143" width="16.140625" style="76" bestFit="1" customWidth="1"/>
    <col min="16144" max="16144" width="11.5703125" style="76" bestFit="1" customWidth="1"/>
    <col min="16145" max="16384" width="9.140625" style="76"/>
  </cols>
  <sheetData>
    <row r="1" spans="1:16" ht="120" customHeight="1">
      <c r="B1" s="6"/>
    </row>
    <row r="2" spans="1:16" ht="25.5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3" spans="1:16">
      <c r="A3" s="377" t="s">
        <v>157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9"/>
    </row>
    <row r="4" spans="1:16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6" ht="20.100000000000001" customHeight="1">
      <c r="A5" s="79" t="s">
        <v>135</v>
      </c>
      <c r="B5" s="233">
        <v>44927</v>
      </c>
      <c r="C5" s="233">
        <v>44958</v>
      </c>
      <c r="D5" s="233">
        <v>44986</v>
      </c>
      <c r="E5" s="233">
        <v>45017</v>
      </c>
      <c r="F5" s="233">
        <v>45047</v>
      </c>
      <c r="G5" s="233">
        <v>45078</v>
      </c>
      <c r="H5" s="233">
        <v>45108</v>
      </c>
      <c r="I5" s="233">
        <v>45139</v>
      </c>
      <c r="J5" s="233">
        <v>45170</v>
      </c>
      <c r="K5" s="233">
        <v>45200</v>
      </c>
      <c r="L5" s="232">
        <v>45231</v>
      </c>
      <c r="M5" s="232">
        <v>45261</v>
      </c>
      <c r="N5" s="9" t="s">
        <v>1</v>
      </c>
    </row>
    <row r="6" spans="1:16" ht="20.100000000000001" customHeight="1">
      <c r="A6" s="75" t="s">
        <v>121</v>
      </c>
      <c r="B6" s="11">
        <v>2909266.46</v>
      </c>
      <c r="C6" s="11">
        <v>2898408.49</v>
      </c>
      <c r="D6" s="11">
        <v>2958418.43</v>
      </c>
      <c r="E6" s="11">
        <v>2978700.16</v>
      </c>
      <c r="F6" s="11">
        <v>2979422.26</v>
      </c>
      <c r="G6" s="11">
        <v>4352191.1500000004</v>
      </c>
      <c r="H6" s="11">
        <v>2982755.83</v>
      </c>
      <c r="I6" s="11">
        <v>2779038.77</v>
      </c>
      <c r="J6" s="11">
        <v>3157550.69</v>
      </c>
      <c r="K6" s="11">
        <v>2871154.25</v>
      </c>
      <c r="L6" s="11">
        <v>2994866.64</v>
      </c>
      <c r="M6" s="11">
        <v>4348079</v>
      </c>
      <c r="N6" s="12">
        <f>SUM(B6:M6)</f>
        <v>38209852.130000003</v>
      </c>
      <c r="O6" s="82"/>
      <c r="P6" s="80"/>
    </row>
    <row r="7" spans="1:16" ht="20.100000000000001" customHeight="1">
      <c r="A7" s="75" t="s">
        <v>122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>
        <f t="shared" ref="N7:N9" si="0">SUM(B7:M7)</f>
        <v>0</v>
      </c>
      <c r="O7" s="13"/>
      <c r="P7" s="82"/>
    </row>
    <row r="8" spans="1:16" ht="20.100000000000001" customHeight="1">
      <c r="A8" s="75" t="s">
        <v>125</v>
      </c>
      <c r="B8" s="11">
        <v>0</v>
      </c>
      <c r="C8" s="11">
        <v>732666.7</v>
      </c>
      <c r="D8" s="11">
        <v>334394.61</v>
      </c>
      <c r="E8" s="11">
        <v>0</v>
      </c>
      <c r="F8" s="11">
        <v>546192.31000000006</v>
      </c>
      <c r="G8" s="11">
        <v>528860.78</v>
      </c>
      <c r="H8" s="11">
        <v>415669.88</v>
      </c>
      <c r="I8" s="11">
        <v>156389.99</v>
      </c>
      <c r="J8" s="11">
        <v>0</v>
      </c>
      <c r="K8" s="11">
        <v>0</v>
      </c>
      <c r="L8" s="11"/>
      <c r="M8" s="80">
        <v>79919.58</v>
      </c>
      <c r="N8" s="12">
        <f>SUM(B8:M8)</f>
        <v>2794093.8500000006</v>
      </c>
      <c r="O8" s="68"/>
      <c r="P8" s="82"/>
    </row>
    <row r="9" spans="1:16" ht="20.100000000000001" customHeight="1">
      <c r="A9" s="75" t="s">
        <v>123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 t="shared" si="0"/>
        <v>0</v>
      </c>
      <c r="O9" s="68"/>
      <c r="P9" s="82"/>
    </row>
    <row r="10" spans="1:16" ht="20.100000000000001" customHeight="1">
      <c r="A10" s="75" t="s">
        <v>127</v>
      </c>
      <c r="B10" s="11">
        <v>13102.06</v>
      </c>
      <c r="C10" s="11">
        <v>14040.5</v>
      </c>
      <c r="D10" s="11">
        <v>14040.5</v>
      </c>
      <c r="E10" s="11">
        <v>14040.5</v>
      </c>
      <c r="F10" s="11">
        <v>938.44</v>
      </c>
      <c r="G10" s="11">
        <v>14040.5</v>
      </c>
      <c r="H10" s="11">
        <v>10040.5</v>
      </c>
      <c r="I10" s="82">
        <v>8920.34</v>
      </c>
      <c r="J10" s="11">
        <v>7893.43</v>
      </c>
      <c r="K10" s="11">
        <v>7893.43</v>
      </c>
      <c r="L10" s="11">
        <v>8920.34</v>
      </c>
      <c r="M10" s="11">
        <v>16813.77</v>
      </c>
      <c r="N10" s="12">
        <f>SUM(B10:M10)</f>
        <v>130684.30999999998</v>
      </c>
      <c r="O10" s="68"/>
    </row>
    <row r="11" spans="1:16" ht="19.5" customHeight="1">
      <c r="A11" s="75" t="s">
        <v>124</v>
      </c>
      <c r="B11" s="11">
        <f>150000+70000+32060</f>
        <v>252060</v>
      </c>
      <c r="C11" s="11">
        <f>150000+8000+20670</f>
        <v>178670</v>
      </c>
      <c r="D11" s="11">
        <f>150000+138700+70116</f>
        <v>358816</v>
      </c>
      <c r="E11" s="11">
        <f>150000+41400+55984</f>
        <v>247384</v>
      </c>
      <c r="F11" s="11">
        <f>150000+101840+60192</f>
        <v>312032</v>
      </c>
      <c r="G11" s="11">
        <f>150000+26400+48448</f>
        <v>224848</v>
      </c>
      <c r="H11" s="11">
        <f>150000+99400+73590</f>
        <v>322990</v>
      </c>
      <c r="I11" s="11">
        <f>150000+36200+35986</f>
        <v>222186</v>
      </c>
      <c r="J11" s="11">
        <f>150000+96200+37280</f>
        <v>283480</v>
      </c>
      <c r="K11" s="11">
        <f>150000+42200+51700</f>
        <v>243900</v>
      </c>
      <c r="L11" s="11">
        <f>150000+69200+37322.39</f>
        <v>256522.39</v>
      </c>
      <c r="M11" s="11">
        <f>150000+171500+92010.54</f>
        <v>413510.54</v>
      </c>
      <c r="N11" s="12">
        <f>SUM(B11:M11)</f>
        <v>3316398.93</v>
      </c>
      <c r="O11" s="68"/>
    </row>
    <row r="12" spans="1:16" ht="9.7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68"/>
    </row>
    <row r="13" spans="1:16" s="98" customFormat="1" ht="19.5" customHeight="1">
      <c r="A13" s="10" t="s">
        <v>126</v>
      </c>
      <c r="B13" s="12">
        <f>SUM(B6:B11)</f>
        <v>3174428.52</v>
      </c>
      <c r="C13" s="12">
        <f>SUM(C6:C11)</f>
        <v>3823785.6900000004</v>
      </c>
      <c r="D13" s="12">
        <f>SUM(D6:D11)</f>
        <v>3665669.54</v>
      </c>
      <c r="E13" s="12">
        <f>SUM(E6:E11)</f>
        <v>3240124.66</v>
      </c>
      <c r="F13" s="12">
        <f t="shared" ref="F13:L13" si="1">SUM(F6:F11)</f>
        <v>3838585.01</v>
      </c>
      <c r="G13" s="12">
        <f t="shared" si="1"/>
        <v>5119940.4300000006</v>
      </c>
      <c r="H13" s="12">
        <f t="shared" si="1"/>
        <v>3731456.21</v>
      </c>
      <c r="I13" s="12">
        <f>SUM(I6:I11)</f>
        <v>3166535.0999999996</v>
      </c>
      <c r="J13" s="12">
        <f t="shared" si="1"/>
        <v>3448924.12</v>
      </c>
      <c r="K13" s="12">
        <f t="shared" si="1"/>
        <v>3122947.68</v>
      </c>
      <c r="L13" s="12">
        <f t="shared" si="1"/>
        <v>3260309.37</v>
      </c>
      <c r="M13" s="12">
        <f>SUM(M6:M11)</f>
        <v>4858322.8899999997</v>
      </c>
      <c r="N13" s="12">
        <f>SUM(N6:N11)</f>
        <v>44451029.220000006</v>
      </c>
      <c r="O13" s="97"/>
    </row>
    <row r="14" spans="1:16" ht="10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68"/>
    </row>
    <row r="15" spans="1:16" ht="20.100000000000001" customHeight="1">
      <c r="A15" s="21" t="s">
        <v>62</v>
      </c>
      <c r="B15" s="74">
        <v>0</v>
      </c>
      <c r="C15" s="74">
        <v>0</v>
      </c>
      <c r="D15" s="74">
        <v>0</v>
      </c>
      <c r="E15" s="74">
        <v>0</v>
      </c>
      <c r="F15" s="22"/>
      <c r="G15" s="22"/>
      <c r="H15" s="22"/>
      <c r="I15" s="22"/>
      <c r="J15" s="22"/>
      <c r="K15" s="22"/>
      <c r="L15" s="22"/>
      <c r="M15" s="22"/>
      <c r="N15" s="12">
        <f>SUM(B15:M15)</f>
        <v>0</v>
      </c>
    </row>
    <row r="16" spans="1:16" ht="10.5" customHeight="1">
      <c r="A16" s="21"/>
      <c r="B16" s="74"/>
      <c r="C16" s="74"/>
      <c r="D16" s="74"/>
      <c r="E16" s="74"/>
      <c r="F16" s="22"/>
      <c r="G16" s="22"/>
      <c r="H16" s="22"/>
      <c r="I16" s="22"/>
      <c r="J16" s="22"/>
      <c r="K16" s="22"/>
      <c r="L16" s="22"/>
      <c r="M16" s="22"/>
      <c r="N16" s="12"/>
    </row>
    <row r="17" spans="1:16" ht="21" customHeight="1">
      <c r="A17" s="173" t="s">
        <v>222</v>
      </c>
      <c r="B17" s="173">
        <f>B13-B15</f>
        <v>3174428.52</v>
      </c>
      <c r="C17" s="174">
        <f t="shared" ref="C17:H17" si="2">C13-C15</f>
        <v>3823785.6900000004</v>
      </c>
      <c r="D17" s="174">
        <f t="shared" si="2"/>
        <v>3665669.54</v>
      </c>
      <c r="E17" s="173">
        <f>E13-E15</f>
        <v>3240124.66</v>
      </c>
      <c r="F17" s="174">
        <f t="shared" si="2"/>
        <v>3838585.01</v>
      </c>
      <c r="G17" s="174">
        <f t="shared" si="2"/>
        <v>5119940.4300000006</v>
      </c>
      <c r="H17" s="174">
        <f t="shared" si="2"/>
        <v>3731456.21</v>
      </c>
      <c r="I17" s="174">
        <f>I13-I15</f>
        <v>3166535.0999999996</v>
      </c>
      <c r="J17" s="174">
        <f t="shared" ref="J17:M17" si="3">J13-J15</f>
        <v>3448924.12</v>
      </c>
      <c r="K17" s="174">
        <f t="shared" si="3"/>
        <v>3122947.68</v>
      </c>
      <c r="L17" s="174">
        <f t="shared" si="3"/>
        <v>3260309.37</v>
      </c>
      <c r="M17" s="174">
        <f t="shared" si="3"/>
        <v>4858322.8899999997</v>
      </c>
      <c r="N17" s="11">
        <f>SUM(B17:M17)</f>
        <v>44451029.220000006</v>
      </c>
    </row>
    <row r="18" spans="1:16" ht="6.75" customHeight="1">
      <c r="A18" s="21"/>
      <c r="B18" s="74"/>
      <c r="C18" s="74"/>
      <c r="D18" s="74"/>
      <c r="E18" s="74"/>
      <c r="F18" s="22"/>
      <c r="G18" s="22"/>
      <c r="H18" s="22"/>
      <c r="I18" s="22"/>
      <c r="J18" s="22"/>
      <c r="K18" s="22"/>
      <c r="L18" s="22"/>
      <c r="M18" s="22"/>
      <c r="N18" s="12">
        <f t="shared" ref="N18:N20" si="4">SUM(B18:M18)</f>
        <v>0</v>
      </c>
    </row>
    <row r="19" spans="1:16" ht="20.100000000000001" customHeight="1">
      <c r="A19" s="15" t="s">
        <v>160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2">
        <f>SUM(B19:M19)</f>
        <v>0</v>
      </c>
      <c r="P19" s="80"/>
    </row>
    <row r="20" spans="1:16" ht="9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2">
        <f t="shared" si="4"/>
        <v>0</v>
      </c>
      <c r="P20" s="80"/>
    </row>
    <row r="21" spans="1:16" ht="24" customHeight="1">
      <c r="A21" s="188" t="s">
        <v>175</v>
      </c>
      <c r="B21" s="188">
        <f t="shared" ref="B21:L21" si="5">SUM(B17:B20)</f>
        <v>3174428.52</v>
      </c>
      <c r="C21" s="188">
        <f t="shared" si="5"/>
        <v>3823785.6900000004</v>
      </c>
      <c r="D21" s="188">
        <f t="shared" si="5"/>
        <v>3665669.54</v>
      </c>
      <c r="E21" s="188">
        <f t="shared" si="5"/>
        <v>3240124.66</v>
      </c>
      <c r="F21" s="188">
        <f t="shared" si="5"/>
        <v>3838585.01</v>
      </c>
      <c r="G21" s="188">
        <f t="shared" si="5"/>
        <v>5119940.4300000006</v>
      </c>
      <c r="H21" s="188">
        <f t="shared" si="5"/>
        <v>3731456.21</v>
      </c>
      <c r="I21" s="188">
        <f t="shared" si="5"/>
        <v>3166535.0999999996</v>
      </c>
      <c r="J21" s="188">
        <f t="shared" si="5"/>
        <v>3448924.12</v>
      </c>
      <c r="K21" s="188">
        <f t="shared" si="5"/>
        <v>3122947.68</v>
      </c>
      <c r="L21" s="188">
        <f t="shared" si="5"/>
        <v>3260309.37</v>
      </c>
      <c r="M21" s="188">
        <f>SUM(M17:M20)</f>
        <v>4858322.8899999997</v>
      </c>
      <c r="N21" s="294">
        <f>SUM(B21:M21)</f>
        <v>44451029.220000006</v>
      </c>
      <c r="P21" s="80"/>
    </row>
    <row r="22" spans="1:16" ht="9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2"/>
      <c r="P22" s="80"/>
    </row>
    <row r="23" spans="1:16" ht="18.75" customHeight="1">
      <c r="A23" s="173" t="s">
        <v>225</v>
      </c>
      <c r="B23" s="173">
        <f>RECEITAS!B40</f>
        <v>5576748.5499999998</v>
      </c>
      <c r="C23" s="173">
        <f>RECEITAS!C40</f>
        <v>5761116.379999999</v>
      </c>
      <c r="D23" s="173">
        <f>RECEITAS!D40</f>
        <v>4817795.8500000006</v>
      </c>
      <c r="E23" s="173">
        <f>RECEITAS!E40</f>
        <v>4733572.96</v>
      </c>
      <c r="F23" s="173">
        <f>RECEITAS!F40</f>
        <v>5987744.6099999994</v>
      </c>
      <c r="G23" s="173">
        <f>RECEITAS!G40</f>
        <v>15629918.619999997</v>
      </c>
      <c r="H23" s="173">
        <f>RECEITAS!H40</f>
        <v>5779142.1699999999</v>
      </c>
      <c r="I23" s="173">
        <f>RECEITAS!I40</f>
        <v>5178780.47</v>
      </c>
      <c r="J23" s="173">
        <f>RECEITAS!J40</f>
        <v>5572034.3499999996</v>
      </c>
      <c r="K23" s="173">
        <f>RECEITAS!K40</f>
        <v>5738206.9500000002</v>
      </c>
      <c r="L23" s="173">
        <f>RECEITAS!L40</f>
        <v>6230476.0599999996</v>
      </c>
      <c r="M23" s="173">
        <f>RECEITAS!M40</f>
        <v>9460302.2600000016</v>
      </c>
      <c r="N23" s="235">
        <f>SUM(B23:M23)</f>
        <v>80465839.230000004</v>
      </c>
      <c r="P23" s="80"/>
    </row>
    <row r="24" spans="1:16" ht="9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P24" s="80"/>
    </row>
    <row r="25" spans="1:16" ht="20.100000000000001" customHeight="1">
      <c r="A25" s="15" t="s">
        <v>161</v>
      </c>
      <c r="B25" s="15">
        <v>0</v>
      </c>
      <c r="C25" s="15">
        <v>0</v>
      </c>
      <c r="D25" s="15">
        <v>0</v>
      </c>
      <c r="E25" s="234">
        <v>0</v>
      </c>
      <c r="F25" s="234"/>
      <c r="G25" s="234"/>
      <c r="H25" s="234"/>
      <c r="I25" s="234"/>
      <c r="J25" s="234"/>
      <c r="K25" s="234"/>
      <c r="L25" s="234"/>
      <c r="M25" s="234"/>
      <c r="N25" s="99">
        <f>SUM(B25:M25)</f>
        <v>0</v>
      </c>
      <c r="O25" s="81"/>
    </row>
    <row r="26" spans="1:16" ht="12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99"/>
      <c r="O26" s="81"/>
    </row>
    <row r="27" spans="1:16" ht="20.100000000000001" customHeight="1">
      <c r="A27" s="188" t="s">
        <v>176</v>
      </c>
      <c r="B27" s="188">
        <f>B23+B25</f>
        <v>5576748.5499999998</v>
      </c>
      <c r="C27" s="188">
        <f t="shared" ref="C27:M27" si="6">C23+C25</f>
        <v>5761116.379999999</v>
      </c>
      <c r="D27" s="188">
        <f t="shared" si="6"/>
        <v>4817795.8500000006</v>
      </c>
      <c r="E27" s="188">
        <f t="shared" si="6"/>
        <v>4733572.96</v>
      </c>
      <c r="F27" s="188">
        <f t="shared" si="6"/>
        <v>5987744.6099999994</v>
      </c>
      <c r="G27" s="188">
        <f t="shared" si="6"/>
        <v>15629918.619999997</v>
      </c>
      <c r="H27" s="188">
        <f t="shared" si="6"/>
        <v>5779142.1699999999</v>
      </c>
      <c r="I27" s="188">
        <f t="shared" si="6"/>
        <v>5178780.47</v>
      </c>
      <c r="J27" s="188">
        <f t="shared" si="6"/>
        <v>5572034.3499999996</v>
      </c>
      <c r="K27" s="188">
        <f t="shared" si="6"/>
        <v>5738206.9500000002</v>
      </c>
      <c r="L27" s="188">
        <f t="shared" si="6"/>
        <v>6230476.0599999996</v>
      </c>
      <c r="M27" s="188">
        <f t="shared" si="6"/>
        <v>9460302.2600000016</v>
      </c>
      <c r="N27" s="188">
        <f>SUM(B27:M27)</f>
        <v>80465839.230000004</v>
      </c>
      <c r="O27" s="81"/>
    </row>
    <row r="28" spans="1:16" ht="9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81"/>
    </row>
    <row r="29" spans="1:16" ht="20.100000000000001" customHeight="1">
      <c r="A29" s="14" t="s">
        <v>47</v>
      </c>
      <c r="B29" s="19">
        <f>B21/B23</f>
        <v>0.56922568617514591</v>
      </c>
      <c r="C29" s="19">
        <f t="shared" ref="C29:D29" si="7">C21/C23</f>
        <v>0.66372304216496336</v>
      </c>
      <c r="D29" s="19">
        <f t="shared" si="7"/>
        <v>0.76086028842421782</v>
      </c>
      <c r="E29" s="19">
        <f>E21/E27</f>
        <v>0.68449872588422089</v>
      </c>
      <c r="F29" s="19">
        <f t="shared" ref="F29:M29" si="8">F21/F27</f>
        <v>0.64107360283691195</v>
      </c>
      <c r="G29" s="19">
        <f t="shared" si="8"/>
        <v>0.32757307024289556</v>
      </c>
      <c r="H29" s="19">
        <f t="shared" si="8"/>
        <v>0.64567648627339447</v>
      </c>
      <c r="I29" s="19">
        <f t="shared" si="8"/>
        <v>0.61144416496187182</v>
      </c>
      <c r="J29" s="19">
        <f t="shared" si="8"/>
        <v>0.61897036223403756</v>
      </c>
      <c r="K29" s="19">
        <f t="shared" si="8"/>
        <v>0.54423754793298285</v>
      </c>
      <c r="L29" s="19">
        <f t="shared" si="8"/>
        <v>0.52328415013603313</v>
      </c>
      <c r="M29" s="19">
        <f t="shared" si="8"/>
        <v>0.51354837894999761</v>
      </c>
      <c r="N29" s="19">
        <f>N21/N27</f>
        <v>0.55242112237148422</v>
      </c>
    </row>
    <row r="30" spans="1:16">
      <c r="D30" s="69"/>
      <c r="M30" s="81"/>
    </row>
    <row r="31" spans="1:16" ht="21" customHeight="1">
      <c r="A31" s="236" t="s">
        <v>226</v>
      </c>
      <c r="B31" s="21">
        <v>38905920.25</v>
      </c>
      <c r="C31" s="81"/>
      <c r="D31" s="81"/>
      <c r="E31" s="81"/>
      <c r="K31" s="380" t="s">
        <v>326</v>
      </c>
      <c r="L31" s="380"/>
      <c r="M31" s="380"/>
      <c r="N31" s="101">
        <f>N29</f>
        <v>0.55242112237148422</v>
      </c>
    </row>
    <row r="32" spans="1:16">
      <c r="A32" s="236" t="s">
        <v>227</v>
      </c>
      <c r="B32" s="21">
        <f>B31/12</f>
        <v>3242160.0208333335</v>
      </c>
      <c r="C32" s="167"/>
      <c r="D32" s="167"/>
      <c r="E32" s="167"/>
      <c r="F32" s="167"/>
      <c r="G32" s="167"/>
      <c r="H32" s="167"/>
      <c r="I32" s="166"/>
      <c r="J32" s="17"/>
      <c r="K32" s="82"/>
      <c r="L32" s="17"/>
      <c r="M32" s="17"/>
      <c r="N32" s="17"/>
    </row>
    <row r="33" spans="1:14" ht="19.5" customHeight="1">
      <c r="B33" s="166"/>
      <c r="C33" s="82"/>
      <c r="D33" s="166"/>
      <c r="E33" s="166"/>
      <c r="F33" s="166"/>
      <c r="G33" s="166"/>
      <c r="H33" s="166"/>
      <c r="I33" s="166"/>
      <c r="J33" s="17"/>
      <c r="K33" s="82"/>
      <c r="L33" s="82"/>
      <c r="M33" s="82"/>
      <c r="N33" s="82"/>
    </row>
    <row r="34" spans="1:14" ht="20.25">
      <c r="A34" s="77"/>
      <c r="B34" s="17"/>
      <c r="C34" s="17"/>
      <c r="D34" s="17"/>
      <c r="E34" s="17"/>
      <c r="F34" s="17"/>
      <c r="G34" s="6"/>
      <c r="H34" s="77"/>
      <c r="K34" s="381" t="s">
        <v>327</v>
      </c>
      <c r="L34" s="381"/>
      <c r="M34" s="381"/>
      <c r="N34" s="289"/>
    </row>
    <row r="35" spans="1:14">
      <c r="A35" s="77"/>
      <c r="B35" s="83"/>
      <c r="C35" s="83"/>
      <c r="D35" s="83"/>
      <c r="E35" s="83"/>
      <c r="F35" s="83"/>
      <c r="G35" s="77"/>
      <c r="H35" s="77"/>
      <c r="K35" s="382"/>
      <c r="L35" s="382"/>
      <c r="M35" s="382"/>
    </row>
    <row r="36" spans="1:14">
      <c r="A36" s="77"/>
      <c r="B36" s="6"/>
      <c r="C36" s="6"/>
      <c r="D36" s="6"/>
      <c r="E36" s="6"/>
      <c r="F36" s="6"/>
      <c r="G36" s="78"/>
      <c r="H36" s="78"/>
      <c r="K36" s="374" t="str">
        <f>A23</f>
        <v>2023 RECEITA CORRENTE LÍQUIDA</v>
      </c>
      <c r="L36" s="373"/>
      <c r="M36" s="80">
        <f>N23</f>
        <v>80465839.230000004</v>
      </c>
    </row>
    <row r="37" spans="1:14">
      <c r="B37" s="18"/>
      <c r="C37" s="18"/>
      <c r="D37" s="18"/>
      <c r="E37" s="18"/>
      <c r="F37" s="18"/>
      <c r="G37" s="18"/>
      <c r="H37" s="18"/>
      <c r="I37" s="18"/>
      <c r="J37" s="18"/>
      <c r="K37" s="375" t="str">
        <f>A25</f>
        <v>2022 RECEITA CORRENTE LÍQUIDA</v>
      </c>
      <c r="L37" s="375"/>
      <c r="M37" s="18">
        <f>N25</f>
        <v>0</v>
      </c>
      <c r="N37" s="84"/>
    </row>
    <row r="38" spans="1:14">
      <c r="B38" s="18"/>
      <c r="C38" s="18"/>
      <c r="D38" s="18"/>
      <c r="E38" s="18"/>
      <c r="F38" s="18"/>
      <c r="G38" s="18"/>
      <c r="H38" s="17"/>
      <c r="I38" s="18"/>
      <c r="J38" s="18"/>
      <c r="K38" s="375" t="s">
        <v>328</v>
      </c>
      <c r="L38" s="375"/>
      <c r="M38" s="18">
        <f>RECEITAS!G24+RECEITAS!G32</f>
        <v>10713385</v>
      </c>
      <c r="N38" s="84"/>
    </row>
    <row r="39" spans="1:14">
      <c r="B39" s="18"/>
      <c r="C39" s="18"/>
      <c r="D39" s="18"/>
      <c r="E39" s="85"/>
      <c r="F39" s="18"/>
      <c r="G39" s="18"/>
      <c r="H39" s="18"/>
      <c r="I39" s="18"/>
      <c r="J39" s="18"/>
      <c r="K39" s="375" t="s">
        <v>329</v>
      </c>
      <c r="L39" s="375"/>
      <c r="M39" s="18">
        <f>M36+M37-M38</f>
        <v>69752454.230000004</v>
      </c>
      <c r="N39" s="84"/>
    </row>
    <row r="40" spans="1:14">
      <c r="B40" s="18"/>
      <c r="C40" s="18"/>
      <c r="D40" s="18"/>
      <c r="E40" s="18"/>
      <c r="F40" s="18"/>
      <c r="G40" s="18"/>
      <c r="H40" s="17"/>
      <c r="I40" s="18"/>
      <c r="J40" s="18"/>
      <c r="K40" s="18"/>
      <c r="L40" s="18"/>
      <c r="M40" s="18"/>
      <c r="N40" s="84"/>
    </row>
    <row r="41" spans="1:14">
      <c r="A41" s="77"/>
      <c r="B41" s="18"/>
      <c r="C41" s="84"/>
      <c r="D41" s="84"/>
      <c r="E41" s="86"/>
      <c r="F41" s="84"/>
      <c r="G41" s="84"/>
      <c r="H41" s="84"/>
      <c r="I41" s="84"/>
      <c r="J41" s="84"/>
      <c r="K41" s="375" t="str">
        <f>A17</f>
        <v>2023 DESPESA LÍQUIDA COM PESSOAL</v>
      </c>
      <c r="L41" s="375"/>
      <c r="M41" s="18">
        <f>N17</f>
        <v>44451029.220000006</v>
      </c>
      <c r="N41" s="84"/>
    </row>
    <row r="42" spans="1:14">
      <c r="A42" s="77"/>
      <c r="B42" s="17"/>
      <c r="C42" s="17"/>
      <c r="D42" s="17"/>
      <c r="E42" s="17"/>
      <c r="F42" s="17"/>
      <c r="G42" s="17"/>
      <c r="H42" s="17"/>
      <c r="I42" s="17"/>
      <c r="J42" s="17"/>
      <c r="K42" s="375" t="str">
        <f>A19</f>
        <v>2022 DESPESA LÍQUIDA COM PESSOAL</v>
      </c>
      <c r="L42" s="375"/>
      <c r="M42" s="17">
        <f>N19</f>
        <v>0</v>
      </c>
      <c r="N42" s="84"/>
    </row>
    <row r="43" spans="1:14">
      <c r="K43" s="373" t="s">
        <v>330</v>
      </c>
      <c r="L43" s="373"/>
      <c r="M43" s="80">
        <f>M41+M42</f>
        <v>44451029.220000006</v>
      </c>
    </row>
    <row r="45" spans="1:14">
      <c r="K45" s="373" t="s">
        <v>334</v>
      </c>
      <c r="L45" s="373"/>
      <c r="M45" s="290">
        <f>M43/M39</f>
        <v>0.63726831852293386</v>
      </c>
    </row>
    <row r="62" spans="1:1">
      <c r="A62" s="6" t="s">
        <v>48</v>
      </c>
    </row>
    <row r="65" spans="1:14" ht="31.5">
      <c r="A65" s="20" t="s">
        <v>48</v>
      </c>
      <c r="B65" s="24">
        <v>43831</v>
      </c>
      <c r="C65" s="24">
        <v>43862</v>
      </c>
      <c r="D65" s="24">
        <v>43525</v>
      </c>
      <c r="E65" s="24">
        <v>43556</v>
      </c>
      <c r="F65" s="24">
        <v>43586</v>
      </c>
      <c r="G65" s="24">
        <v>43617</v>
      </c>
      <c r="H65" s="24">
        <v>43647</v>
      </c>
      <c r="I65" s="24">
        <v>43678</v>
      </c>
      <c r="J65" s="24">
        <v>43709</v>
      </c>
      <c r="K65" s="25">
        <v>43739</v>
      </c>
      <c r="L65" s="24">
        <v>43770</v>
      </c>
      <c r="M65" s="24">
        <v>43800</v>
      </c>
      <c r="N65" s="26" t="s">
        <v>1</v>
      </c>
    </row>
    <row r="66" spans="1:14" ht="21.75" customHeight="1">
      <c r="A66" s="44" t="s">
        <v>59</v>
      </c>
      <c r="B66" s="4">
        <v>13416.82</v>
      </c>
      <c r="C66" s="4">
        <f>13077.75+829.79</f>
        <v>13907.54</v>
      </c>
      <c r="D66" s="4">
        <v>13077.75</v>
      </c>
      <c r="E66" s="4">
        <v>15569.66</v>
      </c>
      <c r="F66" s="4">
        <v>17569.66</v>
      </c>
      <c r="G66" s="4">
        <v>22279.01</v>
      </c>
      <c r="H66" s="4">
        <v>21938.58</v>
      </c>
      <c r="I66" s="4">
        <v>30544.84</v>
      </c>
      <c r="J66" s="4">
        <v>33372.120000000003</v>
      </c>
      <c r="K66" s="4">
        <v>31756</v>
      </c>
      <c r="L66" s="4">
        <v>33884.42</v>
      </c>
      <c r="M66" s="4">
        <v>47995.07</v>
      </c>
      <c r="N66" s="87"/>
    </row>
    <row r="67" spans="1:14" ht="19.5" customHeight="1">
      <c r="A67" s="88" t="s">
        <v>60</v>
      </c>
      <c r="B67" s="23">
        <f>3747.9+829.79</f>
        <v>4577.6900000000005</v>
      </c>
      <c r="C67" s="23">
        <f>3747.9+829.79</f>
        <v>4577.6900000000005</v>
      </c>
      <c r="D67" s="23">
        <v>4344.1000000000004</v>
      </c>
      <c r="E67" s="23">
        <v>3926.78</v>
      </c>
      <c r="F67" s="23">
        <v>3944.24</v>
      </c>
      <c r="G67" s="23">
        <v>5916.37</v>
      </c>
      <c r="H67" s="23">
        <v>4144.24</v>
      </c>
      <c r="I67" s="23">
        <v>4114.24</v>
      </c>
      <c r="J67" s="23">
        <v>4144.24</v>
      </c>
      <c r="K67" s="4">
        <v>4144.24</v>
      </c>
      <c r="L67" s="4">
        <v>4144.24</v>
      </c>
      <c r="M67" s="4">
        <v>6942.36</v>
      </c>
      <c r="N67" s="87"/>
    </row>
    <row r="68" spans="1:14">
      <c r="A68" s="75" t="s">
        <v>56</v>
      </c>
      <c r="B68" s="4">
        <f>59414.36+4765.73</f>
        <v>64180.09</v>
      </c>
      <c r="C68" s="4">
        <f>23658.66+5238.05</f>
        <v>28896.71</v>
      </c>
      <c r="D68" s="4">
        <v>95737.37</v>
      </c>
      <c r="E68" s="4">
        <v>105173.41</v>
      </c>
      <c r="F68" s="4">
        <f>76995+19033.13</f>
        <v>96028.13</v>
      </c>
      <c r="G68" s="4">
        <v>131842.4</v>
      </c>
      <c r="H68" s="4">
        <v>102419.16</v>
      </c>
      <c r="I68" s="4">
        <v>103452.65</v>
      </c>
      <c r="J68" s="4">
        <v>103252.65</v>
      </c>
      <c r="K68" s="4">
        <v>123805.99</v>
      </c>
      <c r="L68" s="4">
        <v>120929.04</v>
      </c>
      <c r="M68" s="4">
        <v>182167.32</v>
      </c>
      <c r="N68" s="59"/>
    </row>
    <row r="69" spans="1:14">
      <c r="A69" s="75" t="s">
        <v>57</v>
      </c>
      <c r="B69" s="4"/>
      <c r="C69" s="4"/>
      <c r="D69" s="4"/>
      <c r="E69" s="4"/>
      <c r="F69" s="59"/>
      <c r="G69" s="59"/>
      <c r="H69" s="59"/>
      <c r="I69" s="59"/>
      <c r="J69" s="59"/>
      <c r="K69" s="4"/>
      <c r="L69" s="59"/>
      <c r="M69" s="59"/>
      <c r="N69" s="59"/>
    </row>
    <row r="70" spans="1:14">
      <c r="A70" s="75" t="s">
        <v>58</v>
      </c>
      <c r="B70" s="4">
        <f>9089.08+2012.32</f>
        <v>11101.4</v>
      </c>
      <c r="C70" s="4">
        <f>9089.08+2012.32</f>
        <v>11101.4</v>
      </c>
      <c r="D70" s="4">
        <v>34600</v>
      </c>
      <c r="E70" s="4">
        <v>34600</v>
      </c>
      <c r="F70" s="4">
        <f>30600+9820.28</f>
        <v>40420.28</v>
      </c>
      <c r="G70" s="4">
        <v>58902.06</v>
      </c>
      <c r="H70" s="4">
        <v>44230.73</v>
      </c>
      <c r="I70" s="4">
        <v>50308.49</v>
      </c>
      <c r="J70" s="4">
        <v>48994</v>
      </c>
      <c r="K70" s="4">
        <v>50578.49</v>
      </c>
      <c r="L70" s="4">
        <v>176246.28</v>
      </c>
      <c r="M70" s="59">
        <v>258219.84</v>
      </c>
      <c r="N70" s="59"/>
    </row>
    <row r="71" spans="1:14">
      <c r="A71" s="75" t="s">
        <v>61</v>
      </c>
      <c r="B71" s="4">
        <f>3577.54+792.07</f>
        <v>4369.6099999999997</v>
      </c>
      <c r="C71" s="4">
        <f>3577.54+792.07</f>
        <v>4369.6099999999997</v>
      </c>
      <c r="D71" s="4">
        <v>4173.74</v>
      </c>
      <c r="E71" s="4">
        <v>3756.42</v>
      </c>
      <c r="F71" s="4">
        <v>3756.42</v>
      </c>
      <c r="G71" s="4">
        <v>5634.64</v>
      </c>
      <c r="H71" s="4">
        <v>3956.42</v>
      </c>
      <c r="I71" s="4">
        <v>3956.42</v>
      </c>
      <c r="J71" s="4">
        <v>3956.42</v>
      </c>
      <c r="K71" s="4">
        <v>3856.42</v>
      </c>
      <c r="L71" s="4">
        <v>3956.42</v>
      </c>
      <c r="M71" s="59">
        <v>6034.62</v>
      </c>
      <c r="N71" s="59"/>
    </row>
    <row r="72" spans="1:14">
      <c r="A72" s="100" t="s">
        <v>1</v>
      </c>
      <c r="B72" s="27">
        <f>SUM(B66:B71)</f>
        <v>97645.61</v>
      </c>
      <c r="C72" s="27">
        <f>SUM(C66:C71)</f>
        <v>62852.950000000004</v>
      </c>
      <c r="D72" s="27">
        <f t="shared" ref="D72:N72" si="9">SUM(D66:D71)</f>
        <v>151932.96</v>
      </c>
      <c r="E72" s="27">
        <f t="shared" si="9"/>
        <v>163026.27000000002</v>
      </c>
      <c r="F72" s="27">
        <f t="shared" si="9"/>
        <v>161718.73000000001</v>
      </c>
      <c r="G72" s="27">
        <f t="shared" si="9"/>
        <v>224574.48</v>
      </c>
      <c r="H72" s="27">
        <f t="shared" si="9"/>
        <v>176689.13000000003</v>
      </c>
      <c r="I72" s="27">
        <f t="shared" si="9"/>
        <v>192376.63999999998</v>
      </c>
      <c r="J72" s="27">
        <f t="shared" si="9"/>
        <v>193719.43000000002</v>
      </c>
      <c r="K72" s="27">
        <f t="shared" si="9"/>
        <v>214141.14</v>
      </c>
      <c r="L72" s="27">
        <f t="shared" si="9"/>
        <v>339160.39999999997</v>
      </c>
      <c r="M72" s="27">
        <f t="shared" si="9"/>
        <v>501359.20999999996</v>
      </c>
      <c r="N72" s="27">
        <f t="shared" si="9"/>
        <v>0</v>
      </c>
    </row>
    <row r="73" spans="1:14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7"/>
    </row>
    <row r="74" spans="1:14">
      <c r="B74" s="8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</row>
    <row r="75" spans="1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90">
        <v>20934.79</v>
      </c>
      <c r="M75" s="77"/>
      <c r="N75" s="77"/>
    </row>
    <row r="76" spans="1:14">
      <c r="A76" s="76" t="s">
        <v>50</v>
      </c>
      <c r="B76" s="6"/>
      <c r="C76" s="77"/>
      <c r="D76" s="77"/>
      <c r="E76" s="77"/>
      <c r="F76" s="77" t="s">
        <v>91</v>
      </c>
      <c r="G76" s="78" t="s">
        <v>86</v>
      </c>
      <c r="H76" s="78" t="s">
        <v>87</v>
      </c>
      <c r="I76" s="78" t="s">
        <v>88</v>
      </c>
      <c r="J76" s="78" t="s">
        <v>89</v>
      </c>
      <c r="K76" s="77" t="s">
        <v>90</v>
      </c>
      <c r="L76" s="91">
        <v>12949.63</v>
      </c>
      <c r="M76" s="77"/>
      <c r="N76" s="77"/>
    </row>
    <row r="77" spans="1:14">
      <c r="A77" s="76" t="s">
        <v>51</v>
      </c>
      <c r="B77" s="77"/>
      <c r="C77" s="77"/>
      <c r="D77" s="77"/>
      <c r="E77" s="77"/>
      <c r="F77" s="77">
        <v>29806.25</v>
      </c>
      <c r="G77" s="91">
        <v>2172.11</v>
      </c>
      <c r="H77" s="91">
        <v>2078.1999999999998</v>
      </c>
      <c r="I77" s="91">
        <v>12459.57</v>
      </c>
      <c r="J77" s="91">
        <v>5184.45</v>
      </c>
      <c r="K77" s="77">
        <v>63659.61</v>
      </c>
      <c r="L77" s="92">
        <f>SUM(L75:L76)</f>
        <v>33884.42</v>
      </c>
      <c r="M77" s="77"/>
      <c r="N77" s="77"/>
    </row>
    <row r="78" spans="1:14">
      <c r="A78" s="76" t="s">
        <v>52</v>
      </c>
      <c r="B78" s="93"/>
      <c r="C78" s="93"/>
      <c r="D78" s="93"/>
      <c r="E78" s="93"/>
      <c r="F78" s="77">
        <v>18188.82</v>
      </c>
      <c r="G78" s="77">
        <v>4770.25</v>
      </c>
      <c r="H78" s="91">
        <v>3956.42</v>
      </c>
      <c r="I78" s="91">
        <v>24621.48</v>
      </c>
      <c r="J78" s="91">
        <v>21950.04</v>
      </c>
      <c r="K78" s="77">
        <v>116737.12</v>
      </c>
      <c r="L78" s="77"/>
      <c r="M78" s="6"/>
      <c r="N78" s="6"/>
    </row>
    <row r="79" spans="1:14">
      <c r="A79" s="76" t="s">
        <v>53</v>
      </c>
      <c r="B79" s="76">
        <v>21427.02</v>
      </c>
      <c r="F79" s="94"/>
      <c r="G79" s="94"/>
      <c r="H79" s="94"/>
      <c r="I79" s="95">
        <v>47656.6</v>
      </c>
      <c r="J79" s="95">
        <v>11188.62</v>
      </c>
      <c r="K79" s="95"/>
      <c r="L79" s="94"/>
    </row>
    <row r="80" spans="1:14">
      <c r="A80" s="76" t="s">
        <v>54</v>
      </c>
      <c r="F80" s="94"/>
      <c r="G80" s="94"/>
      <c r="H80" s="94"/>
      <c r="I80" s="94">
        <v>97426.67</v>
      </c>
      <c r="J80" s="94">
        <v>39500</v>
      </c>
      <c r="K80" s="94"/>
      <c r="L80" s="94"/>
    </row>
    <row r="81" spans="1:11">
      <c r="A81" s="76" t="s">
        <v>55</v>
      </c>
    </row>
    <row r="82" spans="1:11">
      <c r="A82" s="76" t="s">
        <v>64</v>
      </c>
      <c r="B82" s="76">
        <v>37987.339999999997</v>
      </c>
      <c r="F82" s="96">
        <f t="shared" ref="F82:K82" si="10">SUM(F77:F81)</f>
        <v>47995.07</v>
      </c>
      <c r="G82" s="96">
        <f t="shared" si="10"/>
        <v>6942.3600000000006</v>
      </c>
      <c r="H82" s="96">
        <f t="shared" si="10"/>
        <v>6034.62</v>
      </c>
      <c r="I82" s="96">
        <f t="shared" si="10"/>
        <v>182164.32</v>
      </c>
      <c r="J82" s="96">
        <f t="shared" si="10"/>
        <v>77823.11</v>
      </c>
      <c r="K82" s="96">
        <f t="shared" si="10"/>
        <v>180396.72999999998</v>
      </c>
    </row>
    <row r="83" spans="1:11">
      <c r="B83" s="76">
        <v>21427.02</v>
      </c>
    </row>
    <row r="84" spans="1:11">
      <c r="B84" s="76">
        <f>SUM(B82:B83)</f>
        <v>59414.36</v>
      </c>
    </row>
    <row r="86" spans="1:11">
      <c r="G86" s="76">
        <v>29806.25</v>
      </c>
    </row>
    <row r="87" spans="1:11">
      <c r="G87" s="76">
        <v>18</v>
      </c>
    </row>
    <row r="95" spans="1:11">
      <c r="F95" s="76">
        <v>8450.1200000000008</v>
      </c>
    </row>
    <row r="96" spans="1:11">
      <c r="F96" s="76">
        <v>142723.28</v>
      </c>
    </row>
    <row r="97" spans="6:6">
      <c r="F97" s="76">
        <f>SUM(F95:F96)</f>
        <v>151173.4</v>
      </c>
    </row>
  </sheetData>
  <mergeCells count="12">
    <mergeCell ref="A2:N2"/>
    <mergeCell ref="A3:N3"/>
    <mergeCell ref="K31:M31"/>
    <mergeCell ref="K34:M35"/>
    <mergeCell ref="K42:L42"/>
    <mergeCell ref="K43:L43"/>
    <mergeCell ref="K45:L45"/>
    <mergeCell ref="K36:L36"/>
    <mergeCell ref="K37:L37"/>
    <mergeCell ref="K38:L38"/>
    <mergeCell ref="K39:L39"/>
    <mergeCell ref="K41:L41"/>
  </mergeCells>
  <pageMargins left="0.511811024" right="0.511811024" top="0.78740157499999996" bottom="0.78740157499999996" header="0.31496062000000002" footer="0.31496062000000002"/>
  <pageSetup paperSize="9" scale="47" fitToHeight="0" orientation="landscape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0"/>
  <sheetViews>
    <sheetView tabSelected="1" topLeftCell="A17" zoomScaleNormal="100" workbookViewId="0">
      <selection activeCell="C36" sqref="C36"/>
    </sheetView>
  </sheetViews>
  <sheetFormatPr defaultRowHeight="12.75"/>
  <cols>
    <col min="1" max="1" width="67.42578125" style="70" customWidth="1"/>
    <col min="2" max="2" width="23.7109375" style="70" customWidth="1"/>
    <col min="3" max="3" width="16.85546875" style="70" bestFit="1" customWidth="1"/>
    <col min="4" max="5" width="9.140625" style="70"/>
    <col min="6" max="6" width="9.42578125" style="70" customWidth="1"/>
    <col min="7" max="7" width="10.140625" style="70" bestFit="1" customWidth="1"/>
    <col min="8" max="16384" width="9.140625" style="70"/>
  </cols>
  <sheetData>
    <row r="1" spans="1:6" ht="54" customHeight="1" thickBot="1">
      <c r="A1" s="189" t="s">
        <v>154</v>
      </c>
      <c r="B1" s="389"/>
      <c r="C1" s="390"/>
    </row>
    <row r="2" spans="1:6" ht="8.1" customHeight="1" thickBot="1">
      <c r="A2" s="237"/>
      <c r="B2" s="238"/>
    </row>
    <row r="3" spans="1:6" ht="18" customHeight="1">
      <c r="A3" s="395" t="s">
        <v>177</v>
      </c>
      <c r="B3" s="402" t="s">
        <v>40</v>
      </c>
      <c r="C3" s="403"/>
    </row>
    <row r="4" spans="1:6" ht="18" customHeight="1" thickBot="1">
      <c r="A4" s="396"/>
      <c r="B4" s="404">
        <v>2023</v>
      </c>
      <c r="C4" s="405"/>
    </row>
    <row r="5" spans="1:6" ht="8.1" customHeight="1">
      <c r="A5" s="239"/>
      <c r="B5" s="401"/>
      <c r="C5" s="401"/>
    </row>
    <row r="6" spans="1:6" ht="18" customHeight="1">
      <c r="A6" s="400" t="s">
        <v>223</v>
      </c>
      <c r="B6" s="400"/>
      <c r="C6" s="400"/>
    </row>
    <row r="7" spans="1:6" ht="18" customHeight="1">
      <c r="A7" s="142" t="s">
        <v>230</v>
      </c>
      <c r="B7" s="397">
        <f>RECEITAS!N40</f>
        <v>80465839.230000004</v>
      </c>
      <c r="C7" s="397"/>
    </row>
    <row r="8" spans="1:6" ht="18" customHeight="1">
      <c r="A8" s="142" t="s">
        <v>231</v>
      </c>
      <c r="B8" s="397">
        <f>RECEITAS!N149</f>
        <v>80465839.230000004</v>
      </c>
      <c r="C8" s="397"/>
    </row>
    <row r="9" spans="1:6" ht="18" customHeight="1">
      <c r="A9" s="142" t="s">
        <v>224</v>
      </c>
      <c r="B9" s="398">
        <f>RECEITAS!S59</f>
        <v>47397239</v>
      </c>
      <c r="C9" s="398"/>
    </row>
    <row r="10" spans="1:6" ht="18" customHeight="1">
      <c r="A10" s="152" t="s">
        <v>178</v>
      </c>
      <c r="B10" s="399">
        <f>RECEITAS!S64</f>
        <v>20264214.439999998</v>
      </c>
      <c r="C10" s="399"/>
    </row>
    <row r="11" spans="1:6" ht="8.1" customHeight="1"/>
    <row r="12" spans="1:6" ht="18" customHeight="1">
      <c r="A12" s="251" t="s">
        <v>237</v>
      </c>
      <c r="B12" s="252" t="s">
        <v>228</v>
      </c>
      <c r="C12" s="252" t="s">
        <v>156</v>
      </c>
      <c r="F12" s="143"/>
    </row>
    <row r="13" spans="1:6" ht="18" customHeight="1">
      <c r="A13" s="73" t="str">
        <f>Educação!R17</f>
        <v>FUNDEB - APLICAÇÃO 70%</v>
      </c>
      <c r="B13" s="242">
        <f>Despesas!S2</f>
        <v>17537296.949999996</v>
      </c>
      <c r="C13" s="243">
        <f>RECEITAS!S79</f>
        <v>0.86543186768605862</v>
      </c>
    </row>
    <row r="14" spans="1:6" ht="18" customHeight="1">
      <c r="A14" s="73" t="str">
        <f>Educação!R18</f>
        <v>FUNDEB - APLICAÇÃO 30%</v>
      </c>
      <c r="B14" s="242">
        <f>Despesas!S3</f>
        <v>3451659.19</v>
      </c>
      <c r="C14" s="243">
        <f>Despesas!O10</f>
        <v>0.17033274101100562</v>
      </c>
      <c r="F14" s="144"/>
    </row>
    <row r="15" spans="1:6" ht="18" customHeight="1">
      <c r="A15" s="70" t="str">
        <f>Educação!R28</f>
        <v>FUNDEB VAAT - EDUCAÇÃO INFANTIL - MINIMO DE 50,41%</v>
      </c>
      <c r="B15" s="242">
        <f>RECEITAS!C100</f>
        <v>2433398.9499999997</v>
      </c>
      <c r="C15" s="244">
        <f>RECEITAS!D100</f>
        <v>0.93044251339664386</v>
      </c>
    </row>
    <row r="16" spans="1:6" ht="18" customHeight="1">
      <c r="A16" s="73" t="str">
        <f>Educação!R30</f>
        <v>FUNDEB VAAT - DESPESA CAPITAL - MÍNIMO DE 15%</v>
      </c>
      <c r="B16" s="242">
        <f>RECEITAS!C101</f>
        <v>433963.11</v>
      </c>
      <c r="C16" s="297">
        <f>RECEITAS!D101</f>
        <v>0.16593157763539937</v>
      </c>
    </row>
    <row r="17" spans="1:6" ht="18" customHeight="1">
      <c r="A17" s="73" t="str">
        <f>Educação!R32</f>
        <v>EDUCAÇÃO 25% (PERCENTUAL DA APLICAÇÃO PRÓPRIA)</v>
      </c>
      <c r="B17" s="242">
        <f>Despesas!S4</f>
        <v>4018141.74</v>
      </c>
      <c r="C17" s="243">
        <f>Despesas!O18</f>
        <v>0.25406870071060467</v>
      </c>
    </row>
    <row r="18" spans="1:6" ht="18" customHeight="1">
      <c r="A18" s="208" t="str">
        <f>Educação!K73</f>
        <v>DESPESAS PARA FINS DE LIMITE MÍNIMO DOS 25%</v>
      </c>
      <c r="B18" s="249">
        <f>Despesas!O23</f>
        <v>12042154.93</v>
      </c>
      <c r="C18" s="250">
        <f>Despesas!O24</f>
        <v>0.25406870071060467</v>
      </c>
    </row>
    <row r="19" spans="1:6" ht="8.1" customHeight="1">
      <c r="B19" s="109"/>
    </row>
    <row r="20" spans="1:6" ht="18" customHeight="1">
      <c r="A20" s="252" t="s">
        <v>236</v>
      </c>
      <c r="B20" s="252" t="s">
        <v>228</v>
      </c>
      <c r="C20" s="252" t="s">
        <v>156</v>
      </c>
    </row>
    <row r="21" spans="1:6" ht="18" customHeight="1">
      <c r="A21" s="73" t="str">
        <f>'Saúde 15%'!A24</f>
        <v>TOTAL DAS DESPEAS COM SAÚDE</v>
      </c>
      <c r="B21" s="104">
        <f>Despesas!B24</f>
        <v>10942383.359999999</v>
      </c>
      <c r="C21" s="243">
        <f>Despesas!B26</f>
        <v>0.24866884365150135</v>
      </c>
    </row>
    <row r="22" spans="1:6" ht="18" customHeight="1">
      <c r="A22" s="73" t="str">
        <f>'Saúde 15%'!A28</f>
        <v>VALOR EXCEDENTE AO LIMITE MÍNIMO CONSTITUCIONAL</v>
      </c>
      <c r="B22" s="242">
        <f>Despesas!B28</f>
        <v>4341807.7514999993</v>
      </c>
      <c r="C22" s="243">
        <f>Despesas!B29</f>
        <v>9.8668843651501345E-2</v>
      </c>
    </row>
    <row r="23" spans="1:6" ht="8.1" customHeight="1"/>
    <row r="24" spans="1:6" ht="18" customHeight="1">
      <c r="A24" s="252" t="s">
        <v>235</v>
      </c>
      <c r="B24" s="252" t="s">
        <v>228</v>
      </c>
      <c r="C24" s="252" t="s">
        <v>156</v>
      </c>
    </row>
    <row r="25" spans="1:6" ht="18" customHeight="1">
      <c r="A25" s="240" t="s">
        <v>332</v>
      </c>
      <c r="B25" s="242">
        <f>RECEITAS!N139</f>
        <v>44451029.220000006</v>
      </c>
      <c r="C25" s="244">
        <f>RECEITAS!N139/RECEITAS!N145</f>
        <v>0.55242112237148422</v>
      </c>
    </row>
    <row r="26" spans="1:6" ht="18" customHeight="1">
      <c r="A26" s="240" t="s">
        <v>333</v>
      </c>
      <c r="B26" s="242">
        <f>RECEITAS!N143</f>
        <v>44451029.220000006</v>
      </c>
      <c r="C26" s="244">
        <f>RECEITAS!N143/RECEITAS!N149</f>
        <v>0.55242112237148422</v>
      </c>
    </row>
    <row r="27" spans="1:6" ht="18" customHeight="1">
      <c r="A27" s="383" t="str">
        <f>'Pessoal 54%'!K45</f>
        <v>DESPESA COM PESSOAL, EXCLUINDO RECEITA DO PRECATÓRIO DO FUNDEF</v>
      </c>
      <c r="B27" s="383"/>
      <c r="C27" s="292">
        <f>RECEITAS!M167</f>
        <v>0.63726831852293386</v>
      </c>
    </row>
    <row r="28" spans="1:6" ht="18" customHeight="1"/>
    <row r="29" spans="1:6" ht="18" customHeight="1">
      <c r="A29" s="391" t="s">
        <v>238</v>
      </c>
      <c r="B29" s="392"/>
      <c r="C29" s="393"/>
      <c r="F29" s="109"/>
    </row>
    <row r="30" spans="1:6" ht="8.25" customHeight="1"/>
    <row r="31" spans="1:6" ht="18" customHeight="1">
      <c r="A31" s="383" t="s">
        <v>351</v>
      </c>
      <c r="B31" s="383"/>
      <c r="C31" s="293">
        <f>RECEITAS!E103</f>
        <v>-724741.69999999925</v>
      </c>
      <c r="F31" s="103"/>
    </row>
    <row r="32" spans="1:6" ht="18" customHeight="1">
      <c r="A32" s="383" t="s">
        <v>352</v>
      </c>
      <c r="B32" s="383"/>
      <c r="C32" s="241">
        <f>B22</f>
        <v>4341807.7514999993</v>
      </c>
      <c r="F32" s="103"/>
    </row>
    <row r="33" spans="1:3" ht="18" customHeight="1">
      <c r="A33" s="384" t="s">
        <v>353</v>
      </c>
      <c r="B33" s="385"/>
      <c r="C33" s="386"/>
    </row>
    <row r="38" spans="1:3">
      <c r="A38" s="70" t="s">
        <v>354</v>
      </c>
    </row>
    <row r="42" spans="1:3" ht="14.25">
      <c r="A42" s="388" t="s">
        <v>136</v>
      </c>
      <c r="B42" s="388"/>
    </row>
    <row r="43" spans="1:3" ht="15">
      <c r="A43" s="387" t="s">
        <v>137</v>
      </c>
      <c r="B43" s="387"/>
    </row>
    <row r="57" spans="1:7">
      <c r="A57" s="70" t="s">
        <v>239</v>
      </c>
      <c r="C57" s="241">
        <f>Educação!N83</f>
        <v>-192845.18000000063</v>
      </c>
    </row>
    <row r="63" spans="1:7" ht="18" customHeight="1">
      <c r="A63" s="394" t="s">
        <v>243</v>
      </c>
      <c r="B63" s="394"/>
      <c r="C63" s="252" t="s">
        <v>228</v>
      </c>
      <c r="F63" s="70" t="s">
        <v>247</v>
      </c>
      <c r="G63" s="3">
        <v>599080.51</v>
      </c>
    </row>
    <row r="64" spans="1:7" ht="18" customHeight="1">
      <c r="A64" s="383" t="s">
        <v>244</v>
      </c>
      <c r="B64" s="383"/>
      <c r="C64" s="242">
        <f>RECEITAS!N38+RECEITAS!N36</f>
        <v>85656575.900000006</v>
      </c>
      <c r="F64" s="70" t="s">
        <v>248</v>
      </c>
      <c r="G64" s="3">
        <v>92800.7</v>
      </c>
    </row>
    <row r="65" spans="1:7" ht="18" customHeight="1">
      <c r="A65" s="383" t="s">
        <v>246</v>
      </c>
      <c r="B65" s="383"/>
      <c r="C65" s="254">
        <v>1631929.52</v>
      </c>
      <c r="G65" s="72">
        <f>G63-G64</f>
        <v>506279.81</v>
      </c>
    </row>
    <row r="66" spans="1:7" ht="18" customHeight="1">
      <c r="A66" s="383" t="s">
        <v>245</v>
      </c>
      <c r="B66" s="383"/>
      <c r="C66" s="254">
        <v>506279.81</v>
      </c>
    </row>
    <row r="67" spans="1:7">
      <c r="A67" s="146"/>
      <c r="B67" s="147"/>
    </row>
    <row r="68" spans="1:7">
      <c r="A68" s="146"/>
      <c r="B68" s="146"/>
    </row>
    <row r="69" spans="1:7">
      <c r="A69" s="146"/>
    </row>
    <row r="70" spans="1:7">
      <c r="A70" s="146"/>
      <c r="B70" s="146"/>
    </row>
    <row r="71" spans="1:7">
      <c r="A71" s="145"/>
      <c r="B71" s="148"/>
    </row>
    <row r="72" spans="1:7">
      <c r="A72" s="149"/>
    </row>
    <row r="73" spans="1:7">
      <c r="A73" s="146"/>
    </row>
    <row r="74" spans="1:7" ht="18" customHeight="1">
      <c r="A74" s="383" t="s">
        <v>240</v>
      </c>
      <c r="B74" s="383"/>
      <c r="C74" s="253">
        <f>Educação!B84</f>
        <v>405199.40099999995</v>
      </c>
      <c r="F74" s="103"/>
    </row>
    <row r="81" spans="3:3">
      <c r="C81" s="70">
        <v>775.29</v>
      </c>
    </row>
    <row r="82" spans="3:3">
      <c r="C82" s="102">
        <v>9166.32</v>
      </c>
    </row>
    <row r="83" spans="3:3">
      <c r="C83" s="102">
        <v>8708</v>
      </c>
    </row>
    <row r="84" spans="3:3">
      <c r="C84" s="102">
        <v>6572</v>
      </c>
    </row>
    <row r="85" spans="3:3">
      <c r="C85" s="102">
        <v>23950</v>
      </c>
    </row>
    <row r="86" spans="3:3">
      <c r="C86" s="102">
        <v>9904.85</v>
      </c>
    </row>
    <row r="87" spans="3:3">
      <c r="C87" s="102">
        <v>9650.9500000000007</v>
      </c>
    </row>
    <row r="88" spans="3:3">
      <c r="C88" s="102"/>
    </row>
    <row r="89" spans="3:3">
      <c r="C89" s="102">
        <f>SUM(C81:C88)</f>
        <v>68727.41</v>
      </c>
    </row>
    <row r="90" spans="3:3">
      <c r="C90" s="102"/>
    </row>
  </sheetData>
  <mergeCells count="22">
    <mergeCell ref="B1:C1"/>
    <mergeCell ref="A29:C29"/>
    <mergeCell ref="A63:B63"/>
    <mergeCell ref="A64:B64"/>
    <mergeCell ref="A65:B65"/>
    <mergeCell ref="A3:A4"/>
    <mergeCell ref="B7:C7"/>
    <mergeCell ref="B8:C8"/>
    <mergeCell ref="B9:C9"/>
    <mergeCell ref="B10:C10"/>
    <mergeCell ref="A6:C6"/>
    <mergeCell ref="B5:C5"/>
    <mergeCell ref="B3:C3"/>
    <mergeCell ref="B4:C4"/>
    <mergeCell ref="A27:B27"/>
    <mergeCell ref="A66:B66"/>
    <mergeCell ref="A74:B74"/>
    <mergeCell ref="A31:B31"/>
    <mergeCell ref="A32:B32"/>
    <mergeCell ref="A33:C33"/>
    <mergeCell ref="A43:B43"/>
    <mergeCell ref="A42:B42"/>
  </mergeCells>
  <conditionalFormatting sqref="A70 A73">
    <cfRule type="cellIs" dxfId="9" priority="2" stopIfTrue="1" operator="equal">
      <formula>"Déficit"</formula>
    </cfRule>
  </conditionalFormatting>
  <conditionalFormatting sqref="C31">
    <cfRule type="cellIs" dxfId="8" priority="1" operator="lessThan">
      <formula>0</formula>
    </cfRule>
  </conditionalFormatting>
  <conditionalFormatting sqref="F12">
    <cfRule type="cellIs" dxfId="7" priority="4" stopIfTrue="1" operator="equal">
      <formula>"Déficit_Até Mês"</formula>
    </cfRule>
  </conditionalFormatting>
  <pageMargins left="0.511811024" right="0.511811024" top="0.78740157499999996" bottom="0.78740157499999996" header="0.31496062000000002" footer="0.31496062000000002"/>
  <pageSetup paperSize="9" scale="85" fitToHeight="0" orientation="portrait" r:id="rId1"/>
  <colBreaks count="1" manualBreakCount="1">
    <brk id="2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77D2-948C-492D-BBA6-ABBBE8A5CD5C}">
  <dimension ref="A1:N76"/>
  <sheetViews>
    <sheetView zoomScaleNormal="100" workbookViewId="0">
      <selection activeCell="N15" sqref="M11:N15"/>
    </sheetView>
  </sheetViews>
  <sheetFormatPr defaultColWidth="8.85546875" defaultRowHeight="15" customHeight="1"/>
  <cols>
    <col min="1" max="1" width="9.7109375" style="263" customWidth="1"/>
    <col min="2" max="2" width="55.42578125" style="263" customWidth="1"/>
    <col min="3" max="4" width="14" style="259" bestFit="1" customWidth="1"/>
    <col min="5" max="5" width="9.28515625" style="278" customWidth="1"/>
    <col min="6" max="6" width="14" style="259" bestFit="1" customWidth="1"/>
    <col min="7" max="7" width="8.28515625" style="278" customWidth="1"/>
    <col min="8" max="8" width="14.5703125" style="259" bestFit="1" customWidth="1"/>
    <col min="9" max="9" width="9.5703125" style="278" customWidth="1"/>
    <col min="10" max="10" width="12.85546875" style="263" bestFit="1" customWidth="1"/>
    <col min="11" max="11" width="15.28515625" style="263" bestFit="1" customWidth="1"/>
    <col min="12" max="12" width="8.85546875" style="263"/>
    <col min="13" max="13" width="13.85546875" style="263" customWidth="1"/>
    <col min="14" max="14" width="13.7109375" style="263" customWidth="1"/>
    <col min="15" max="16384" width="8.85546875" style="263"/>
  </cols>
  <sheetData>
    <row r="1" spans="1:14" s="258" customFormat="1" ht="33.75" customHeight="1">
      <c r="A1" s="256" t="s">
        <v>269</v>
      </c>
      <c r="B1" s="273" t="s">
        <v>270</v>
      </c>
      <c r="C1" s="282" t="s">
        <v>263</v>
      </c>
      <c r="D1" s="282" t="s">
        <v>267</v>
      </c>
      <c r="E1" s="257" t="s">
        <v>313</v>
      </c>
      <c r="F1" s="282" t="s">
        <v>264</v>
      </c>
      <c r="G1" s="257" t="s">
        <v>314</v>
      </c>
      <c r="H1" s="282" t="s">
        <v>268</v>
      </c>
      <c r="I1" s="257" t="s">
        <v>315</v>
      </c>
      <c r="J1" s="256" t="s">
        <v>265</v>
      </c>
      <c r="K1" s="256" t="s">
        <v>316</v>
      </c>
    </row>
    <row r="2" spans="1:14" ht="9.75" customHeight="1">
      <c r="A2" s="283"/>
      <c r="B2" s="283"/>
      <c r="C2" s="260"/>
      <c r="D2" s="260"/>
      <c r="E2" s="261"/>
      <c r="F2" s="260"/>
      <c r="G2" s="261"/>
      <c r="H2" s="260"/>
      <c r="I2" s="261"/>
      <c r="J2" s="262"/>
      <c r="K2" s="262"/>
    </row>
    <row r="3" spans="1:14" ht="15" customHeight="1">
      <c r="A3" s="264">
        <v>1500</v>
      </c>
      <c r="B3" s="274" t="s">
        <v>271</v>
      </c>
      <c r="C3" s="417" t="e">
        <f>(RECEITAS!N4+RECEITAS!N5+RECEITAS!N6+RECEITAS!N7+RECEITAS!N14+RECEITAS!N15+RECEITAS!N16+RECEITAS!N26+RECEITAS!N27+RECEITAS!N28)-(RECEITAS!#REF!)</f>
        <v>#REF!</v>
      </c>
      <c r="D3" s="410">
        <f>12619581.3+1494786.1+5458032.01</f>
        <v>19572399.41</v>
      </c>
      <c r="E3" s="406" t="e">
        <f>D3/C3</f>
        <v>#REF!</v>
      </c>
      <c r="F3" s="411">
        <f>6887026.78+720978.57+4141693.92</f>
        <v>11749699.27</v>
      </c>
      <c r="G3" s="412" t="e">
        <f>F3/C3</f>
        <v>#REF!</v>
      </c>
      <c r="H3" s="410">
        <f>6002779.25+626102.68+3590220.9</f>
        <v>10219102.83</v>
      </c>
      <c r="I3" s="406" t="e">
        <f>H3/C3</f>
        <v>#REF!</v>
      </c>
      <c r="J3" s="409">
        <f>716397.78+224.58+358183.46</f>
        <v>1074805.82</v>
      </c>
      <c r="K3" s="408" t="e">
        <f>C3-F3-J3</f>
        <v>#REF!</v>
      </c>
    </row>
    <row r="4" spans="1:14" ht="15" customHeight="1">
      <c r="A4" s="264">
        <v>15001001</v>
      </c>
      <c r="B4" s="274" t="s">
        <v>272</v>
      </c>
      <c r="C4" s="417"/>
      <c r="D4" s="410"/>
      <c r="E4" s="406"/>
      <c r="F4" s="411"/>
      <c r="G4" s="413"/>
      <c r="H4" s="410"/>
      <c r="I4" s="406"/>
      <c r="J4" s="409"/>
      <c r="K4" s="408"/>
    </row>
    <row r="5" spans="1:14" ht="15" customHeight="1">
      <c r="A5" s="264">
        <v>15001002</v>
      </c>
      <c r="B5" s="274" t="s">
        <v>273</v>
      </c>
      <c r="C5" s="417"/>
      <c r="D5" s="410"/>
      <c r="E5" s="406"/>
      <c r="F5" s="411"/>
      <c r="G5" s="414"/>
      <c r="H5" s="410"/>
      <c r="I5" s="406"/>
      <c r="J5" s="409"/>
      <c r="K5" s="408"/>
    </row>
    <row r="6" spans="1:14" ht="15" customHeight="1">
      <c r="A6" s="264">
        <v>1501</v>
      </c>
      <c r="B6" s="274" t="s">
        <v>274</v>
      </c>
      <c r="C6" s="260">
        <v>243060.4</v>
      </c>
      <c r="D6" s="265">
        <v>20600</v>
      </c>
      <c r="E6" s="279">
        <f>D6/C6</f>
        <v>8.4752596473962855E-2</v>
      </c>
      <c r="F6" s="266">
        <v>71.540000000000006</v>
      </c>
      <c r="G6" s="272">
        <f>F6/C6</f>
        <v>2.9433013357996619E-4</v>
      </c>
      <c r="H6" s="265">
        <v>71.540000000000006</v>
      </c>
      <c r="I6" s="279">
        <f>H6/C6</f>
        <v>2.9433013357996619E-4</v>
      </c>
      <c r="J6" s="198"/>
      <c r="K6" s="268">
        <f t="shared" ref="K6:K50" si="0">C6-F6-J6</f>
        <v>242988.86</v>
      </c>
    </row>
    <row r="7" spans="1:14" ht="15" customHeight="1">
      <c r="A7" s="264">
        <v>1540</v>
      </c>
      <c r="B7" s="274" t="s">
        <v>275</v>
      </c>
      <c r="C7" s="418">
        <f>RECEITAS!N31+RECEITAS!N46</f>
        <v>13535285.74</v>
      </c>
      <c r="D7" s="410">
        <f>1020000+4800000</f>
        <v>5820000</v>
      </c>
      <c r="E7" s="406">
        <f>D7/C7</f>
        <v>0.42998722833020886</v>
      </c>
      <c r="F7" s="411">
        <f>629121.61+3416534.72</f>
        <v>4045656.33</v>
      </c>
      <c r="G7" s="412">
        <f>F7/C7</f>
        <v>0.29889700208131698</v>
      </c>
      <c r="H7" s="410">
        <f>629121.61+3416534.72</f>
        <v>4045656.33</v>
      </c>
      <c r="I7" s="406">
        <f>H7/C7</f>
        <v>0.29889700208131698</v>
      </c>
      <c r="J7" s="409">
        <f>861586.48-331032.38</f>
        <v>530554.1</v>
      </c>
      <c r="K7" s="408">
        <f t="shared" si="0"/>
        <v>8959075.3100000005</v>
      </c>
    </row>
    <row r="8" spans="1:14" ht="15" customHeight="1">
      <c r="A8" s="264">
        <v>15401070</v>
      </c>
      <c r="B8" s="274" t="s">
        <v>275</v>
      </c>
      <c r="C8" s="418"/>
      <c r="D8" s="410"/>
      <c r="E8" s="406"/>
      <c r="F8" s="411"/>
      <c r="G8" s="414"/>
      <c r="H8" s="410"/>
      <c r="I8" s="406"/>
      <c r="J8" s="409"/>
      <c r="K8" s="408"/>
    </row>
    <row r="9" spans="1:14" ht="15" customHeight="1">
      <c r="A9" s="264">
        <v>1541</v>
      </c>
      <c r="B9" s="274" t="s">
        <v>276</v>
      </c>
      <c r="C9" s="418">
        <f>RECEITAS!N21</f>
        <v>4113615.1100000003</v>
      </c>
      <c r="D9" s="410">
        <f>419000+3010000</f>
        <v>3429000</v>
      </c>
      <c r="E9" s="406">
        <f>D9/C9</f>
        <v>0.83357336753851041</v>
      </c>
      <c r="F9" s="411">
        <f>160617.48+2033967.5</f>
        <v>2194584.98</v>
      </c>
      <c r="G9" s="412">
        <f>F9/C9</f>
        <v>0.53349302774220897</v>
      </c>
      <c r="H9" s="410">
        <f>160617.48+2033967.5</f>
        <v>2194584.98</v>
      </c>
      <c r="I9" s="406">
        <f>H9/C9</f>
        <v>0.53349302774220897</v>
      </c>
      <c r="J9" s="409">
        <v>564670.23</v>
      </c>
      <c r="K9" s="408">
        <f t="shared" si="0"/>
        <v>1354359.9000000004</v>
      </c>
    </row>
    <row r="10" spans="1:14" ht="15" customHeight="1">
      <c r="A10" s="264">
        <v>15411070</v>
      </c>
      <c r="B10" s="274" t="s">
        <v>276</v>
      </c>
      <c r="C10" s="418"/>
      <c r="D10" s="410"/>
      <c r="E10" s="406"/>
      <c r="F10" s="411"/>
      <c r="G10" s="414"/>
      <c r="H10" s="410"/>
      <c r="I10" s="406"/>
      <c r="J10" s="409"/>
      <c r="K10" s="408"/>
    </row>
    <row r="11" spans="1:14" ht="15" customHeight="1">
      <c r="A11" s="264">
        <v>1542</v>
      </c>
      <c r="B11" s="274" t="s">
        <v>277</v>
      </c>
      <c r="C11" s="417">
        <f>RECEITAS!N20</f>
        <v>2615313.59</v>
      </c>
      <c r="D11" s="417">
        <f>0+850000</f>
        <v>850000</v>
      </c>
      <c r="E11" s="407">
        <f>D11/C11</f>
        <v>0.32500882618822013</v>
      </c>
      <c r="F11" s="411">
        <f>0+514123.35</f>
        <v>514123.35</v>
      </c>
      <c r="G11" s="412">
        <f>F11/C11</f>
        <v>0.19658191352877114</v>
      </c>
      <c r="H11" s="410">
        <f>0+514123.35</f>
        <v>514123.35</v>
      </c>
      <c r="I11" s="407">
        <f>H11/C11</f>
        <v>0.19658191352877114</v>
      </c>
      <c r="J11" s="409">
        <v>140108.07</v>
      </c>
      <c r="K11" s="408">
        <f t="shared" si="0"/>
        <v>1961082.1699999997</v>
      </c>
      <c r="M11" s="263" t="s">
        <v>323</v>
      </c>
      <c r="N11" s="287">
        <v>260.02999999999997</v>
      </c>
    </row>
    <row r="12" spans="1:14" ht="15" customHeight="1">
      <c r="A12" s="264">
        <v>15421070</v>
      </c>
      <c r="B12" s="274" t="s">
        <v>277</v>
      </c>
      <c r="C12" s="417"/>
      <c r="D12" s="417"/>
      <c r="E12" s="407"/>
      <c r="F12" s="411"/>
      <c r="G12" s="414"/>
      <c r="H12" s="410"/>
      <c r="I12" s="407"/>
      <c r="J12" s="409"/>
      <c r="K12" s="408"/>
      <c r="M12" s="263" t="s">
        <v>323</v>
      </c>
      <c r="N12" s="287">
        <v>217.76</v>
      </c>
    </row>
    <row r="13" spans="1:14" ht="15" customHeight="1">
      <c r="A13" s="264">
        <v>1543</v>
      </c>
      <c r="B13" s="274" t="s">
        <v>278</v>
      </c>
      <c r="C13" s="260">
        <v>0</v>
      </c>
      <c r="D13" s="260">
        <v>0</v>
      </c>
      <c r="E13" s="280"/>
      <c r="F13" s="260"/>
      <c r="G13" s="272"/>
      <c r="H13" s="265">
        <v>0</v>
      </c>
      <c r="I13" s="280"/>
      <c r="J13" s="198">
        <v>0</v>
      </c>
      <c r="K13" s="268">
        <f t="shared" si="0"/>
        <v>0</v>
      </c>
      <c r="M13" s="263" t="s">
        <v>324</v>
      </c>
      <c r="N13" s="287">
        <v>299</v>
      </c>
    </row>
    <row r="14" spans="1:14" ht="15" customHeight="1">
      <c r="A14" s="264">
        <v>1544</v>
      </c>
      <c r="B14" s="274" t="s">
        <v>279</v>
      </c>
      <c r="C14" s="260">
        <v>0</v>
      </c>
      <c r="D14" s="265">
        <v>20000</v>
      </c>
      <c r="E14" s="280"/>
      <c r="F14" s="260"/>
      <c r="G14" s="272"/>
      <c r="H14" s="265">
        <v>0</v>
      </c>
      <c r="I14" s="280"/>
      <c r="J14" s="198">
        <v>0</v>
      </c>
      <c r="K14" s="268">
        <f t="shared" si="0"/>
        <v>0</v>
      </c>
      <c r="M14" s="263" t="s">
        <v>323</v>
      </c>
      <c r="N14" s="287">
        <v>246.02</v>
      </c>
    </row>
    <row r="15" spans="1:14" ht="15" customHeight="1">
      <c r="A15" s="264">
        <v>1550</v>
      </c>
      <c r="B15" s="274" t="s">
        <v>280</v>
      </c>
      <c r="C15" s="277">
        <v>174892.14</v>
      </c>
      <c r="D15" s="265">
        <v>263600</v>
      </c>
      <c r="E15" s="280">
        <f t="shared" ref="E15:E47" si="1">D15/C15</f>
        <v>1.5072146752850071</v>
      </c>
      <c r="F15" s="266">
        <v>166106.09</v>
      </c>
      <c r="G15" s="272">
        <f>F15/C15</f>
        <v>0.94976303680657104</v>
      </c>
      <c r="H15" s="265">
        <v>144520.75</v>
      </c>
      <c r="I15" s="280">
        <f>H15/C15</f>
        <v>0.82634216723518839</v>
      </c>
      <c r="J15" s="198">
        <v>0</v>
      </c>
      <c r="K15" s="268">
        <f t="shared" si="0"/>
        <v>8786.0500000000175</v>
      </c>
      <c r="M15" s="263" t="s">
        <v>325</v>
      </c>
      <c r="N15" s="288">
        <f>SUM(N11:N14)</f>
        <v>1022.81</v>
      </c>
    </row>
    <row r="16" spans="1:14" ht="15" customHeight="1">
      <c r="A16" s="264">
        <v>1551</v>
      </c>
      <c r="B16" s="274" t="s">
        <v>312</v>
      </c>
      <c r="C16" s="277">
        <v>190.67</v>
      </c>
      <c r="D16" s="260">
        <v>0</v>
      </c>
      <c r="E16" s="280">
        <f t="shared" si="1"/>
        <v>0</v>
      </c>
      <c r="F16" s="266">
        <v>0</v>
      </c>
      <c r="G16" s="272">
        <f>F16/C16</f>
        <v>0</v>
      </c>
      <c r="H16" s="265">
        <v>0</v>
      </c>
      <c r="I16" s="280">
        <f t="shared" ref="I16:I47" si="2">H16/C16</f>
        <v>0</v>
      </c>
      <c r="J16" s="198">
        <v>0</v>
      </c>
      <c r="K16" s="268">
        <f t="shared" si="0"/>
        <v>190.67</v>
      </c>
    </row>
    <row r="17" spans="1:11" ht="15" customHeight="1">
      <c r="A17" s="264">
        <v>1552</v>
      </c>
      <c r="B17" s="274" t="s">
        <v>311</v>
      </c>
      <c r="C17" s="277">
        <v>106387.77</v>
      </c>
      <c r="D17" s="265">
        <v>208500</v>
      </c>
      <c r="E17" s="280">
        <f t="shared" si="1"/>
        <v>1.9598117339991241</v>
      </c>
      <c r="F17" s="266">
        <v>131906.5</v>
      </c>
      <c r="G17" s="272">
        <f>F17/C17</f>
        <v>1.2398652589484673</v>
      </c>
      <c r="H17" s="265">
        <v>82465.75</v>
      </c>
      <c r="I17" s="280">
        <f t="shared" si="2"/>
        <v>0.77514313910330102</v>
      </c>
      <c r="J17" s="198">
        <v>0</v>
      </c>
      <c r="K17" s="268">
        <f t="shared" si="0"/>
        <v>-25518.729999999996</v>
      </c>
    </row>
    <row r="18" spans="1:11" ht="15" customHeight="1">
      <c r="A18" s="264">
        <v>1553</v>
      </c>
      <c r="B18" s="274" t="s">
        <v>266</v>
      </c>
      <c r="C18" s="277">
        <v>1171.01</v>
      </c>
      <c r="D18" s="265">
        <v>50000</v>
      </c>
      <c r="E18" s="280">
        <f t="shared" si="1"/>
        <v>42.698183619268839</v>
      </c>
      <c r="F18" s="266">
        <v>0</v>
      </c>
      <c r="G18" s="272">
        <f>F18/C18</f>
        <v>0</v>
      </c>
      <c r="H18" s="265">
        <v>0</v>
      </c>
      <c r="I18" s="280">
        <f t="shared" si="2"/>
        <v>0</v>
      </c>
      <c r="J18" s="198">
        <v>0</v>
      </c>
      <c r="K18" s="268">
        <f t="shared" si="0"/>
        <v>1171.01</v>
      </c>
    </row>
    <row r="19" spans="1:11" ht="15" customHeight="1">
      <c r="A19" s="264">
        <v>1569</v>
      </c>
      <c r="B19" s="274" t="s">
        <v>281</v>
      </c>
      <c r="C19" s="277">
        <v>126.76</v>
      </c>
      <c r="D19" s="260">
        <v>0</v>
      </c>
      <c r="E19" s="280">
        <f t="shared" si="1"/>
        <v>0</v>
      </c>
      <c r="F19" s="266">
        <v>0</v>
      </c>
      <c r="G19" s="272">
        <f>F19/C19</f>
        <v>0</v>
      </c>
      <c r="H19" s="265">
        <v>0</v>
      </c>
      <c r="I19" s="280">
        <f t="shared" si="2"/>
        <v>0</v>
      </c>
      <c r="J19" s="198">
        <v>0</v>
      </c>
      <c r="K19" s="268">
        <f t="shared" si="0"/>
        <v>126.76</v>
      </c>
    </row>
    <row r="20" spans="1:11" ht="15" customHeight="1">
      <c r="A20" s="264">
        <v>1570</v>
      </c>
      <c r="B20" s="274" t="s">
        <v>282</v>
      </c>
      <c r="C20" s="277">
        <v>1806.92</v>
      </c>
      <c r="D20" s="260">
        <v>0</v>
      </c>
      <c r="E20" s="280">
        <f t="shared" si="1"/>
        <v>0</v>
      </c>
      <c r="F20" s="266">
        <v>0</v>
      </c>
      <c r="G20" s="272">
        <f t="shared" ref="G20:G21" si="3">F20/C20</f>
        <v>0</v>
      </c>
      <c r="H20" s="265">
        <v>0</v>
      </c>
      <c r="I20" s="280">
        <f t="shared" si="2"/>
        <v>0</v>
      </c>
      <c r="J20" s="198">
        <v>0</v>
      </c>
      <c r="K20" s="268">
        <f t="shared" si="0"/>
        <v>1806.92</v>
      </c>
    </row>
    <row r="21" spans="1:11" ht="15" customHeight="1">
      <c r="A21" s="264">
        <v>1571</v>
      </c>
      <c r="B21" s="274" t="s">
        <v>307</v>
      </c>
      <c r="C21" s="277">
        <v>58.28</v>
      </c>
      <c r="D21" s="260">
        <v>0</v>
      </c>
      <c r="E21" s="280">
        <f t="shared" si="1"/>
        <v>0</v>
      </c>
      <c r="F21" s="266">
        <v>0</v>
      </c>
      <c r="G21" s="272">
        <f t="shared" si="3"/>
        <v>0</v>
      </c>
      <c r="H21" s="265">
        <v>0</v>
      </c>
      <c r="I21" s="280">
        <f t="shared" si="2"/>
        <v>0</v>
      </c>
      <c r="J21" s="198">
        <v>0</v>
      </c>
      <c r="K21" s="268">
        <f t="shared" si="0"/>
        <v>58.28</v>
      </c>
    </row>
    <row r="22" spans="1:11" ht="15" customHeight="1">
      <c r="A22" s="264">
        <v>1576</v>
      </c>
      <c r="B22" s="274" t="s">
        <v>283</v>
      </c>
      <c r="C22" s="277">
        <v>0</v>
      </c>
      <c r="D22" s="260">
        <v>0</v>
      </c>
      <c r="E22" s="280"/>
      <c r="F22" s="266">
        <v>0</v>
      </c>
      <c r="G22" s="272"/>
      <c r="H22" s="265">
        <v>0</v>
      </c>
      <c r="I22" s="280"/>
      <c r="J22" s="198">
        <v>0</v>
      </c>
      <c r="K22" s="268">
        <f t="shared" si="0"/>
        <v>0</v>
      </c>
    </row>
    <row r="23" spans="1:11" ht="15" customHeight="1">
      <c r="A23" s="264">
        <v>1600</v>
      </c>
      <c r="B23" s="274" t="s">
        <v>284</v>
      </c>
      <c r="C23" s="277">
        <v>613453.48</v>
      </c>
      <c r="D23" s="265">
        <v>2912668</v>
      </c>
      <c r="E23" s="280">
        <f t="shared" si="1"/>
        <v>4.7479851283914796</v>
      </c>
      <c r="F23" s="266">
        <v>1366817.96</v>
      </c>
      <c r="G23" s="272">
        <f>F23/C23</f>
        <v>2.2280710837274897</v>
      </c>
      <c r="H23" s="265">
        <v>1169775.95</v>
      </c>
      <c r="I23" s="280">
        <f t="shared" si="2"/>
        <v>1.9068698575155201</v>
      </c>
      <c r="J23" s="269">
        <v>21232.58</v>
      </c>
      <c r="K23" s="268">
        <f t="shared" si="0"/>
        <v>-774597.05999999994</v>
      </c>
    </row>
    <row r="24" spans="1:11" ht="15" customHeight="1">
      <c r="A24" s="264">
        <v>1601</v>
      </c>
      <c r="B24" s="274" t="s">
        <v>308</v>
      </c>
      <c r="C24" s="277">
        <v>0</v>
      </c>
      <c r="D24" s="265">
        <v>0</v>
      </c>
      <c r="E24" s="280"/>
      <c r="F24" s="266">
        <v>0</v>
      </c>
      <c r="G24" s="272"/>
      <c r="H24" s="265">
        <v>0</v>
      </c>
      <c r="I24" s="280"/>
      <c r="J24" s="262"/>
      <c r="K24" s="268">
        <f t="shared" si="0"/>
        <v>0</v>
      </c>
    </row>
    <row r="25" spans="1:11" ht="15" customHeight="1">
      <c r="A25" s="264">
        <v>1602</v>
      </c>
      <c r="B25" s="274" t="s">
        <v>305</v>
      </c>
      <c r="C25" s="277">
        <v>0</v>
      </c>
      <c r="D25" s="265">
        <v>26500</v>
      </c>
      <c r="E25" s="280"/>
      <c r="F25" s="266">
        <v>0</v>
      </c>
      <c r="G25" s="272"/>
      <c r="H25" s="265">
        <v>0</v>
      </c>
      <c r="I25" s="280"/>
      <c r="J25" s="262"/>
      <c r="K25" s="268">
        <f t="shared" si="0"/>
        <v>0</v>
      </c>
    </row>
    <row r="26" spans="1:11" ht="15" customHeight="1">
      <c r="A26" s="264">
        <v>1604</v>
      </c>
      <c r="B26" s="274" t="s">
        <v>306</v>
      </c>
      <c r="C26" s="277">
        <v>596241.4</v>
      </c>
      <c r="D26" s="265">
        <v>960000</v>
      </c>
      <c r="E26" s="280">
        <f t="shared" si="1"/>
        <v>1.6100861161267901</v>
      </c>
      <c r="F26" s="266">
        <v>475360.3</v>
      </c>
      <c r="G26" s="272">
        <f t="shared" ref="G26:G50" si="4">F26/C26</f>
        <v>0.7972614783206935</v>
      </c>
      <c r="H26" s="265">
        <v>232020.89</v>
      </c>
      <c r="I26" s="280">
        <f t="shared" si="2"/>
        <v>0.38913918087539712</v>
      </c>
      <c r="J26" s="269">
        <v>67576.36</v>
      </c>
      <c r="K26" s="268">
        <f t="shared" si="0"/>
        <v>53304.740000000034</v>
      </c>
    </row>
    <row r="27" spans="1:11" ht="15" customHeight="1">
      <c r="A27" s="264">
        <v>1621</v>
      </c>
      <c r="B27" s="274" t="s">
        <v>285</v>
      </c>
      <c r="C27" s="277">
        <v>130222.88</v>
      </c>
      <c r="D27" s="265">
        <v>240000</v>
      </c>
      <c r="E27" s="280">
        <f t="shared" si="1"/>
        <v>1.842994103647531</v>
      </c>
      <c r="F27" s="266">
        <v>0</v>
      </c>
      <c r="G27" s="272">
        <f t="shared" si="4"/>
        <v>0</v>
      </c>
      <c r="H27" s="265">
        <v>0</v>
      </c>
      <c r="I27" s="280">
        <f t="shared" si="2"/>
        <v>0</v>
      </c>
      <c r="J27" s="262"/>
      <c r="K27" s="268">
        <f t="shared" si="0"/>
        <v>130222.88</v>
      </c>
    </row>
    <row r="28" spans="1:11" ht="15" customHeight="1">
      <c r="A28" s="264">
        <v>1631</v>
      </c>
      <c r="B28" s="274" t="s">
        <v>303</v>
      </c>
      <c r="C28" s="277">
        <v>13.51</v>
      </c>
      <c r="D28" s="260">
        <v>0</v>
      </c>
      <c r="E28" s="280">
        <f t="shared" si="1"/>
        <v>0</v>
      </c>
      <c r="F28" s="266">
        <v>0</v>
      </c>
      <c r="G28" s="272">
        <f t="shared" si="4"/>
        <v>0</v>
      </c>
      <c r="H28" s="265">
        <v>0</v>
      </c>
      <c r="I28" s="280">
        <f t="shared" si="2"/>
        <v>0</v>
      </c>
      <c r="J28" s="262"/>
      <c r="K28" s="268">
        <f t="shared" si="0"/>
        <v>13.51</v>
      </c>
    </row>
    <row r="29" spans="1:11">
      <c r="A29" s="264">
        <v>1632</v>
      </c>
      <c r="B29" s="274" t="s">
        <v>304</v>
      </c>
      <c r="C29" s="277">
        <v>1.65</v>
      </c>
      <c r="D29" s="265">
        <v>0</v>
      </c>
      <c r="E29" s="280">
        <f t="shared" si="1"/>
        <v>0</v>
      </c>
      <c r="F29" s="266">
        <v>0</v>
      </c>
      <c r="G29" s="272">
        <f t="shared" si="4"/>
        <v>0</v>
      </c>
      <c r="H29" s="265">
        <v>0</v>
      </c>
      <c r="I29" s="280">
        <f t="shared" si="2"/>
        <v>0</v>
      </c>
      <c r="J29" s="262"/>
      <c r="K29" s="268">
        <f t="shared" si="0"/>
        <v>1.65</v>
      </c>
    </row>
    <row r="30" spans="1:11" ht="15" customHeight="1">
      <c r="A30" s="264">
        <v>1660</v>
      </c>
      <c r="B30" s="274" t="s">
        <v>286</v>
      </c>
      <c r="C30" s="277">
        <v>58231.51</v>
      </c>
      <c r="D30" s="265">
        <v>120000</v>
      </c>
      <c r="E30" s="280">
        <f t="shared" si="1"/>
        <v>2.0607399670728097</v>
      </c>
      <c r="F30" s="266">
        <v>43025.49</v>
      </c>
      <c r="G30" s="272">
        <f t="shared" si="4"/>
        <v>0.73886955704909585</v>
      </c>
      <c r="H30" s="265">
        <v>43025.49</v>
      </c>
      <c r="I30" s="280">
        <f t="shared" si="2"/>
        <v>0.73886955704909585</v>
      </c>
      <c r="J30" s="269">
        <v>5569.32</v>
      </c>
      <c r="K30" s="268">
        <f t="shared" si="0"/>
        <v>9636.7000000000044</v>
      </c>
    </row>
    <row r="31" spans="1:11" ht="15" customHeight="1">
      <c r="A31" s="264">
        <v>1661</v>
      </c>
      <c r="B31" s="274" t="s">
        <v>287</v>
      </c>
      <c r="C31" s="277">
        <v>16073.96</v>
      </c>
      <c r="D31" s="265">
        <v>10000</v>
      </c>
      <c r="E31" s="280">
        <f t="shared" si="1"/>
        <v>0.62212423074338874</v>
      </c>
      <c r="F31" s="266">
        <v>0</v>
      </c>
      <c r="G31" s="272">
        <f t="shared" si="4"/>
        <v>0</v>
      </c>
      <c r="H31" s="265">
        <v>0</v>
      </c>
      <c r="I31" s="280">
        <f t="shared" si="2"/>
        <v>0</v>
      </c>
      <c r="J31" s="262"/>
      <c r="K31" s="268">
        <f t="shared" si="0"/>
        <v>16073.96</v>
      </c>
    </row>
    <row r="32" spans="1:11">
      <c r="A32" s="264">
        <v>1669</v>
      </c>
      <c r="B32" s="274" t="s">
        <v>288</v>
      </c>
      <c r="C32" s="277">
        <v>0</v>
      </c>
      <c r="D32" s="265">
        <v>0</v>
      </c>
      <c r="E32" s="280"/>
      <c r="F32" s="266">
        <v>0</v>
      </c>
      <c r="G32" s="272"/>
      <c r="H32" s="265">
        <v>0</v>
      </c>
      <c r="I32" s="280"/>
      <c r="J32" s="262"/>
      <c r="K32" s="268">
        <f t="shared" si="0"/>
        <v>0</v>
      </c>
    </row>
    <row r="33" spans="1:11" ht="15" customHeight="1">
      <c r="A33" s="264">
        <v>1700</v>
      </c>
      <c r="B33" s="274" t="s">
        <v>289</v>
      </c>
      <c r="C33" s="277">
        <v>3956.16</v>
      </c>
      <c r="D33" s="265">
        <v>110000</v>
      </c>
      <c r="E33" s="280">
        <f t="shared" si="1"/>
        <v>27.804739949850362</v>
      </c>
      <c r="F33" s="266">
        <v>53995.99</v>
      </c>
      <c r="G33" s="272">
        <f t="shared" si="4"/>
        <v>13.648586002588369</v>
      </c>
      <c r="H33" s="265">
        <v>0</v>
      </c>
      <c r="I33" s="280">
        <f t="shared" si="2"/>
        <v>0</v>
      </c>
      <c r="J33" s="262"/>
      <c r="K33" s="268">
        <f t="shared" si="0"/>
        <v>-50039.83</v>
      </c>
    </row>
    <row r="34" spans="1:11" ht="15" customHeight="1">
      <c r="A34" s="264">
        <v>1701</v>
      </c>
      <c r="B34" s="274" t="s">
        <v>290</v>
      </c>
      <c r="C34" s="277">
        <v>10810.53</v>
      </c>
      <c r="D34" s="260"/>
      <c r="E34" s="280">
        <f t="shared" si="1"/>
        <v>0</v>
      </c>
      <c r="F34" s="266">
        <v>0</v>
      </c>
      <c r="G34" s="272">
        <f t="shared" si="4"/>
        <v>0</v>
      </c>
      <c r="H34" s="265">
        <v>0</v>
      </c>
      <c r="I34" s="280">
        <f t="shared" si="2"/>
        <v>0</v>
      </c>
      <c r="J34" s="262"/>
      <c r="K34" s="268">
        <f t="shared" si="0"/>
        <v>10810.53</v>
      </c>
    </row>
    <row r="35" spans="1:11" ht="15" customHeight="1">
      <c r="A35" s="264">
        <v>1704</v>
      </c>
      <c r="B35" s="274" t="s">
        <v>301</v>
      </c>
      <c r="C35" s="277">
        <v>215122.44</v>
      </c>
      <c r="D35" s="265">
        <v>397400</v>
      </c>
      <c r="E35" s="280">
        <f t="shared" si="1"/>
        <v>1.8473200657262905</v>
      </c>
      <c r="F35" s="266">
        <v>263368.15999999997</v>
      </c>
      <c r="G35" s="272">
        <f t="shared" si="4"/>
        <v>1.2242709779602721</v>
      </c>
      <c r="H35" s="265">
        <v>263368.15999999997</v>
      </c>
      <c r="I35" s="280">
        <f t="shared" si="2"/>
        <v>1.2242709779602721</v>
      </c>
      <c r="J35" s="262"/>
      <c r="K35" s="268">
        <f t="shared" si="0"/>
        <v>-48245.719999999972</v>
      </c>
    </row>
    <row r="36" spans="1:11" ht="15" customHeight="1">
      <c r="A36" s="264">
        <v>1705</v>
      </c>
      <c r="B36" s="274" t="s">
        <v>302</v>
      </c>
      <c r="C36" s="277">
        <v>13.72</v>
      </c>
      <c r="D36" s="260">
        <v>0</v>
      </c>
      <c r="E36" s="280">
        <f t="shared" si="1"/>
        <v>0</v>
      </c>
      <c r="F36" s="266">
        <v>0</v>
      </c>
      <c r="G36" s="272">
        <f t="shared" si="4"/>
        <v>0</v>
      </c>
      <c r="H36" s="265">
        <v>0</v>
      </c>
      <c r="I36" s="280">
        <f t="shared" si="2"/>
        <v>0</v>
      </c>
      <c r="J36" s="262"/>
      <c r="K36" s="268">
        <f t="shared" si="0"/>
        <v>13.72</v>
      </c>
    </row>
    <row r="37" spans="1:11">
      <c r="A37" s="264">
        <v>1706</v>
      </c>
      <c r="B37" s="274" t="s">
        <v>291</v>
      </c>
      <c r="C37" s="277">
        <v>3097.15</v>
      </c>
      <c r="D37" s="265">
        <v>0</v>
      </c>
      <c r="E37" s="280">
        <f t="shared" si="1"/>
        <v>0</v>
      </c>
      <c r="F37" s="266">
        <v>0</v>
      </c>
      <c r="G37" s="272">
        <f t="shared" si="4"/>
        <v>0</v>
      </c>
      <c r="H37" s="265">
        <v>0</v>
      </c>
      <c r="I37" s="280">
        <f t="shared" si="2"/>
        <v>0</v>
      </c>
      <c r="J37" s="262"/>
      <c r="K37" s="268">
        <f t="shared" si="0"/>
        <v>3097.15</v>
      </c>
    </row>
    <row r="38" spans="1:11" ht="15" customHeight="1">
      <c r="A38" s="264">
        <v>1707</v>
      </c>
      <c r="B38" s="274" t="s">
        <v>292</v>
      </c>
      <c r="C38" s="277">
        <v>179.56</v>
      </c>
      <c r="D38" s="265">
        <v>0</v>
      </c>
      <c r="E38" s="280">
        <f t="shared" si="1"/>
        <v>0</v>
      </c>
      <c r="F38" s="266">
        <v>0</v>
      </c>
      <c r="G38" s="272">
        <f t="shared" si="4"/>
        <v>0</v>
      </c>
      <c r="H38" s="265">
        <v>0</v>
      </c>
      <c r="I38" s="280">
        <f t="shared" si="2"/>
        <v>0</v>
      </c>
      <c r="J38" s="262"/>
      <c r="K38" s="268">
        <f t="shared" si="0"/>
        <v>179.56</v>
      </c>
    </row>
    <row r="39" spans="1:11" ht="15" customHeight="1">
      <c r="A39" s="264">
        <v>1708</v>
      </c>
      <c r="B39" s="274" t="s">
        <v>293</v>
      </c>
      <c r="C39" s="277">
        <v>21288.47</v>
      </c>
      <c r="D39" s="265">
        <v>1000</v>
      </c>
      <c r="E39" s="280">
        <f t="shared" si="1"/>
        <v>4.6973784400663833E-2</v>
      </c>
      <c r="F39" s="266">
        <v>126.65</v>
      </c>
      <c r="G39" s="272">
        <f t="shared" si="4"/>
        <v>5.9492297943440743E-3</v>
      </c>
      <c r="H39" s="265">
        <v>126.65</v>
      </c>
      <c r="I39" s="280">
        <f t="shared" si="2"/>
        <v>5.9492297943440743E-3</v>
      </c>
      <c r="J39" s="262"/>
      <c r="K39" s="268">
        <f t="shared" si="0"/>
        <v>21161.82</v>
      </c>
    </row>
    <row r="40" spans="1:11" ht="15" customHeight="1">
      <c r="A40" s="264">
        <v>1709</v>
      </c>
      <c r="B40" s="274" t="s">
        <v>294</v>
      </c>
      <c r="C40" s="277">
        <v>178994.24</v>
      </c>
      <c r="D40" s="265">
        <v>213900</v>
      </c>
      <c r="E40" s="280">
        <f t="shared" si="1"/>
        <v>1.1950105210089443</v>
      </c>
      <c r="F40" s="266">
        <v>177239.6</v>
      </c>
      <c r="G40" s="272">
        <f t="shared" si="4"/>
        <v>0.99019722645823693</v>
      </c>
      <c r="H40" s="265">
        <v>177239.6</v>
      </c>
      <c r="I40" s="280">
        <f t="shared" si="2"/>
        <v>0.99019722645823693</v>
      </c>
      <c r="J40" s="262"/>
      <c r="K40" s="268">
        <f t="shared" si="0"/>
        <v>1754.6399999999849</v>
      </c>
    </row>
    <row r="41" spans="1:11" ht="15" customHeight="1">
      <c r="A41" s="264">
        <v>1711</v>
      </c>
      <c r="B41" s="274" t="s">
        <v>295</v>
      </c>
      <c r="C41" s="277">
        <v>0</v>
      </c>
      <c r="D41" s="260">
        <v>0</v>
      </c>
      <c r="E41" s="280"/>
      <c r="F41" s="266">
        <v>0</v>
      </c>
      <c r="G41" s="272"/>
      <c r="H41" s="265">
        <v>0</v>
      </c>
      <c r="I41" s="280"/>
      <c r="J41" s="262"/>
      <c r="K41" s="268">
        <f t="shared" si="0"/>
        <v>0</v>
      </c>
    </row>
    <row r="42" spans="1:11" ht="15" customHeight="1">
      <c r="A42" s="264">
        <v>1715</v>
      </c>
      <c r="B42" s="274" t="s">
        <v>310</v>
      </c>
      <c r="C42" s="277">
        <v>0</v>
      </c>
      <c r="D42" s="260">
        <v>0</v>
      </c>
      <c r="E42" s="280"/>
      <c r="F42" s="266">
        <v>0</v>
      </c>
      <c r="G42" s="272"/>
      <c r="H42" s="265">
        <v>0</v>
      </c>
      <c r="I42" s="280"/>
      <c r="J42" s="262"/>
      <c r="K42" s="268">
        <f t="shared" si="0"/>
        <v>0</v>
      </c>
    </row>
    <row r="43" spans="1:11" ht="15" customHeight="1">
      <c r="A43" s="264">
        <v>1716</v>
      </c>
      <c r="B43" s="274" t="s">
        <v>309</v>
      </c>
      <c r="C43" s="277">
        <v>0</v>
      </c>
      <c r="D43" s="265">
        <v>0</v>
      </c>
      <c r="E43" s="280"/>
      <c r="F43" s="266">
        <v>0</v>
      </c>
      <c r="G43" s="272"/>
      <c r="H43" s="265">
        <v>0</v>
      </c>
      <c r="I43" s="280"/>
      <c r="J43" s="262"/>
      <c r="K43" s="268">
        <f t="shared" si="0"/>
        <v>0</v>
      </c>
    </row>
    <row r="44" spans="1:11" ht="15" customHeight="1">
      <c r="A44" s="264">
        <v>1718</v>
      </c>
      <c r="B44" s="274" t="s">
        <v>296</v>
      </c>
      <c r="C44" s="277">
        <v>0</v>
      </c>
      <c r="D44" s="265">
        <v>0</v>
      </c>
      <c r="E44" s="280"/>
      <c r="F44" s="266">
        <v>0</v>
      </c>
      <c r="G44" s="272"/>
      <c r="H44" s="265">
        <v>0</v>
      </c>
      <c r="I44" s="280"/>
      <c r="J44" s="262"/>
      <c r="K44" s="268">
        <f t="shared" si="0"/>
        <v>0</v>
      </c>
    </row>
    <row r="45" spans="1:11">
      <c r="A45" s="264">
        <v>1749</v>
      </c>
      <c r="B45" s="274" t="s">
        <v>297</v>
      </c>
      <c r="C45" s="277">
        <v>0</v>
      </c>
      <c r="D45" s="265">
        <v>0</v>
      </c>
      <c r="E45" s="280"/>
      <c r="F45" s="266">
        <v>0</v>
      </c>
      <c r="G45" s="272"/>
      <c r="H45" s="265">
        <v>0</v>
      </c>
      <c r="I45" s="280"/>
      <c r="J45" s="262"/>
      <c r="K45" s="268">
        <f t="shared" si="0"/>
        <v>0</v>
      </c>
    </row>
    <row r="46" spans="1:11" ht="15" customHeight="1">
      <c r="A46" s="264">
        <v>1750</v>
      </c>
      <c r="B46" s="274" t="s">
        <v>298</v>
      </c>
      <c r="C46" s="277">
        <v>159.69999999999999</v>
      </c>
      <c r="D46" s="265">
        <v>17100</v>
      </c>
      <c r="E46" s="280">
        <f t="shared" si="1"/>
        <v>107.07576706324359</v>
      </c>
      <c r="F46" s="266">
        <v>1.18</v>
      </c>
      <c r="G46" s="272">
        <f t="shared" si="4"/>
        <v>7.3888541014402002E-3</v>
      </c>
      <c r="H46" s="265">
        <v>1.18</v>
      </c>
      <c r="I46" s="280">
        <f t="shared" si="2"/>
        <v>7.3888541014402002E-3</v>
      </c>
      <c r="J46" s="262"/>
      <c r="K46" s="268">
        <f t="shared" si="0"/>
        <v>158.51999999999998</v>
      </c>
    </row>
    <row r="47" spans="1:11" ht="15" customHeight="1">
      <c r="A47" s="264">
        <v>1751</v>
      </c>
      <c r="B47" s="274" t="s">
        <v>299</v>
      </c>
      <c r="C47" s="277">
        <v>166548.01</v>
      </c>
      <c r="D47" s="265">
        <v>243100</v>
      </c>
      <c r="E47" s="280">
        <f t="shared" si="1"/>
        <v>1.4596391755146159</v>
      </c>
      <c r="F47" s="266">
        <v>193505.95</v>
      </c>
      <c r="G47" s="272">
        <f t="shared" si="4"/>
        <v>1.1618628766564068</v>
      </c>
      <c r="H47" s="265">
        <v>193505.95</v>
      </c>
      <c r="I47" s="280">
        <f t="shared" si="2"/>
        <v>1.1618628766564068</v>
      </c>
      <c r="J47" s="262"/>
      <c r="K47" s="268">
        <f t="shared" si="0"/>
        <v>-26957.940000000002</v>
      </c>
    </row>
    <row r="48" spans="1:11">
      <c r="A48" s="264">
        <v>1755</v>
      </c>
      <c r="B48" s="274" t="s">
        <v>300</v>
      </c>
      <c r="C48" s="277">
        <v>0</v>
      </c>
      <c r="D48" s="265">
        <v>0</v>
      </c>
      <c r="E48" s="280"/>
      <c r="F48" s="266">
        <v>0</v>
      </c>
      <c r="G48" s="272"/>
      <c r="H48" s="265">
        <v>0</v>
      </c>
      <c r="I48" s="280"/>
      <c r="J48" s="262"/>
      <c r="K48" s="268">
        <f t="shared" si="0"/>
        <v>0</v>
      </c>
    </row>
    <row r="49" spans="1:11" ht="9" customHeight="1">
      <c r="C49" s="260"/>
      <c r="D49" s="260"/>
      <c r="E49" s="284"/>
      <c r="F49" s="260"/>
      <c r="G49" s="285"/>
      <c r="H49" s="260"/>
      <c r="I49" s="284"/>
      <c r="J49" s="262"/>
      <c r="K49" s="268">
        <f t="shared" si="0"/>
        <v>0</v>
      </c>
    </row>
    <row r="50" spans="1:11" s="275" customFormat="1">
      <c r="A50" s="415" t="s">
        <v>185</v>
      </c>
      <c r="B50" s="416"/>
      <c r="C50" s="270" t="e">
        <f>SUM(C3:C49)</f>
        <v>#REF!</v>
      </c>
      <c r="D50" s="270">
        <f>SUM(D3:D49)</f>
        <v>35485767.409999996</v>
      </c>
      <c r="E50" s="281" t="e">
        <f>D50/C50</f>
        <v>#REF!</v>
      </c>
      <c r="F50" s="270">
        <f t="shared" ref="F50:J50" si="5">SUM(F3:F49)</f>
        <v>21375589.339999996</v>
      </c>
      <c r="G50" s="267" t="e">
        <f t="shared" si="4"/>
        <v>#REF!</v>
      </c>
      <c r="H50" s="270">
        <f t="shared" si="5"/>
        <v>19279589.399999999</v>
      </c>
      <c r="I50" s="281" t="e">
        <f>H50/C50</f>
        <v>#REF!</v>
      </c>
      <c r="J50" s="271">
        <f t="shared" si="5"/>
        <v>2404516.4799999995</v>
      </c>
      <c r="K50" s="276" t="e">
        <f t="shared" si="0"/>
        <v>#REF!</v>
      </c>
    </row>
    <row r="51" spans="1:11" ht="12.75"/>
    <row r="62" spans="1:11" ht="15" customHeight="1">
      <c r="C62" s="3">
        <v>15122137.42</v>
      </c>
      <c r="D62" s="3">
        <v>9873700</v>
      </c>
    </row>
    <row r="64" spans="1:11" ht="15" customHeight="1">
      <c r="D64" s="259">
        <f>C62-D62</f>
        <v>5248437.42</v>
      </c>
    </row>
    <row r="73" spans="3:4" ht="15" customHeight="1">
      <c r="C73" s="259" t="s">
        <v>319</v>
      </c>
      <c r="D73" s="259">
        <v>200000</v>
      </c>
    </row>
    <row r="74" spans="3:4" ht="15" customHeight="1">
      <c r="C74" s="286">
        <v>0.6</v>
      </c>
      <c r="D74" s="259">
        <f>D73*60%</f>
        <v>120000</v>
      </c>
    </row>
    <row r="75" spans="3:4" ht="15" customHeight="1">
      <c r="C75" s="259" t="s">
        <v>320</v>
      </c>
      <c r="D75" s="259">
        <f>D73-D74</f>
        <v>80000</v>
      </c>
    </row>
    <row r="76" spans="3:4" ht="15" customHeight="1">
      <c r="C76" s="259" t="s">
        <v>321</v>
      </c>
      <c r="D76" s="259">
        <f>D75/24</f>
        <v>3333.3333333333335</v>
      </c>
    </row>
  </sheetData>
  <mergeCells count="37">
    <mergeCell ref="D7:D8"/>
    <mergeCell ref="D9:D10"/>
    <mergeCell ref="D11:D12"/>
    <mergeCell ref="D3:D5"/>
    <mergeCell ref="F11:F12"/>
    <mergeCell ref="E3:E5"/>
    <mergeCell ref="E7:E8"/>
    <mergeCell ref="E9:E10"/>
    <mergeCell ref="E11:E12"/>
    <mergeCell ref="A50:B50"/>
    <mergeCell ref="C3:C5"/>
    <mergeCell ref="C7:C8"/>
    <mergeCell ref="C9:C10"/>
    <mergeCell ref="C11:C12"/>
    <mergeCell ref="H11:H12"/>
    <mergeCell ref="H9:H10"/>
    <mergeCell ref="H7:H8"/>
    <mergeCell ref="H3:H5"/>
    <mergeCell ref="F3:F5"/>
    <mergeCell ref="F7:F8"/>
    <mergeCell ref="F9:F10"/>
    <mergeCell ref="G3:G5"/>
    <mergeCell ref="G7:G8"/>
    <mergeCell ref="G9:G10"/>
    <mergeCell ref="G11:G12"/>
    <mergeCell ref="I3:I5"/>
    <mergeCell ref="I7:I8"/>
    <mergeCell ref="I9:I10"/>
    <mergeCell ref="I11:I12"/>
    <mergeCell ref="K3:K5"/>
    <mergeCell ref="K7:K8"/>
    <mergeCell ref="K9:K10"/>
    <mergeCell ref="K11:K12"/>
    <mergeCell ref="J3:J5"/>
    <mergeCell ref="J7:J8"/>
    <mergeCell ref="J9:J10"/>
    <mergeCell ref="J11:J12"/>
  </mergeCells>
  <conditionalFormatting sqref="E3:E50">
    <cfRule type="cellIs" dxfId="6" priority="1" operator="lessThan">
      <formula>0.95</formula>
    </cfRule>
    <cfRule type="cellIs" dxfId="5" priority="2" operator="greaterThan">
      <formula>0.95</formula>
    </cfRule>
  </conditionalFormatting>
  <conditionalFormatting sqref="G3 G6:G7 G9 G11 G13:G50">
    <cfRule type="cellIs" dxfId="4" priority="8" operator="lessThan">
      <formula>0.95</formula>
    </cfRule>
    <cfRule type="cellIs" dxfId="3" priority="9" operator="greaterThan">
      <formula>0.95</formula>
    </cfRule>
  </conditionalFormatting>
  <conditionalFormatting sqref="I3:I50">
    <cfRule type="cellIs" dxfId="2" priority="4" operator="lessThan">
      <formula>0.95</formula>
    </cfRule>
    <cfRule type="cellIs" dxfId="1" priority="5" operator="greaterThan">
      <formula>0.95</formula>
    </cfRule>
  </conditionalFormatting>
  <conditionalFormatting sqref="K3:K50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75" orientation="landscape" r:id="rId1"/>
  <rowBreaks count="1" manualBreakCount="1">
    <brk id="4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FA5-76AD-415D-A062-94F37F0E340A}">
  <dimension ref="A1:B24"/>
  <sheetViews>
    <sheetView workbookViewId="0">
      <selection activeCell="J14" sqref="J14"/>
    </sheetView>
  </sheetViews>
  <sheetFormatPr defaultRowHeight="15"/>
  <cols>
    <col min="1" max="1" width="33.7109375" customWidth="1"/>
    <col min="2" max="2" width="11.5703125" bestFit="1" customWidth="1"/>
  </cols>
  <sheetData>
    <row r="1" spans="1:2">
      <c r="A1" s="247" t="s">
        <v>340</v>
      </c>
      <c r="B1" s="56">
        <v>223363.75</v>
      </c>
    </row>
    <row r="2" spans="1:2">
      <c r="B2" s="168"/>
    </row>
    <row r="3" spans="1:2">
      <c r="A3" s="247" t="s">
        <v>341</v>
      </c>
      <c r="B3" s="56">
        <f>B1*30%</f>
        <v>67009.125</v>
      </c>
    </row>
    <row r="4" spans="1:2">
      <c r="B4" s="168"/>
    </row>
    <row r="5" spans="1:2">
      <c r="A5" s="247" t="s">
        <v>342</v>
      </c>
      <c r="B5" s="56">
        <v>21261.56</v>
      </c>
    </row>
    <row r="6" spans="1:2">
      <c r="A6" s="247" t="s">
        <v>343</v>
      </c>
      <c r="B6" s="56">
        <f>B5/B1</f>
        <v>9.5188050881129999E-2</v>
      </c>
    </row>
    <row r="7" spans="1:2">
      <c r="B7" s="168"/>
    </row>
    <row r="8" spans="1:2">
      <c r="A8" s="247" t="s">
        <v>344</v>
      </c>
      <c r="B8" s="56">
        <f>B3-B5</f>
        <v>45747.565000000002</v>
      </c>
    </row>
    <row r="9" spans="1:2">
      <c r="A9" s="247" t="s">
        <v>345</v>
      </c>
      <c r="B9" s="56">
        <f>B8/B1</f>
        <v>0.20481194911887002</v>
      </c>
    </row>
    <row r="10" spans="1:2">
      <c r="B10" s="168"/>
    </row>
    <row r="11" spans="1:2">
      <c r="A11" s="419"/>
      <c r="B11" s="419"/>
    </row>
    <row r="12" spans="1:2">
      <c r="A12" s="247" t="s">
        <v>346</v>
      </c>
      <c r="B12" s="56">
        <v>14208.57</v>
      </c>
    </row>
    <row r="13" spans="1:2">
      <c r="A13" s="247" t="s">
        <v>347</v>
      </c>
      <c r="B13" s="56">
        <v>3258.1</v>
      </c>
    </row>
    <row r="14" spans="1:2">
      <c r="B14" s="168"/>
    </row>
    <row r="15" spans="1:2">
      <c r="B15" s="168"/>
    </row>
    <row r="16" spans="1:2">
      <c r="B16" s="168"/>
    </row>
    <row r="17" spans="1:2">
      <c r="B17" s="168"/>
    </row>
    <row r="18" spans="1:2">
      <c r="B18" s="168"/>
    </row>
    <row r="19" spans="1:2">
      <c r="B19" s="168"/>
    </row>
    <row r="20" spans="1:2">
      <c r="A20" s="387" t="s">
        <v>348</v>
      </c>
      <c r="B20" s="387"/>
    </row>
    <row r="21" spans="1:2">
      <c r="B21" s="168"/>
    </row>
    <row r="22" spans="1:2">
      <c r="A22" t="s">
        <v>349</v>
      </c>
      <c r="B22" s="168">
        <v>29374.48</v>
      </c>
    </row>
    <row r="23" spans="1:2">
      <c r="A23" t="s">
        <v>350</v>
      </c>
      <c r="B23" s="168"/>
    </row>
    <row r="24" spans="1:2">
      <c r="B24" s="168"/>
    </row>
  </sheetData>
  <mergeCells count="2">
    <mergeCell ref="A11:B11"/>
    <mergeCell ref="A20:B2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D2C-A0FF-42D7-BB7F-0945B6CC7C07}">
  <dimension ref="A1:O37"/>
  <sheetViews>
    <sheetView topLeftCell="F1" zoomScaleNormal="100" workbookViewId="0">
      <selection activeCell="O5" sqref="O5"/>
    </sheetView>
  </sheetViews>
  <sheetFormatPr defaultRowHeight="18.75"/>
  <cols>
    <col min="1" max="1" width="36.42578125" bestFit="1" customWidth="1"/>
    <col min="2" max="2" width="14.5703125" customWidth="1"/>
    <col min="3" max="3" width="14.5703125" bestFit="1" customWidth="1"/>
    <col min="4" max="4" width="16.28515625" bestFit="1" customWidth="1"/>
    <col min="5" max="6" width="14.5703125" style="168" bestFit="1" customWidth="1"/>
    <col min="7" max="7" width="12.7109375" style="168" bestFit="1" customWidth="1"/>
    <col min="8" max="8" width="15.85546875" style="81" bestFit="1" customWidth="1"/>
    <col min="9" max="9" width="4.5703125" customWidth="1"/>
    <col min="10" max="10" width="42.85546875" bestFit="1" customWidth="1"/>
    <col min="11" max="11" width="20.42578125" style="168" customWidth="1"/>
    <col min="12" max="12" width="17.42578125" customWidth="1"/>
    <col min="13" max="13" width="16.42578125" bestFit="1" customWidth="1"/>
    <col min="14" max="14" width="16" bestFit="1" customWidth="1"/>
    <col min="15" max="15" width="18.28515625" style="330" bestFit="1" customWidth="1"/>
  </cols>
  <sheetData>
    <row r="1" spans="1:15" ht="47.25">
      <c r="A1" s="298" t="s">
        <v>355</v>
      </c>
      <c r="B1" s="298" t="s">
        <v>367</v>
      </c>
      <c r="C1" s="298" t="s">
        <v>356</v>
      </c>
      <c r="D1" s="298" t="s">
        <v>357</v>
      </c>
      <c r="E1" s="299" t="s">
        <v>363</v>
      </c>
      <c r="F1" s="299" t="s">
        <v>368</v>
      </c>
      <c r="G1" s="301" t="s">
        <v>371</v>
      </c>
      <c r="H1" s="306" t="s">
        <v>185</v>
      </c>
      <c r="J1" s="334" t="s">
        <v>355</v>
      </c>
      <c r="K1" s="334" t="s">
        <v>367</v>
      </c>
      <c r="L1" s="334" t="s">
        <v>356</v>
      </c>
      <c r="M1" s="334" t="s">
        <v>357</v>
      </c>
      <c r="N1" s="335" t="s">
        <v>372</v>
      </c>
      <c r="O1" s="336" t="s">
        <v>185</v>
      </c>
    </row>
    <row r="2" spans="1:15" ht="5.0999999999999996" customHeight="1">
      <c r="A2" s="302"/>
      <c r="B2" s="302"/>
      <c r="C2" s="302"/>
      <c r="D2" s="302"/>
      <c r="E2" s="303"/>
      <c r="F2" s="300"/>
      <c r="J2" s="316"/>
      <c r="K2" s="316"/>
      <c r="L2" s="316"/>
      <c r="M2" s="316"/>
      <c r="N2" s="81"/>
      <c r="O2" s="324"/>
    </row>
    <row r="3" spans="1:15">
      <c r="A3" s="247" t="s">
        <v>364</v>
      </c>
      <c r="B3" s="255">
        <v>2718650.61</v>
      </c>
      <c r="C3" s="255">
        <v>2702740.61</v>
      </c>
      <c r="D3" s="255">
        <f>B3-C3</f>
        <v>15910</v>
      </c>
      <c r="E3" s="424"/>
      <c r="F3" s="425"/>
      <c r="G3" s="425"/>
      <c r="H3" s="426"/>
      <c r="J3" s="236" t="s">
        <v>364</v>
      </c>
      <c r="K3" s="317">
        <v>2718650.61</v>
      </c>
      <c r="L3" s="317">
        <v>2702740.61</v>
      </c>
      <c r="M3" s="317">
        <f>K3-L3</f>
        <v>15910</v>
      </c>
      <c r="N3" s="318"/>
      <c r="O3" s="325"/>
    </row>
    <row r="4" spans="1:15">
      <c r="A4" s="247" t="s">
        <v>259</v>
      </c>
      <c r="B4" s="255">
        <v>6187238.7000000002</v>
      </c>
      <c r="C4" s="255">
        <v>5728126.1200000001</v>
      </c>
      <c r="D4" s="255">
        <f t="shared" ref="D4:D10" si="0">B4-C4</f>
        <v>459112.58000000007</v>
      </c>
      <c r="E4" s="427"/>
      <c r="F4" s="428"/>
      <c r="G4" s="428"/>
      <c r="H4" s="429"/>
      <c r="J4" s="236" t="s">
        <v>259</v>
      </c>
      <c r="K4" s="317">
        <v>6187238.7000000002</v>
      </c>
      <c r="L4" s="317">
        <v>5728126.1200000001</v>
      </c>
      <c r="M4" s="317">
        <f t="shared" ref="M4:M10" si="1">K4-L4</f>
        <v>459112.58000000007</v>
      </c>
      <c r="N4" s="319"/>
      <c r="O4" s="326"/>
    </row>
    <row r="5" spans="1:15">
      <c r="A5" s="247" t="s">
        <v>260</v>
      </c>
      <c r="B5" s="255">
        <v>3235935.06</v>
      </c>
      <c r="C5" s="255">
        <v>3091551.61</v>
      </c>
      <c r="D5" s="255">
        <f t="shared" si="0"/>
        <v>144383.45000000019</v>
      </c>
      <c r="E5" s="427"/>
      <c r="F5" s="428"/>
      <c r="G5" s="428"/>
      <c r="H5" s="429"/>
      <c r="J5" s="236" t="s">
        <v>260</v>
      </c>
      <c r="K5" s="317">
        <v>3235935.06</v>
      </c>
      <c r="L5" s="317">
        <v>3091551.61</v>
      </c>
      <c r="M5" s="317">
        <f t="shared" si="1"/>
        <v>144383.45000000019</v>
      </c>
      <c r="N5" s="319"/>
      <c r="O5" s="326"/>
    </row>
    <row r="6" spans="1:15">
      <c r="A6" s="247" t="s">
        <v>365</v>
      </c>
      <c r="B6" s="255">
        <v>263836.37</v>
      </c>
      <c r="C6" s="255">
        <v>250865.14</v>
      </c>
      <c r="D6" s="255">
        <f t="shared" si="0"/>
        <v>12971.229999999981</v>
      </c>
      <c r="E6" s="427"/>
      <c r="F6" s="428"/>
      <c r="G6" s="428"/>
      <c r="H6" s="429"/>
      <c r="J6" s="236" t="s">
        <v>365</v>
      </c>
      <c r="K6" s="317">
        <v>263836.37</v>
      </c>
      <c r="L6" s="317">
        <v>250865.14</v>
      </c>
      <c r="M6" s="317">
        <f t="shared" si="1"/>
        <v>12971.229999999981</v>
      </c>
      <c r="N6" s="319"/>
      <c r="O6" s="326"/>
    </row>
    <row r="7" spans="1:15">
      <c r="A7" s="247" t="s">
        <v>366</v>
      </c>
      <c r="B7" s="255">
        <v>364296.88</v>
      </c>
      <c r="C7" s="255">
        <v>364296.88</v>
      </c>
      <c r="D7" s="255">
        <f t="shared" si="0"/>
        <v>0</v>
      </c>
      <c r="E7" s="427"/>
      <c r="F7" s="428"/>
      <c r="G7" s="428"/>
      <c r="H7" s="429"/>
      <c r="J7" s="236" t="s">
        <v>366</v>
      </c>
      <c r="K7" s="317">
        <v>364296.88</v>
      </c>
      <c r="L7" s="317">
        <v>364296.88</v>
      </c>
      <c r="M7" s="317">
        <f t="shared" si="1"/>
        <v>0</v>
      </c>
      <c r="N7" s="319"/>
      <c r="O7" s="326"/>
    </row>
    <row r="8" spans="1:15">
      <c r="A8" s="247" t="s">
        <v>261</v>
      </c>
      <c r="B8" s="255">
        <v>8930552.6799999997</v>
      </c>
      <c r="C8" s="255">
        <v>8357372.0499999998</v>
      </c>
      <c r="D8" s="255">
        <f t="shared" si="0"/>
        <v>573180.62999999989</v>
      </c>
      <c r="E8" s="427"/>
      <c r="F8" s="428"/>
      <c r="G8" s="428"/>
      <c r="H8" s="429"/>
      <c r="J8" s="236" t="s">
        <v>261</v>
      </c>
      <c r="K8" s="317">
        <v>8930552.6799999997</v>
      </c>
      <c r="L8" s="317">
        <v>8357372.0499999998</v>
      </c>
      <c r="M8" s="317">
        <f t="shared" si="1"/>
        <v>573180.62999999989</v>
      </c>
      <c r="N8" s="319"/>
      <c r="O8" s="326"/>
    </row>
    <row r="9" spans="1:15">
      <c r="A9" s="247" t="s">
        <v>262</v>
      </c>
      <c r="B9" s="255">
        <v>3037481.74</v>
      </c>
      <c r="C9" s="255">
        <v>2920017.16</v>
      </c>
      <c r="D9" s="255">
        <f t="shared" si="0"/>
        <v>117464.58000000007</v>
      </c>
      <c r="E9" s="427"/>
      <c r="F9" s="428"/>
      <c r="G9" s="428"/>
      <c r="H9" s="429"/>
      <c r="J9" s="236" t="s">
        <v>262</v>
      </c>
      <c r="K9" s="317">
        <v>3037481.74</v>
      </c>
      <c r="L9" s="317">
        <v>2920017.16</v>
      </c>
      <c r="M9" s="317">
        <f t="shared" si="1"/>
        <v>117464.58000000007</v>
      </c>
      <c r="N9" s="319"/>
      <c r="O9" s="326"/>
    </row>
    <row r="10" spans="1:15">
      <c r="A10" s="247" t="s">
        <v>369</v>
      </c>
      <c r="B10" s="255">
        <v>3883220.05</v>
      </c>
      <c r="C10" s="255">
        <v>3833415.84</v>
      </c>
      <c r="D10" s="255">
        <f t="shared" si="0"/>
        <v>49804.209999999963</v>
      </c>
      <c r="E10" s="430"/>
      <c r="F10" s="431"/>
      <c r="G10" s="431"/>
      <c r="H10" s="432"/>
      <c r="J10" s="236" t="s">
        <v>369</v>
      </c>
      <c r="K10" s="317">
        <v>3883220.05</v>
      </c>
      <c r="L10" s="317">
        <v>3833415.84</v>
      </c>
      <c r="M10" s="317">
        <f t="shared" si="1"/>
        <v>49804.209999999963</v>
      </c>
      <c r="N10" s="320"/>
      <c r="O10" s="327"/>
    </row>
    <row r="11" spans="1:15" ht="5.0999999999999996" customHeight="1">
      <c r="A11" s="304"/>
      <c r="B11" s="304"/>
      <c r="C11" s="304"/>
      <c r="D11" s="304"/>
      <c r="E11" s="305"/>
      <c r="F11" s="300"/>
      <c r="J11" s="321"/>
      <c r="K11" s="321"/>
      <c r="L11" s="321"/>
      <c r="M11" s="321"/>
      <c r="N11" s="81"/>
      <c r="O11" s="324"/>
    </row>
    <row r="12" spans="1:15">
      <c r="A12" s="308" t="s">
        <v>358</v>
      </c>
      <c r="B12" s="309">
        <f>SUM(B3:B11)</f>
        <v>28621212.09</v>
      </c>
      <c r="C12" s="309">
        <f t="shared" ref="C12" si="2">SUM(C3:C11)</f>
        <v>27248385.41</v>
      </c>
      <c r="D12" s="309">
        <f>SUM(D3:D11)</f>
        <v>1372826.6800000002</v>
      </c>
      <c r="E12" s="310">
        <v>356484.48</v>
      </c>
      <c r="F12" s="310">
        <v>813314.11</v>
      </c>
      <c r="G12" s="310">
        <f>75887.7+7304.58+5006.04+450</f>
        <v>88648.319999999992</v>
      </c>
      <c r="H12" s="311">
        <f>SUM(D12:G12)</f>
        <v>2631273.59</v>
      </c>
      <c r="J12" s="322" t="s">
        <v>358</v>
      </c>
      <c r="K12" s="314">
        <f>SUM(K3:K11)</f>
        <v>28621212.09</v>
      </c>
      <c r="L12" s="314">
        <f t="shared" ref="L12" si="3">SUM(L3:L11)</f>
        <v>27248385.41</v>
      </c>
      <c r="M12" s="314">
        <f>SUM(M3:M11)</f>
        <v>1372826.6800000002</v>
      </c>
      <c r="N12" s="315">
        <f>75887.7+7304.58+5006.04+450</f>
        <v>88648.319999999992</v>
      </c>
      <c r="O12" s="328">
        <f>SUM(M12:N12)</f>
        <v>1461475.0000000002</v>
      </c>
    </row>
    <row r="13" spans="1:15">
      <c r="A13" s="308" t="s">
        <v>370</v>
      </c>
      <c r="B13" s="309">
        <f>B12</f>
        <v>28621212.09</v>
      </c>
      <c r="C13" s="309">
        <v>22292492.350000001</v>
      </c>
      <c r="D13" s="309">
        <f>B13-C13</f>
        <v>6328719.7399999984</v>
      </c>
      <c r="E13" s="421"/>
      <c r="F13" s="422"/>
      <c r="G13" s="423"/>
      <c r="H13" s="311">
        <f>D13+E12+F12+G12</f>
        <v>7587166.6499999994</v>
      </c>
      <c r="J13" s="322" t="s">
        <v>370</v>
      </c>
      <c r="K13" s="314">
        <f>K12</f>
        <v>28621212.09</v>
      </c>
      <c r="L13" s="314">
        <v>22292492.350000001</v>
      </c>
      <c r="M13" s="314">
        <f>K13-L13</f>
        <v>6328719.7399999984</v>
      </c>
      <c r="N13" s="323"/>
      <c r="O13" s="328">
        <f>M13+N12</f>
        <v>6417368.0599999987</v>
      </c>
    </row>
    <row r="14" spans="1:15">
      <c r="H14" s="307"/>
      <c r="J14" s="76"/>
      <c r="K14" s="76"/>
      <c r="L14" s="76"/>
      <c r="M14" s="76"/>
      <c r="N14" s="81"/>
      <c r="O14" s="329"/>
    </row>
    <row r="15" spans="1:15">
      <c r="A15" s="308" t="s">
        <v>359</v>
      </c>
      <c r="B15" s="309">
        <v>19956253.210000001</v>
      </c>
      <c r="C15" s="309">
        <v>18533154.199999999</v>
      </c>
      <c r="D15" s="309">
        <f>B15-C15</f>
        <v>1423099.0100000016</v>
      </c>
      <c r="E15" s="310">
        <v>482945.56</v>
      </c>
      <c r="F15" s="310">
        <v>1065389.5</v>
      </c>
      <c r="G15" s="312">
        <f>3767.84+22761.51+93901.26</f>
        <v>120430.60999999999</v>
      </c>
      <c r="H15" s="311">
        <f>SUM(D15:G15)</f>
        <v>3091864.6800000016</v>
      </c>
      <c r="J15" s="322" t="s">
        <v>359</v>
      </c>
      <c r="K15" s="314">
        <v>19956253.210000001</v>
      </c>
      <c r="L15" s="314">
        <v>18533154.199999999</v>
      </c>
      <c r="M15" s="314">
        <f>K15-L15</f>
        <v>1423099.0100000016</v>
      </c>
      <c r="N15" s="315">
        <f>3767.84+22761.51+93901.26</f>
        <v>120430.60999999999</v>
      </c>
      <c r="O15" s="328">
        <f>SUM(M15:N15)</f>
        <v>1543529.6200000015</v>
      </c>
    </row>
    <row r="16" spans="1:15">
      <c r="A16" s="308" t="s">
        <v>370</v>
      </c>
      <c r="B16" s="309">
        <f>B15</f>
        <v>19956253.210000001</v>
      </c>
      <c r="C16" s="309">
        <v>18096264</v>
      </c>
      <c r="D16" s="309">
        <f>B16-C16</f>
        <v>1859989.2100000009</v>
      </c>
      <c r="E16" s="421"/>
      <c r="F16" s="422"/>
      <c r="G16" s="423"/>
      <c r="H16" s="311">
        <f>D16+E15+F15+G15</f>
        <v>3528754.8800000008</v>
      </c>
      <c r="J16" s="322" t="s">
        <v>370</v>
      </c>
      <c r="K16" s="314">
        <f>K15</f>
        <v>19956253.210000001</v>
      </c>
      <c r="L16" s="314">
        <v>18096264</v>
      </c>
      <c r="M16" s="314">
        <f>K16-L16</f>
        <v>1859989.2100000009</v>
      </c>
      <c r="N16" s="323"/>
      <c r="O16" s="328">
        <f>M16+N15</f>
        <v>1980419.8200000008</v>
      </c>
    </row>
    <row r="17" spans="1:15">
      <c r="H17" s="307"/>
      <c r="J17" s="76"/>
      <c r="K17" s="76"/>
      <c r="L17" s="76"/>
      <c r="M17" s="76"/>
      <c r="N17" s="81"/>
      <c r="O17" s="329"/>
    </row>
    <row r="18" spans="1:15">
      <c r="A18" s="308" t="s">
        <v>360</v>
      </c>
      <c r="B18" s="309">
        <v>2192813.7599999998</v>
      </c>
      <c r="C18" s="309">
        <v>2023614.89</v>
      </c>
      <c r="D18" s="309">
        <f>B18-C18</f>
        <v>169198.86999999988</v>
      </c>
      <c r="E18" s="310">
        <v>31276.28</v>
      </c>
      <c r="F18" s="310">
        <v>63628.97</v>
      </c>
      <c r="G18" s="312">
        <f>1422.25+1964.63</f>
        <v>3386.88</v>
      </c>
      <c r="H18" s="311">
        <f>SUM(D18:G18)</f>
        <v>267490.99999999988</v>
      </c>
      <c r="J18" s="322" t="s">
        <v>360</v>
      </c>
      <c r="K18" s="314">
        <v>2192813.7599999998</v>
      </c>
      <c r="L18" s="314">
        <v>2023614.89</v>
      </c>
      <c r="M18" s="314">
        <f>K18-L18</f>
        <v>169198.86999999988</v>
      </c>
      <c r="N18" s="315">
        <f>1422.25+1964.63</f>
        <v>3386.88</v>
      </c>
      <c r="O18" s="328">
        <f>SUM(M18:N18)</f>
        <v>172585.74999999988</v>
      </c>
    </row>
    <row r="19" spans="1:15">
      <c r="A19" s="308" t="s">
        <v>370</v>
      </c>
      <c r="B19" s="309">
        <f>B18</f>
        <v>2192813.7599999998</v>
      </c>
      <c r="C19" s="309">
        <f>C18-306187.74</f>
        <v>1717427.15</v>
      </c>
      <c r="D19" s="309">
        <f>B19-C19</f>
        <v>475386.60999999987</v>
      </c>
      <c r="E19" s="421"/>
      <c r="F19" s="422"/>
      <c r="G19" s="423"/>
      <c r="H19" s="311">
        <f>D19+E18+F18+G18</f>
        <v>573678.73999999987</v>
      </c>
      <c r="J19" s="322" t="s">
        <v>370</v>
      </c>
      <c r="K19" s="314">
        <f>K18</f>
        <v>2192813.7599999998</v>
      </c>
      <c r="L19" s="314">
        <f>L18-306187.74</f>
        <v>1717427.15</v>
      </c>
      <c r="M19" s="314">
        <f>K19-L19</f>
        <v>475386.60999999987</v>
      </c>
      <c r="N19" s="323"/>
      <c r="O19" s="328">
        <f>M19+N18</f>
        <v>478773.48999999987</v>
      </c>
    </row>
    <row r="20" spans="1:15">
      <c r="H20" s="307"/>
      <c r="J20" s="76"/>
      <c r="K20" s="76"/>
      <c r="L20" s="76"/>
      <c r="M20" s="76"/>
      <c r="N20" s="81"/>
      <c r="O20" s="329"/>
    </row>
    <row r="21" spans="1:15">
      <c r="A21" s="308" t="s">
        <v>361</v>
      </c>
      <c r="B21" s="309">
        <v>26844118.190000001</v>
      </c>
      <c r="C21" s="309">
        <v>26310561.780000001</v>
      </c>
      <c r="D21" s="309">
        <f>B21-C21</f>
        <v>533556.41000000015</v>
      </c>
      <c r="E21" s="310">
        <v>677887.96</v>
      </c>
      <c r="F21" s="310">
        <v>1263854.43</v>
      </c>
      <c r="G21" s="312">
        <f>3209.76+46974.87+183126.42+7008.81</f>
        <v>240319.86000000002</v>
      </c>
      <c r="H21" s="311">
        <f>SUM(D21:G21)</f>
        <v>2715618.6599999997</v>
      </c>
      <c r="J21" s="322" t="s">
        <v>361</v>
      </c>
      <c r="K21" s="314">
        <v>26844118.190000001</v>
      </c>
      <c r="L21" s="314">
        <v>26310561.780000001</v>
      </c>
      <c r="M21" s="314">
        <f>K21-L21</f>
        <v>533556.41000000015</v>
      </c>
      <c r="N21" s="315">
        <f>3209.76+46974.87+183126.42+7008.81</f>
        <v>240319.86000000002</v>
      </c>
      <c r="O21" s="328">
        <f>SUM(M21:N21)</f>
        <v>773876.27000000014</v>
      </c>
    </row>
    <row r="22" spans="1:15">
      <c r="A22" s="308" t="s">
        <v>370</v>
      </c>
      <c r="B22" s="309">
        <f>B21</f>
        <v>26844118.190000001</v>
      </c>
      <c r="C22" s="309">
        <f>C21-542237.01</f>
        <v>25768324.77</v>
      </c>
      <c r="D22" s="309">
        <f>B22-C22</f>
        <v>1075793.4200000018</v>
      </c>
      <c r="E22" s="421"/>
      <c r="F22" s="422"/>
      <c r="G22" s="423"/>
      <c r="H22" s="311">
        <f>D22+E21+F21+G21</f>
        <v>3257855.6700000013</v>
      </c>
      <c r="J22" s="322" t="s">
        <v>370</v>
      </c>
      <c r="K22" s="314">
        <f>K21</f>
        <v>26844118.190000001</v>
      </c>
      <c r="L22" s="314">
        <f>L21-542237.01</f>
        <v>25768324.77</v>
      </c>
      <c r="M22" s="314">
        <f>K22-L22</f>
        <v>1075793.4200000018</v>
      </c>
      <c r="N22" s="323"/>
      <c r="O22" s="328">
        <f>M22+N21</f>
        <v>1316113.2800000019</v>
      </c>
    </row>
    <row r="23" spans="1:15">
      <c r="H23" s="307"/>
      <c r="J23" s="76"/>
      <c r="K23" s="76"/>
      <c r="L23" s="76"/>
      <c r="M23" s="76"/>
      <c r="N23" s="81"/>
      <c r="O23" s="329"/>
    </row>
    <row r="24" spans="1:15">
      <c r="A24" s="313" t="s">
        <v>1</v>
      </c>
      <c r="B24" s="314">
        <f>B12+B15+B18+B21</f>
        <v>77614397.25</v>
      </c>
      <c r="C24" s="314">
        <f>C12+C15+C18+C21</f>
        <v>74115716.280000001</v>
      </c>
      <c r="D24" s="314">
        <f>B24-C24</f>
        <v>3498680.9699999988</v>
      </c>
      <c r="E24" s="311">
        <f>SUM(E12:E22)</f>
        <v>1548594.28</v>
      </c>
      <c r="F24" s="311">
        <f t="shared" ref="F24:G24" si="4">SUM(F12:F22)</f>
        <v>3206187.01</v>
      </c>
      <c r="G24" s="311">
        <f t="shared" si="4"/>
        <v>452785.67000000004</v>
      </c>
      <c r="H24" s="311">
        <f>H12+H15+H18+H21</f>
        <v>8706247.9300000016</v>
      </c>
      <c r="J24" s="331" t="s">
        <v>1</v>
      </c>
      <c r="K24" s="332">
        <f>K12+K15+K18+K21</f>
        <v>77614397.25</v>
      </c>
      <c r="L24" s="332">
        <f>L12+L15+L18+L21</f>
        <v>74115716.280000001</v>
      </c>
      <c r="M24" s="332">
        <f>K24-L24</f>
        <v>3498680.9699999988</v>
      </c>
      <c r="N24" s="328">
        <f t="shared" ref="N24" si="5">SUM(N12:N22)</f>
        <v>452785.67000000004</v>
      </c>
      <c r="O24" s="328">
        <f>O12+O15+O18+O21</f>
        <v>3951466.640000002</v>
      </c>
    </row>
    <row r="25" spans="1:15">
      <c r="A25" s="313" t="s">
        <v>362</v>
      </c>
      <c r="B25" s="314">
        <f>B24</f>
        <v>77614397.25</v>
      </c>
      <c r="C25" s="314">
        <f>C13+C16+C19+C22</f>
        <v>67874508.269999996</v>
      </c>
      <c r="D25" s="314">
        <f>B25-C25-249745.55</f>
        <v>9490143.4300000034</v>
      </c>
      <c r="E25" s="420"/>
      <c r="F25" s="420"/>
      <c r="G25" s="420"/>
      <c r="H25" s="311">
        <f>H24+5991462.46</f>
        <v>14697710.390000001</v>
      </c>
      <c r="J25" s="331" t="s">
        <v>362</v>
      </c>
      <c r="K25" s="332">
        <f>K24</f>
        <v>77614397.25</v>
      </c>
      <c r="L25" s="332">
        <f>L13+L16+L19+L22</f>
        <v>67874508.269999996</v>
      </c>
      <c r="M25" s="332">
        <f>K25-L25-249745.55</f>
        <v>9490143.4300000034</v>
      </c>
      <c r="N25" s="333"/>
      <c r="O25" s="328">
        <f>O24+5991462.46</f>
        <v>9942929.1000000015</v>
      </c>
    </row>
    <row r="27" spans="1:15">
      <c r="D27" s="168"/>
    </row>
    <row r="28" spans="1:15">
      <c r="D28" s="168"/>
    </row>
    <row r="29" spans="1:15">
      <c r="D29" s="200"/>
    </row>
    <row r="37" spans="6:6">
      <c r="F37" s="201"/>
    </row>
  </sheetData>
  <mergeCells count="6">
    <mergeCell ref="E25:G25"/>
    <mergeCell ref="E22:G22"/>
    <mergeCell ref="E19:G19"/>
    <mergeCell ref="E13:G13"/>
    <mergeCell ref="E3:H10"/>
    <mergeCell ref="E16:G16"/>
  </mergeCells>
  <pageMargins left="0.511811024" right="0.511811024" top="0.78740157499999996" bottom="0.78740157499999996" header="0.31496062000000002" footer="0.31496062000000002"/>
  <pageSetup paperSize="9" scale="96" orientation="landscape" r:id="rId1"/>
  <colBreaks count="1" manualBreakCount="1">
    <brk id="8" max="2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Despesas</vt:lpstr>
      <vt:lpstr>RECEITAS</vt:lpstr>
      <vt:lpstr>Saúde 15%</vt:lpstr>
      <vt:lpstr>Educação</vt:lpstr>
      <vt:lpstr>Pessoal 54%</vt:lpstr>
      <vt:lpstr>Resumo Índices</vt:lpstr>
      <vt:lpstr>Controles FR</vt:lpstr>
      <vt:lpstr>Planilha2</vt:lpstr>
      <vt:lpstr>Resumo 2023</vt:lpstr>
      <vt:lpstr>Planilha1</vt:lpstr>
      <vt:lpstr>'Controles FR'!Area_de_impressao</vt:lpstr>
      <vt:lpstr>Educação!Area_de_impressao</vt:lpstr>
      <vt:lpstr>'Pessoal 54%'!Area_de_impressao</vt:lpstr>
      <vt:lpstr>'Resumo Índices'!Area_de_impressao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Lopes Consultoria</cp:lastModifiedBy>
  <cp:lastPrinted>2024-01-25T19:14:06Z</cp:lastPrinted>
  <dcterms:created xsi:type="dcterms:W3CDTF">2014-11-30T22:34:26Z</dcterms:created>
  <dcterms:modified xsi:type="dcterms:W3CDTF">2025-05-07T21:31:46Z</dcterms:modified>
</cp:coreProperties>
</file>