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pes Consultoria\Downloads\"/>
    </mc:Choice>
  </mc:AlternateContent>
  <xr:revisionPtr revIDLastSave="0" documentId="13_ncr:1_{2AA77C05-8F33-4B0B-AE14-4B3C516215C9}" xr6:coauthVersionLast="47" xr6:coauthVersionMax="47" xr10:uidLastSave="{00000000-0000-0000-0000-000000000000}"/>
  <bookViews>
    <workbookView xWindow="-120" yWindow="-120" windowWidth="20730" windowHeight="11160" tabRatio="874" activeTab="1" xr2:uid="{00000000-000D-0000-FFFF-FFFF00000000}"/>
  </bookViews>
  <sheets>
    <sheet name="Despesas" sheetId="57" r:id="rId1"/>
    <sheet name="RECEITAS" sheetId="22" r:id="rId2"/>
    <sheet name="Resumo Índices" sheetId="20" r:id="rId3"/>
    <sheet name="Educação" sheetId="12" r:id="rId4"/>
    <sheet name="Pessoal 54%" sheetId="41" r:id="rId5"/>
    <sheet name="Saúde 15%" sheetId="13" r:id="rId6"/>
    <sheet name="Controles FR" sheetId="58" r:id="rId7"/>
    <sheet name="Despesas (2)" sheetId="62" r:id="rId8"/>
    <sheet name="Planilha2" sheetId="59" r:id="rId9"/>
    <sheet name="Resumo 2023" sheetId="60" r:id="rId10"/>
    <sheet name="Bloqueio FPM" sheetId="61" r:id="rId11"/>
    <sheet name="Planilha1" sheetId="50" state="hidden" r:id="rId12"/>
  </sheets>
  <definedNames>
    <definedName name="_xlnm.Print_Area" localSheetId="6">'Controles FR'!$A$1:$K$51</definedName>
    <definedName name="_xlnm.Print_Area" localSheetId="3">Educação!$A$1:$T$57</definedName>
    <definedName name="_xlnm.Print_Area" localSheetId="4">'Pessoal 54%'!$A$1:$N$98</definedName>
    <definedName name="_xlnm.Print_Area" localSheetId="2">'Resumo Índices'!$A$1:$C$55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0" l="1"/>
  <c r="C42" i="20"/>
  <c r="C84" i="20"/>
  <c r="C67" i="20"/>
  <c r="D189" i="22"/>
  <c r="D191" i="22"/>
  <c r="D190" i="22"/>
  <c r="B179" i="22"/>
  <c r="B177" i="22"/>
  <c r="B178" i="22" s="1"/>
  <c r="B184" i="22"/>
  <c r="M71" i="57"/>
  <c r="M70" i="57"/>
  <c r="M73" i="57"/>
  <c r="K71" i="57"/>
  <c r="K70" i="57"/>
  <c r="K76" i="57"/>
  <c r="K77" i="57"/>
  <c r="S173" i="22"/>
  <c r="R173" i="22"/>
  <c r="Q173" i="22"/>
  <c r="P173" i="22"/>
  <c r="O173" i="22"/>
  <c r="N173" i="22"/>
  <c r="M173" i="22"/>
  <c r="L173" i="22"/>
  <c r="T173" i="22" s="1"/>
  <c r="K173" i="22"/>
  <c r="J173" i="22"/>
  <c r="I173" i="22"/>
  <c r="H173" i="22"/>
  <c r="H169" i="22"/>
  <c r="I169" i="22"/>
  <c r="J169" i="22"/>
  <c r="K169" i="22"/>
  <c r="L169" i="22"/>
  <c r="M169" i="22"/>
  <c r="N169" i="22"/>
  <c r="T171" i="22"/>
  <c r="S169" i="22"/>
  <c r="R169" i="22"/>
  <c r="Q169" i="22"/>
  <c r="P169" i="22"/>
  <c r="O169" i="22"/>
  <c r="G75" i="20"/>
  <c r="H164" i="22"/>
  <c r="H163" i="22"/>
  <c r="H162" i="22"/>
  <c r="H161" i="22"/>
  <c r="H160" i="22"/>
  <c r="H158" i="22"/>
  <c r="H157" i="22"/>
  <c r="H156" i="22"/>
  <c r="H155" i="22"/>
  <c r="C24" i="20"/>
  <c r="B26" i="20"/>
  <c r="B24" i="20"/>
  <c r="K123" i="22"/>
  <c r="K121" i="22"/>
  <c r="K122" i="22" s="1"/>
  <c r="K120" i="22"/>
  <c r="B20" i="20"/>
  <c r="B19" i="20"/>
  <c r="B16" i="20"/>
  <c r="B15" i="20"/>
  <c r="B14" i="20"/>
  <c r="B13" i="20"/>
  <c r="C16" i="20"/>
  <c r="C15" i="20"/>
  <c r="C14" i="20"/>
  <c r="C13" i="20"/>
  <c r="B135" i="22"/>
  <c r="B133" i="22"/>
  <c r="B131" i="22"/>
  <c r="B129" i="22"/>
  <c r="C146" i="22"/>
  <c r="D146" i="22" s="1"/>
  <c r="C145" i="22"/>
  <c r="C144" i="22"/>
  <c r="D144" i="22" s="1"/>
  <c r="B144" i="22"/>
  <c r="C142" i="22"/>
  <c r="B142" i="22"/>
  <c r="C140" i="22"/>
  <c r="B140" i="22"/>
  <c r="A140" i="22"/>
  <c r="A142" i="22"/>
  <c r="A144" i="22"/>
  <c r="N4" i="22"/>
  <c r="N5" i="22"/>
  <c r="N6" i="22"/>
  <c r="M7" i="22"/>
  <c r="N7" i="22" s="1"/>
  <c r="N8" i="22"/>
  <c r="N9" i="22"/>
  <c r="N10" i="22"/>
  <c r="N11" i="22"/>
  <c r="B13" i="22"/>
  <c r="C13" i="22"/>
  <c r="D13" i="22"/>
  <c r="E13" i="22"/>
  <c r="F13" i="22"/>
  <c r="G13" i="22"/>
  <c r="H13" i="22"/>
  <c r="I13" i="22"/>
  <c r="J13" i="22"/>
  <c r="K13" i="22"/>
  <c r="L13" i="22"/>
  <c r="N14" i="22"/>
  <c r="B10" i="13" s="1"/>
  <c r="N15" i="22"/>
  <c r="M16" i="22"/>
  <c r="N16" i="22" s="1"/>
  <c r="N17" i="22"/>
  <c r="N18" i="22"/>
  <c r="N19" i="22"/>
  <c r="N20" i="22"/>
  <c r="N21" i="22"/>
  <c r="C9" i="58" s="1"/>
  <c r="I9" i="58" s="1"/>
  <c r="N22" i="22"/>
  <c r="N23" i="22"/>
  <c r="N24" i="22"/>
  <c r="N25" i="22"/>
  <c r="N26" i="22"/>
  <c r="B13" i="13" s="1"/>
  <c r="N27" i="22"/>
  <c r="N28" i="22"/>
  <c r="M117" i="22"/>
  <c r="N117" i="22" s="1"/>
  <c r="D121" i="22" s="1"/>
  <c r="L116" i="22"/>
  <c r="K116" i="22"/>
  <c r="J116" i="22"/>
  <c r="I116" i="22"/>
  <c r="H116" i="22"/>
  <c r="G116" i="22"/>
  <c r="F116" i="22"/>
  <c r="E116" i="22"/>
  <c r="D116" i="22"/>
  <c r="C116" i="22"/>
  <c r="B116" i="22"/>
  <c r="M114" i="22"/>
  <c r="J114" i="22"/>
  <c r="N113" i="22"/>
  <c r="J112" i="22"/>
  <c r="N112" i="22" s="1"/>
  <c r="K111" i="22"/>
  <c r="K109" i="22" s="1"/>
  <c r="N110" i="22"/>
  <c r="L109" i="22"/>
  <c r="I109" i="22"/>
  <c r="H109" i="22"/>
  <c r="G109" i="22"/>
  <c r="F109" i="22"/>
  <c r="E109" i="22"/>
  <c r="D109" i="22"/>
  <c r="C109" i="22"/>
  <c r="B109" i="22"/>
  <c r="L108" i="22"/>
  <c r="N108" i="22" s="1"/>
  <c r="N107" i="22"/>
  <c r="N106" i="22"/>
  <c r="L105" i="22"/>
  <c r="M104" i="22"/>
  <c r="K104" i="22"/>
  <c r="J104" i="22"/>
  <c r="I104" i="22"/>
  <c r="I103" i="22" s="1"/>
  <c r="I102" i="22" s="1"/>
  <c r="H104" i="22"/>
  <c r="H103" i="22" s="1"/>
  <c r="G104" i="22"/>
  <c r="F104" i="22"/>
  <c r="F103" i="22" s="1"/>
  <c r="E104" i="22"/>
  <c r="D104" i="22"/>
  <c r="C104" i="22"/>
  <c r="B104" i="22"/>
  <c r="A97" i="22"/>
  <c r="A96" i="22"/>
  <c r="A94" i="22"/>
  <c r="A93" i="22"/>
  <c r="A91" i="22"/>
  <c r="A90" i="22"/>
  <c r="A89" i="22"/>
  <c r="M77" i="22"/>
  <c r="L77" i="22"/>
  <c r="K77" i="22"/>
  <c r="M70" i="22"/>
  <c r="L70" i="22"/>
  <c r="K70" i="22"/>
  <c r="J70" i="22"/>
  <c r="I70" i="22"/>
  <c r="H70" i="22"/>
  <c r="G70" i="22"/>
  <c r="F70" i="22"/>
  <c r="E70" i="22"/>
  <c r="D70" i="22"/>
  <c r="C70" i="22"/>
  <c r="B70" i="22"/>
  <c r="E66" i="22"/>
  <c r="L66" i="22"/>
  <c r="K66" i="22"/>
  <c r="J66" i="22"/>
  <c r="I66" i="22"/>
  <c r="H66" i="22"/>
  <c r="G66" i="22"/>
  <c r="F66" i="22"/>
  <c r="D66" i="22"/>
  <c r="C66" i="22"/>
  <c r="B66" i="22"/>
  <c r="L64" i="22"/>
  <c r="L72" i="22" s="1"/>
  <c r="K64" i="22"/>
  <c r="K72" i="22" s="1"/>
  <c r="J64" i="22"/>
  <c r="J72" i="22" s="1"/>
  <c r="I64" i="22"/>
  <c r="I72" i="22" s="1"/>
  <c r="H64" i="22"/>
  <c r="H72" i="22" s="1"/>
  <c r="G64" i="22"/>
  <c r="G72" i="22" s="1"/>
  <c r="F64" i="22"/>
  <c r="F72" i="22" s="1"/>
  <c r="E64" i="22"/>
  <c r="E72" i="22" s="1"/>
  <c r="D64" i="22"/>
  <c r="D72" i="22" s="1"/>
  <c r="C64" i="22"/>
  <c r="C72" i="22" s="1"/>
  <c r="B64" i="22"/>
  <c r="B72" i="22" s="1"/>
  <c r="M82" i="22"/>
  <c r="L82" i="22"/>
  <c r="K82" i="22"/>
  <c r="J82" i="22"/>
  <c r="I82" i="22"/>
  <c r="H82" i="22"/>
  <c r="G82" i="22"/>
  <c r="F82" i="22"/>
  <c r="E82" i="22"/>
  <c r="D82" i="22"/>
  <c r="C82" i="22"/>
  <c r="B82" i="22"/>
  <c r="N80" i="22"/>
  <c r="N57" i="22"/>
  <c r="B74" i="57"/>
  <c r="A74" i="57"/>
  <c r="B72" i="57"/>
  <c r="A72" i="57"/>
  <c r="B70" i="57"/>
  <c r="A70" i="57"/>
  <c r="E66" i="57"/>
  <c r="D66" i="57"/>
  <c r="B66" i="57"/>
  <c r="N60" i="57"/>
  <c r="N59" i="57"/>
  <c r="C74" i="57" s="1"/>
  <c r="N58" i="57"/>
  <c r="N55" i="57"/>
  <c r="M53" i="57"/>
  <c r="M57" i="57" s="1"/>
  <c r="M61" i="57" s="1"/>
  <c r="M63" i="57" s="1"/>
  <c r="L53" i="57"/>
  <c r="L57" i="57" s="1"/>
  <c r="L61" i="57" s="1"/>
  <c r="L63" i="57" s="1"/>
  <c r="K53" i="57"/>
  <c r="K57" i="57" s="1"/>
  <c r="K61" i="57" s="1"/>
  <c r="K63" i="57" s="1"/>
  <c r="I53" i="57"/>
  <c r="I57" i="57" s="1"/>
  <c r="I61" i="57" s="1"/>
  <c r="I63" i="57" s="1"/>
  <c r="H53" i="57"/>
  <c r="H57" i="57" s="1"/>
  <c r="H61" i="57" s="1"/>
  <c r="H63" i="57" s="1"/>
  <c r="G53" i="57"/>
  <c r="G57" i="57" s="1"/>
  <c r="G61" i="57" s="1"/>
  <c r="G63" i="57" s="1"/>
  <c r="F53" i="57"/>
  <c r="F57" i="57" s="1"/>
  <c r="F61" i="57" s="1"/>
  <c r="F63" i="57" s="1"/>
  <c r="J51" i="57"/>
  <c r="J53" i="57" s="1"/>
  <c r="J57" i="57" s="1"/>
  <c r="J61" i="57" s="1"/>
  <c r="J63" i="57" s="1"/>
  <c r="E51" i="57"/>
  <c r="E53" i="57" s="1"/>
  <c r="E57" i="57" s="1"/>
  <c r="E61" i="57" s="1"/>
  <c r="E63" i="57" s="1"/>
  <c r="D51" i="57"/>
  <c r="D53" i="57" s="1"/>
  <c r="D57" i="57" s="1"/>
  <c r="D61" i="57" s="1"/>
  <c r="D63" i="57" s="1"/>
  <c r="C51" i="57"/>
  <c r="C53" i="57" s="1"/>
  <c r="C57" i="57" s="1"/>
  <c r="C61" i="57" s="1"/>
  <c r="C63" i="57" s="1"/>
  <c r="B51" i="57"/>
  <c r="B53" i="57" s="1"/>
  <c r="B57" i="57" s="1"/>
  <c r="N50" i="57"/>
  <c r="N49" i="57"/>
  <c r="N48" i="57"/>
  <c r="N47" i="57"/>
  <c r="N46" i="57"/>
  <c r="B36" i="57"/>
  <c r="B40" i="57" s="1"/>
  <c r="B29" i="57"/>
  <c r="N26" i="57"/>
  <c r="B22" i="57"/>
  <c r="B23" i="57" s="1"/>
  <c r="O20" i="57"/>
  <c r="P18" i="57"/>
  <c r="O18" i="57"/>
  <c r="M18" i="57"/>
  <c r="M17" i="57" s="1"/>
  <c r="L17" i="57"/>
  <c r="K17" i="57"/>
  <c r="J17" i="57"/>
  <c r="I17" i="57"/>
  <c r="H17" i="57"/>
  <c r="G17" i="57"/>
  <c r="F17" i="57"/>
  <c r="E17" i="57"/>
  <c r="D17" i="57"/>
  <c r="C17" i="57"/>
  <c r="B17" i="57"/>
  <c r="M15" i="57"/>
  <c r="M10" i="57" s="1"/>
  <c r="J15" i="57"/>
  <c r="N14" i="57"/>
  <c r="J13" i="57"/>
  <c r="J10" i="57" s="1"/>
  <c r="K12" i="57"/>
  <c r="K10" i="57" s="1"/>
  <c r="N11" i="57"/>
  <c r="L10" i="57"/>
  <c r="I10" i="57"/>
  <c r="H10" i="57"/>
  <c r="G10" i="57"/>
  <c r="F10" i="57"/>
  <c r="E10" i="57"/>
  <c r="D10" i="57"/>
  <c r="C10" i="57"/>
  <c r="B10" i="57"/>
  <c r="L9" i="57"/>
  <c r="N9" i="57" s="1"/>
  <c r="N8" i="57"/>
  <c r="N7" i="57"/>
  <c r="L6" i="57"/>
  <c r="N6" i="57" s="1"/>
  <c r="M5" i="57"/>
  <c r="K5" i="57"/>
  <c r="J5" i="57"/>
  <c r="I5" i="57"/>
  <c r="H5" i="57"/>
  <c r="G5" i="57"/>
  <c r="F5" i="57"/>
  <c r="E5" i="57"/>
  <c r="D5" i="57"/>
  <c r="C5" i="57"/>
  <c r="B5" i="57"/>
  <c r="B4" i="57" s="1"/>
  <c r="F95" i="62"/>
  <c r="B68" i="62"/>
  <c r="B67" i="62"/>
  <c r="B63" i="62"/>
  <c r="C58" i="62"/>
  <c r="J11" i="41"/>
  <c r="C11" i="41"/>
  <c r="D53" i="41"/>
  <c r="D51" i="41"/>
  <c r="E49" i="41"/>
  <c r="M3" i="22"/>
  <c r="M57" i="12"/>
  <c r="M5" i="12"/>
  <c r="M11" i="12"/>
  <c r="M13" i="12"/>
  <c r="M16" i="12"/>
  <c r="M14" i="12"/>
  <c r="M22" i="12"/>
  <c r="M54" i="12"/>
  <c r="M46" i="22"/>
  <c r="M45" i="22" s="1"/>
  <c r="M49" i="22"/>
  <c r="M48" i="22" s="1"/>
  <c r="M30" i="12" s="1"/>
  <c r="M52" i="22"/>
  <c r="M51" i="22" s="1"/>
  <c r="L45" i="12"/>
  <c r="L48" i="12"/>
  <c r="J52" i="12"/>
  <c r="J54" i="12"/>
  <c r="A25" i="20"/>
  <c r="K22" i="12"/>
  <c r="J22" i="12"/>
  <c r="K51" i="12"/>
  <c r="J47" i="22"/>
  <c r="J77" i="22" s="1"/>
  <c r="I47" i="22"/>
  <c r="I29" i="12" s="1"/>
  <c r="H47" i="22"/>
  <c r="H29" i="12" s="1"/>
  <c r="G47" i="22"/>
  <c r="G29" i="12" s="1"/>
  <c r="F47" i="22"/>
  <c r="F77" i="22" s="1"/>
  <c r="F74" i="62"/>
  <c r="B84" i="62"/>
  <c r="B76" i="62"/>
  <c r="B75" i="62"/>
  <c r="C62" i="62"/>
  <c r="B77" i="62" s="1"/>
  <c r="C50" i="62"/>
  <c r="C39" i="62" s="1"/>
  <c r="B50" i="62"/>
  <c r="B52" i="62"/>
  <c r="C44" i="62"/>
  <c r="C38" i="62" s="1"/>
  <c r="B44" i="62"/>
  <c r="B38" i="62"/>
  <c r="B20" i="62"/>
  <c r="C22" i="62" s="1"/>
  <c r="F8" i="62"/>
  <c r="B3" i="62"/>
  <c r="C17" i="61"/>
  <c r="D17" i="61"/>
  <c r="E17" i="61"/>
  <c r="B17" i="61"/>
  <c r="I9" i="61"/>
  <c r="F6" i="61"/>
  <c r="F7" i="61"/>
  <c r="F8" i="61"/>
  <c r="F9" i="61"/>
  <c r="F10" i="61"/>
  <c r="F11" i="61"/>
  <c r="F12" i="61"/>
  <c r="F13" i="61"/>
  <c r="F14" i="61"/>
  <c r="F15" i="61"/>
  <c r="F16" i="61"/>
  <c r="F17" i="61"/>
  <c r="F5" i="61"/>
  <c r="M39" i="41"/>
  <c r="C52" i="62"/>
  <c r="B39" i="62"/>
  <c r="B40" i="62"/>
  <c r="E47" i="22"/>
  <c r="E29" i="12" s="1"/>
  <c r="D47" i="22"/>
  <c r="D29" i="12" s="1"/>
  <c r="C47" i="22"/>
  <c r="C29" i="12" s="1"/>
  <c r="B36" i="22"/>
  <c r="N36" i="22" s="1"/>
  <c r="B47" i="22"/>
  <c r="B29" i="12" s="1"/>
  <c r="N19" i="41"/>
  <c r="N15" i="41"/>
  <c r="E11" i="41"/>
  <c r="D11" i="41"/>
  <c r="B11" i="41"/>
  <c r="N11" i="41"/>
  <c r="N13" i="41" s="1"/>
  <c r="O22" i="60"/>
  <c r="O19" i="60"/>
  <c r="O16" i="60"/>
  <c r="O13" i="60"/>
  <c r="L22" i="60"/>
  <c r="K22" i="60"/>
  <c r="M22" i="60"/>
  <c r="O21" i="60"/>
  <c r="N21" i="60"/>
  <c r="M21" i="60"/>
  <c r="L19" i="60"/>
  <c r="L25" i="60"/>
  <c r="K19" i="60"/>
  <c r="M19" i="60"/>
  <c r="N18" i="60"/>
  <c r="M18" i="60"/>
  <c r="K16" i="60"/>
  <c r="M16" i="60"/>
  <c r="N15" i="60"/>
  <c r="M15" i="60"/>
  <c r="O15" i="60"/>
  <c r="N12" i="60"/>
  <c r="N24" i="60"/>
  <c r="L12" i="60"/>
  <c r="L24" i="60"/>
  <c r="K12" i="60"/>
  <c r="K13" i="60"/>
  <c r="M13" i="60"/>
  <c r="M10" i="60"/>
  <c r="M9" i="60"/>
  <c r="M8" i="60"/>
  <c r="M7" i="60"/>
  <c r="M6" i="60"/>
  <c r="M5" i="60"/>
  <c r="M4" i="60"/>
  <c r="M3" i="60"/>
  <c r="M12" i="60"/>
  <c r="O12" i="60"/>
  <c r="G21" i="60"/>
  <c r="G12" i="60"/>
  <c r="F24" i="60"/>
  <c r="E24" i="60"/>
  <c r="G18" i="60"/>
  <c r="G15" i="60"/>
  <c r="C22" i="60"/>
  <c r="B22" i="60"/>
  <c r="D21" i="60"/>
  <c r="C19" i="60"/>
  <c r="B19" i="60"/>
  <c r="D18" i="60"/>
  <c r="B16" i="60"/>
  <c r="D16" i="60"/>
  <c r="D15" i="60"/>
  <c r="H15" i="60"/>
  <c r="C12" i="60"/>
  <c r="C24" i="60"/>
  <c r="B12" i="60"/>
  <c r="B13" i="60"/>
  <c r="D13" i="60"/>
  <c r="H13" i="60"/>
  <c r="D4" i="60"/>
  <c r="D5" i="60"/>
  <c r="D6" i="60"/>
  <c r="D7" i="60"/>
  <c r="D8" i="60"/>
  <c r="D9" i="60"/>
  <c r="D10" i="60"/>
  <c r="D3" i="60"/>
  <c r="O24" i="60"/>
  <c r="O25" i="60"/>
  <c r="O18" i="60"/>
  <c r="K24" i="60"/>
  <c r="H16" i="60"/>
  <c r="H18" i="60"/>
  <c r="C25" i="60"/>
  <c r="D22" i="60"/>
  <c r="H22" i="60"/>
  <c r="D12" i="60"/>
  <c r="H12" i="60"/>
  <c r="H21" i="60"/>
  <c r="G24" i="60"/>
  <c r="D19" i="60"/>
  <c r="H19" i="60"/>
  <c r="B24" i="60"/>
  <c r="D24" i="60"/>
  <c r="P70" i="12"/>
  <c r="B6" i="59"/>
  <c r="B3" i="59"/>
  <c r="B8" i="59"/>
  <c r="B9" i="59"/>
  <c r="A35" i="20"/>
  <c r="K43" i="41"/>
  <c r="K42" i="41"/>
  <c r="K37" i="41"/>
  <c r="K36" i="41"/>
  <c r="N15" i="58"/>
  <c r="D74" i="58"/>
  <c r="D75" i="58"/>
  <c r="D76" i="58"/>
  <c r="D64" i="58"/>
  <c r="M24" i="60"/>
  <c r="K25" i="60"/>
  <c r="M25" i="60"/>
  <c r="H24" i="60"/>
  <c r="H25" i="60"/>
  <c r="B25" i="60"/>
  <c r="D25" i="60"/>
  <c r="I21" i="58"/>
  <c r="I23" i="58"/>
  <c r="I26" i="58"/>
  <c r="I27" i="58"/>
  <c r="K13" i="58"/>
  <c r="K14" i="58"/>
  <c r="K15" i="58"/>
  <c r="K16" i="58"/>
  <c r="K17" i="58"/>
  <c r="K18" i="58"/>
  <c r="K19" i="58"/>
  <c r="K20" i="58"/>
  <c r="K21" i="58"/>
  <c r="K22" i="58"/>
  <c r="K23" i="58"/>
  <c r="K24" i="58"/>
  <c r="K25" i="58"/>
  <c r="K26" i="58"/>
  <c r="K27" i="58"/>
  <c r="K28" i="58"/>
  <c r="K29" i="58"/>
  <c r="K30" i="58"/>
  <c r="K31" i="58"/>
  <c r="K32" i="58"/>
  <c r="K33" i="58"/>
  <c r="K34" i="58"/>
  <c r="K35" i="58"/>
  <c r="K36" i="58"/>
  <c r="K37" i="58"/>
  <c r="K38" i="58"/>
  <c r="K39" i="58"/>
  <c r="K40" i="58"/>
  <c r="K41" i="58"/>
  <c r="K42" i="58"/>
  <c r="K43" i="58"/>
  <c r="K44" i="58"/>
  <c r="K45" i="58"/>
  <c r="K46" i="58"/>
  <c r="K47" i="58"/>
  <c r="K48" i="58"/>
  <c r="K49" i="58"/>
  <c r="K6" i="58"/>
  <c r="I16" i="58"/>
  <c r="I17" i="58"/>
  <c r="I18" i="58"/>
  <c r="I19" i="58"/>
  <c r="I20" i="58"/>
  <c r="I28" i="58"/>
  <c r="I29" i="58"/>
  <c r="I30" i="58"/>
  <c r="I31" i="58"/>
  <c r="I33" i="58"/>
  <c r="I34" i="58"/>
  <c r="I35" i="58"/>
  <c r="I36" i="58"/>
  <c r="I37" i="58"/>
  <c r="I38" i="58"/>
  <c r="I39" i="58"/>
  <c r="I40" i="58"/>
  <c r="I46" i="58"/>
  <c r="I47" i="58"/>
  <c r="I15" i="58"/>
  <c r="I6" i="58"/>
  <c r="G26" i="58"/>
  <c r="G27" i="58"/>
  <c r="G28" i="58"/>
  <c r="G29" i="58"/>
  <c r="G30" i="58"/>
  <c r="G31" i="58"/>
  <c r="G33" i="58"/>
  <c r="G34" i="58"/>
  <c r="G35" i="58"/>
  <c r="G36" i="58"/>
  <c r="G37" i="58"/>
  <c r="G38" i="58"/>
  <c r="G39" i="58"/>
  <c r="G40" i="58"/>
  <c r="G46" i="58"/>
  <c r="G47" i="58"/>
  <c r="G23" i="58"/>
  <c r="G20" i="58"/>
  <c r="G21" i="58"/>
  <c r="G19" i="58"/>
  <c r="G18" i="58"/>
  <c r="G17" i="58"/>
  <c r="G16" i="58"/>
  <c r="G15" i="58"/>
  <c r="G6" i="58"/>
  <c r="E20" i="58"/>
  <c r="E21" i="58"/>
  <c r="E23" i="58"/>
  <c r="E26" i="58"/>
  <c r="E27" i="58"/>
  <c r="E28" i="58"/>
  <c r="E29" i="58"/>
  <c r="E30" i="58"/>
  <c r="E31" i="58"/>
  <c r="E33" i="58"/>
  <c r="E34" i="58"/>
  <c r="E35" i="58"/>
  <c r="E36" i="58"/>
  <c r="E37" i="58"/>
  <c r="E38" i="58"/>
  <c r="E39" i="58"/>
  <c r="E40" i="58"/>
  <c r="E46" i="58"/>
  <c r="E47" i="58"/>
  <c r="E15" i="58"/>
  <c r="E16" i="58"/>
  <c r="E17" i="58"/>
  <c r="E18" i="58"/>
  <c r="E19" i="58"/>
  <c r="E6" i="58"/>
  <c r="J7" i="58"/>
  <c r="J3" i="58"/>
  <c r="H11" i="58"/>
  <c r="H9" i="58"/>
  <c r="H7" i="58"/>
  <c r="H3" i="58"/>
  <c r="D9" i="58"/>
  <c r="D11" i="58"/>
  <c r="D7" i="58"/>
  <c r="D3" i="58"/>
  <c r="F11" i="58"/>
  <c r="F9" i="58"/>
  <c r="F7" i="58"/>
  <c r="F3" i="58"/>
  <c r="F39" i="13"/>
  <c r="G39" i="13"/>
  <c r="E39" i="13"/>
  <c r="A26" i="20"/>
  <c r="A30" i="20"/>
  <c r="A29" i="20"/>
  <c r="N25" i="41"/>
  <c r="M37" i="41"/>
  <c r="B32" i="41"/>
  <c r="M43" i="41"/>
  <c r="B24" i="13"/>
  <c r="D43" i="12"/>
  <c r="B56" i="12"/>
  <c r="C49" i="12"/>
  <c r="C43" i="12"/>
  <c r="D49" i="12"/>
  <c r="E49" i="12"/>
  <c r="F49" i="12"/>
  <c r="G49" i="12"/>
  <c r="H49" i="12"/>
  <c r="I49" i="12"/>
  <c r="J49" i="12"/>
  <c r="K49" i="12"/>
  <c r="L49" i="12"/>
  <c r="M49" i="12"/>
  <c r="B49" i="12"/>
  <c r="C44" i="12"/>
  <c r="D44" i="12"/>
  <c r="E44" i="12"/>
  <c r="F44" i="12"/>
  <c r="G44" i="12"/>
  <c r="H44" i="12"/>
  <c r="I44" i="12"/>
  <c r="J44" i="12"/>
  <c r="K44" i="12"/>
  <c r="L44" i="12"/>
  <c r="M44" i="12"/>
  <c r="B44" i="12"/>
  <c r="B43" i="12"/>
  <c r="B42" i="12"/>
  <c r="N48" i="12"/>
  <c r="K29" i="12"/>
  <c r="L29" i="12"/>
  <c r="M29" i="12"/>
  <c r="C22" i="12"/>
  <c r="D22" i="12"/>
  <c r="E22" i="12"/>
  <c r="F22" i="12"/>
  <c r="G22" i="12"/>
  <c r="H22" i="12"/>
  <c r="I22" i="12"/>
  <c r="L22" i="12"/>
  <c r="B22" i="12"/>
  <c r="C16" i="12"/>
  <c r="D16" i="12"/>
  <c r="E16" i="12"/>
  <c r="F16" i="12"/>
  <c r="G16" i="12"/>
  <c r="H16" i="12"/>
  <c r="I16" i="12"/>
  <c r="J16" i="12"/>
  <c r="K16" i="12"/>
  <c r="L16" i="12"/>
  <c r="B16" i="12"/>
  <c r="C15" i="12"/>
  <c r="D15" i="12"/>
  <c r="E15" i="12"/>
  <c r="F15" i="12"/>
  <c r="G15" i="12"/>
  <c r="H15" i="12"/>
  <c r="I15" i="12"/>
  <c r="J15" i="12"/>
  <c r="K15" i="12"/>
  <c r="L15" i="12"/>
  <c r="B15" i="12"/>
  <c r="C14" i="12"/>
  <c r="D14" i="12"/>
  <c r="E14" i="12"/>
  <c r="F14" i="12"/>
  <c r="G14" i="12"/>
  <c r="H14" i="12"/>
  <c r="I14" i="12"/>
  <c r="J14" i="12"/>
  <c r="K14" i="12"/>
  <c r="L14" i="12"/>
  <c r="B14" i="12"/>
  <c r="C13" i="12"/>
  <c r="D13" i="12"/>
  <c r="E13" i="12"/>
  <c r="F13" i="12"/>
  <c r="G13" i="12"/>
  <c r="H13" i="12"/>
  <c r="I13" i="12"/>
  <c r="J13" i="12"/>
  <c r="K13" i="12"/>
  <c r="L13" i="12"/>
  <c r="B13" i="12"/>
  <c r="C12" i="12"/>
  <c r="D12" i="12"/>
  <c r="E12" i="12"/>
  <c r="F12" i="12"/>
  <c r="G12" i="12"/>
  <c r="H12" i="12"/>
  <c r="I12" i="12"/>
  <c r="J12" i="12"/>
  <c r="K12" i="12"/>
  <c r="L12" i="12"/>
  <c r="M12" i="12"/>
  <c r="B12" i="12"/>
  <c r="C11" i="12"/>
  <c r="D11" i="12"/>
  <c r="E11" i="12"/>
  <c r="F11" i="12"/>
  <c r="G11" i="12"/>
  <c r="H11" i="12"/>
  <c r="I11" i="12"/>
  <c r="J11" i="12"/>
  <c r="K11" i="12"/>
  <c r="L11" i="12"/>
  <c r="B11" i="12"/>
  <c r="C8" i="12"/>
  <c r="D8" i="12"/>
  <c r="E8" i="12"/>
  <c r="F8" i="12"/>
  <c r="G8" i="12"/>
  <c r="H8" i="12"/>
  <c r="I8" i="12"/>
  <c r="J8" i="12"/>
  <c r="K8" i="12"/>
  <c r="L8" i="12"/>
  <c r="B8" i="12"/>
  <c r="C7" i="12"/>
  <c r="D7" i="12"/>
  <c r="E7" i="12"/>
  <c r="F7" i="12"/>
  <c r="G7" i="12"/>
  <c r="H7" i="12"/>
  <c r="I7" i="12"/>
  <c r="J7" i="12"/>
  <c r="K7" i="12"/>
  <c r="L7" i="12"/>
  <c r="M7" i="12"/>
  <c r="B7" i="12"/>
  <c r="C6" i="12"/>
  <c r="D6" i="12"/>
  <c r="E6" i="12"/>
  <c r="F6" i="12"/>
  <c r="G6" i="12"/>
  <c r="H6" i="12"/>
  <c r="I6" i="12"/>
  <c r="J6" i="12"/>
  <c r="K6" i="12"/>
  <c r="L6" i="12"/>
  <c r="M6" i="12"/>
  <c r="B6" i="12"/>
  <c r="C5" i="12"/>
  <c r="D5" i="12"/>
  <c r="E5" i="12"/>
  <c r="F5" i="12"/>
  <c r="G5" i="12"/>
  <c r="H5" i="12"/>
  <c r="I5" i="12"/>
  <c r="J5" i="12"/>
  <c r="K5" i="12"/>
  <c r="L5" i="12"/>
  <c r="B5" i="12"/>
  <c r="C52" i="22"/>
  <c r="C51" i="22" s="1"/>
  <c r="D52" i="22"/>
  <c r="D34" i="12" s="1"/>
  <c r="D33" i="12" s="1"/>
  <c r="E52" i="22"/>
  <c r="E34" i="12" s="1"/>
  <c r="E33" i="12" s="1"/>
  <c r="F52" i="22"/>
  <c r="F34" i="12" s="1"/>
  <c r="F33" i="12" s="1"/>
  <c r="G52" i="22"/>
  <c r="G34" i="12" s="1"/>
  <c r="G33" i="12" s="1"/>
  <c r="H52" i="22"/>
  <c r="H34" i="12" s="1"/>
  <c r="H33" i="12" s="1"/>
  <c r="I52" i="22"/>
  <c r="I34" i="12" s="1"/>
  <c r="I33" i="12" s="1"/>
  <c r="J52" i="22"/>
  <c r="J34" i="12" s="1"/>
  <c r="J33" i="12" s="1"/>
  <c r="K52" i="22"/>
  <c r="K34" i="12" s="1"/>
  <c r="K33" i="12" s="1"/>
  <c r="L52" i="22"/>
  <c r="L34" i="12" s="1"/>
  <c r="L33" i="12" s="1"/>
  <c r="C49" i="22"/>
  <c r="C31" i="12" s="1"/>
  <c r="C30" i="12" s="1"/>
  <c r="D49" i="22"/>
  <c r="D31" i="12" s="1"/>
  <c r="D30" i="12" s="1"/>
  <c r="E49" i="22"/>
  <c r="E31" i="12" s="1"/>
  <c r="E30" i="12" s="1"/>
  <c r="F49" i="22"/>
  <c r="F31" i="12" s="1"/>
  <c r="F30" i="12" s="1"/>
  <c r="G49" i="22"/>
  <c r="G31" i="12" s="1"/>
  <c r="H49" i="22"/>
  <c r="H31" i="12" s="1"/>
  <c r="I49" i="22"/>
  <c r="I31" i="12" s="1"/>
  <c r="J49" i="22"/>
  <c r="J31" i="12" s="1"/>
  <c r="K49" i="22"/>
  <c r="K31" i="12" s="1"/>
  <c r="L49" i="22"/>
  <c r="L31" i="12" s="1"/>
  <c r="D46" i="22"/>
  <c r="D28" i="12" s="1"/>
  <c r="E46" i="22"/>
  <c r="E28" i="12" s="1"/>
  <c r="F46" i="22"/>
  <c r="F28" i="12" s="1"/>
  <c r="G46" i="22"/>
  <c r="G76" i="22" s="1"/>
  <c r="H46" i="22"/>
  <c r="H28" i="12" s="1"/>
  <c r="I46" i="22"/>
  <c r="I28" i="12" s="1"/>
  <c r="J46" i="22"/>
  <c r="J28" i="12" s="1"/>
  <c r="K46" i="22"/>
  <c r="K28" i="12" s="1"/>
  <c r="L46" i="22"/>
  <c r="L28" i="12" s="1"/>
  <c r="C46" i="22"/>
  <c r="C28" i="12" s="1"/>
  <c r="N40" i="22"/>
  <c r="B52" i="22"/>
  <c r="B51" i="22" s="1"/>
  <c r="B49" i="22"/>
  <c r="B31" i="12" s="1"/>
  <c r="B46" i="22"/>
  <c r="B28" i="12" s="1"/>
  <c r="N50" i="22"/>
  <c r="N57" i="12"/>
  <c r="N62" i="12"/>
  <c r="M43" i="12"/>
  <c r="L43" i="12"/>
  <c r="K43" i="12"/>
  <c r="J43" i="12"/>
  <c r="I43" i="12"/>
  <c r="J50" i="58"/>
  <c r="H43" i="12"/>
  <c r="F43" i="12"/>
  <c r="G43" i="12"/>
  <c r="F50" i="58"/>
  <c r="H50" i="58"/>
  <c r="D50" i="58"/>
  <c r="E43" i="12"/>
  <c r="N44" i="12"/>
  <c r="B100" i="62"/>
  <c r="N43" i="12"/>
  <c r="B84" i="12"/>
  <c r="N34" i="22"/>
  <c r="N33" i="22"/>
  <c r="C11" i="58"/>
  <c r="N31" i="22"/>
  <c r="N30" i="22"/>
  <c r="N29" i="22"/>
  <c r="B14" i="13"/>
  <c r="B12" i="13"/>
  <c r="B6" i="13"/>
  <c r="B7" i="13"/>
  <c r="N52" i="12"/>
  <c r="N51" i="12"/>
  <c r="N50" i="12"/>
  <c r="N46" i="12"/>
  <c r="N45" i="12"/>
  <c r="J3" i="22"/>
  <c r="K3" i="22"/>
  <c r="L3" i="22"/>
  <c r="I3" i="22"/>
  <c r="N32" i="22"/>
  <c r="C3" i="22"/>
  <c r="D3" i="22"/>
  <c r="E3" i="22"/>
  <c r="F3" i="22"/>
  <c r="G3" i="22"/>
  <c r="H3" i="22"/>
  <c r="B3" i="22"/>
  <c r="C65" i="12"/>
  <c r="C63" i="12"/>
  <c r="A67" i="12"/>
  <c r="A65" i="12"/>
  <c r="A63" i="12"/>
  <c r="N20" i="41"/>
  <c r="N18" i="41"/>
  <c r="N10" i="41"/>
  <c r="N8" i="41"/>
  <c r="N6" i="41"/>
  <c r="I13" i="41"/>
  <c r="I17" i="41" s="1"/>
  <c r="I21" i="41" s="1"/>
  <c r="A15" i="20"/>
  <c r="A16" i="20"/>
  <c r="N53" i="12"/>
  <c r="N17" i="12"/>
  <c r="I56" i="12"/>
  <c r="J56" i="12"/>
  <c r="K56" i="12"/>
  <c r="K42" i="12"/>
  <c r="L56" i="12"/>
  <c r="L42" i="12"/>
  <c r="H56" i="12"/>
  <c r="N18" i="12"/>
  <c r="D56" i="12"/>
  <c r="D42" i="12"/>
  <c r="E56" i="12"/>
  <c r="E42" i="12"/>
  <c r="F56" i="12"/>
  <c r="G56" i="12"/>
  <c r="R19" i="12"/>
  <c r="R17" i="12"/>
  <c r="A13" i="20"/>
  <c r="R18" i="12"/>
  <c r="A14" i="20"/>
  <c r="R12" i="12"/>
  <c r="R11" i="12"/>
  <c r="R9" i="12"/>
  <c r="R8" i="12"/>
  <c r="R6" i="12"/>
  <c r="R5" i="12"/>
  <c r="R4" i="12"/>
  <c r="C56" i="12"/>
  <c r="C42" i="12"/>
  <c r="C68" i="12"/>
  <c r="N47" i="12"/>
  <c r="C67" i="12"/>
  <c r="N54" i="12"/>
  <c r="J42" i="12"/>
  <c r="N35" i="12"/>
  <c r="N32" i="12"/>
  <c r="M56" i="12"/>
  <c r="M42" i="12"/>
  <c r="H42" i="12"/>
  <c r="F42" i="12"/>
  <c r="G42" i="12"/>
  <c r="N53" i="22"/>
  <c r="D48" i="22"/>
  <c r="M13" i="41"/>
  <c r="M17" i="41" s="1"/>
  <c r="M21" i="41" s="1"/>
  <c r="F13" i="41"/>
  <c r="F17" i="41" s="1"/>
  <c r="F21" i="41" s="1"/>
  <c r="G13" i="41"/>
  <c r="G17" i="41" s="1"/>
  <c r="G21" i="41" s="1"/>
  <c r="H13" i="41"/>
  <c r="H17" i="41" s="1"/>
  <c r="H21" i="41" s="1"/>
  <c r="J13" i="41"/>
  <c r="J17" i="41"/>
  <c r="J21" i="41"/>
  <c r="K13" i="41"/>
  <c r="L13" i="41"/>
  <c r="N7" i="41"/>
  <c r="N9" i="41"/>
  <c r="B13" i="41"/>
  <c r="B17" i="41"/>
  <c r="B21" i="41"/>
  <c r="E13" i="41"/>
  <c r="D13" i="41"/>
  <c r="D17" i="41"/>
  <c r="D21" i="41"/>
  <c r="C13" i="41"/>
  <c r="B79" i="12"/>
  <c r="B85" i="12"/>
  <c r="B102" i="62"/>
  <c r="E17" i="41"/>
  <c r="C17" i="41"/>
  <c r="C21" i="41"/>
  <c r="C69" i="12"/>
  <c r="B103" i="62"/>
  <c r="N56" i="12"/>
  <c r="N49" i="12"/>
  <c r="B101" i="62"/>
  <c r="B99" i="62"/>
  <c r="L17" i="41"/>
  <c r="L21" i="41"/>
  <c r="K17" i="41"/>
  <c r="K21" i="41"/>
  <c r="O71" i="12"/>
  <c r="N82" i="12"/>
  <c r="E21" i="41"/>
  <c r="C71" i="12"/>
  <c r="S17" i="12"/>
  <c r="S19" i="12"/>
  <c r="S18" i="12"/>
  <c r="I42" i="12"/>
  <c r="N42" i="12"/>
  <c r="K83" i="41"/>
  <c r="F83" i="41"/>
  <c r="G83" i="41"/>
  <c r="H83" i="41"/>
  <c r="I83" i="41"/>
  <c r="J83" i="41"/>
  <c r="S40" i="12"/>
  <c r="S20" i="12"/>
  <c r="B25" i="20"/>
  <c r="F98" i="41"/>
  <c r="H73" i="41"/>
  <c r="G73" i="41"/>
  <c r="F71" i="41"/>
  <c r="F69" i="41"/>
  <c r="D73" i="41"/>
  <c r="B69" i="41"/>
  <c r="C68" i="41"/>
  <c r="B68" i="41"/>
  <c r="B71" i="41"/>
  <c r="B72" i="41"/>
  <c r="C71" i="41"/>
  <c r="C69" i="41"/>
  <c r="C67" i="41"/>
  <c r="C72" i="41"/>
  <c r="B85" i="41"/>
  <c r="L78" i="41"/>
  <c r="E73" i="41"/>
  <c r="F73" i="41"/>
  <c r="I73" i="41"/>
  <c r="J73" i="41"/>
  <c r="K73" i="41"/>
  <c r="L73" i="41"/>
  <c r="M73" i="41"/>
  <c r="N73" i="41"/>
  <c r="B73" i="41"/>
  <c r="C73" i="41"/>
  <c r="B185" i="22" l="1"/>
  <c r="B181" i="22"/>
  <c r="B180" i="22"/>
  <c r="M74" i="57"/>
  <c r="I80" i="57" s="1"/>
  <c r="C35" i="20" s="1"/>
  <c r="F4" i="57"/>
  <c r="F3" i="57" s="1"/>
  <c r="H4" i="57"/>
  <c r="M77" i="57"/>
  <c r="D4" i="57"/>
  <c r="D3" i="57" s="1"/>
  <c r="B78" i="57"/>
  <c r="N15" i="57"/>
  <c r="B24" i="57" s="1"/>
  <c r="B25" i="57" s="1"/>
  <c r="D74" i="57"/>
  <c r="B38" i="57"/>
  <c r="C29" i="20" s="1"/>
  <c r="N18" i="57"/>
  <c r="B29" i="20"/>
  <c r="C75" i="57"/>
  <c r="D75" i="57" s="1"/>
  <c r="J4" i="57"/>
  <c r="J3" i="57" s="1"/>
  <c r="I4" i="57"/>
  <c r="I3" i="57" s="1"/>
  <c r="N17" i="57"/>
  <c r="N27" i="57" s="1"/>
  <c r="N28" i="57" s="1"/>
  <c r="L5" i="57"/>
  <c r="L4" i="57" s="1"/>
  <c r="L3" i="57" s="1"/>
  <c r="B41" i="57"/>
  <c r="C30" i="20" s="1"/>
  <c r="B30" i="20"/>
  <c r="H3" i="57"/>
  <c r="G4" i="57"/>
  <c r="G3" i="57" s="1"/>
  <c r="N13" i="57"/>
  <c r="E4" i="57"/>
  <c r="E3" i="57" s="1"/>
  <c r="T169" i="22"/>
  <c r="H159" i="22"/>
  <c r="H154" i="22"/>
  <c r="C148" i="22"/>
  <c r="E144" i="22"/>
  <c r="E142" i="22"/>
  <c r="D142" i="22"/>
  <c r="E140" i="22"/>
  <c r="D145" i="22"/>
  <c r="D140" i="22"/>
  <c r="B148" i="22"/>
  <c r="E148" i="22" s="1"/>
  <c r="D103" i="22"/>
  <c r="D102" i="22" s="1"/>
  <c r="F102" i="22"/>
  <c r="C103" i="22"/>
  <c r="C102" i="22" s="1"/>
  <c r="K103" i="22"/>
  <c r="K102" i="22" s="1"/>
  <c r="E103" i="22"/>
  <c r="E102" i="22" s="1"/>
  <c r="N13" i="22"/>
  <c r="J109" i="22"/>
  <c r="J103" i="22" s="1"/>
  <c r="J102" i="22" s="1"/>
  <c r="M13" i="22"/>
  <c r="L104" i="22"/>
  <c r="L103" i="22" s="1"/>
  <c r="L102" i="22" s="1"/>
  <c r="L76" i="22"/>
  <c r="L75" i="22" s="1"/>
  <c r="E79" i="22"/>
  <c r="E78" i="22" s="1"/>
  <c r="N111" i="22"/>
  <c r="M79" i="22"/>
  <c r="M78" i="22" s="1"/>
  <c r="G103" i="22"/>
  <c r="G102" i="22" s="1"/>
  <c r="J83" i="22"/>
  <c r="J81" i="22" s="1"/>
  <c r="H102" i="22"/>
  <c r="D76" i="22"/>
  <c r="B103" i="22"/>
  <c r="B102" i="22" s="1"/>
  <c r="N114" i="22"/>
  <c r="N105" i="22"/>
  <c r="M109" i="22"/>
  <c r="M103" i="22" s="1"/>
  <c r="M116" i="22"/>
  <c r="N116" i="22" s="1"/>
  <c r="M76" i="22"/>
  <c r="M75" i="22" s="1"/>
  <c r="I77" i="22"/>
  <c r="B83" i="22"/>
  <c r="E83" i="22"/>
  <c r="E81" i="22" s="1"/>
  <c r="I83" i="22"/>
  <c r="I81" i="22" s="1"/>
  <c r="H76" i="22"/>
  <c r="H85" i="22" s="1"/>
  <c r="I79" i="22"/>
  <c r="I78" i="22" s="1"/>
  <c r="B77" i="22"/>
  <c r="J76" i="22"/>
  <c r="J75" i="22" s="1"/>
  <c r="G77" i="22"/>
  <c r="G75" i="22" s="1"/>
  <c r="C79" i="22"/>
  <c r="C78" i="22" s="1"/>
  <c r="K79" i="22"/>
  <c r="K78" i="22" s="1"/>
  <c r="G83" i="22"/>
  <c r="G81" i="22" s="1"/>
  <c r="E77" i="22"/>
  <c r="M83" i="22"/>
  <c r="M81" i="22" s="1"/>
  <c r="J37" i="12"/>
  <c r="C76" i="22"/>
  <c r="C75" i="22" s="1"/>
  <c r="K76" i="22"/>
  <c r="K75" i="22" s="1"/>
  <c r="H77" i="22"/>
  <c r="D79" i="22"/>
  <c r="D78" i="22" s="1"/>
  <c r="L79" i="22"/>
  <c r="L78" i="22" s="1"/>
  <c r="H83" i="22"/>
  <c r="H81" i="22" s="1"/>
  <c r="E76" i="22"/>
  <c r="E85" i="22" s="1"/>
  <c r="F79" i="22"/>
  <c r="F78" i="22" s="1"/>
  <c r="I37" i="22"/>
  <c r="I38" i="22" s="1"/>
  <c r="I41" i="22" s="1"/>
  <c r="I23" i="41" s="1"/>
  <c r="I27" i="41" s="1"/>
  <c r="I29" i="41" s="1"/>
  <c r="M66" i="22"/>
  <c r="F76" i="22"/>
  <c r="F75" i="22" s="1"/>
  <c r="C77" i="22"/>
  <c r="G79" i="22"/>
  <c r="G78" i="22" s="1"/>
  <c r="C83" i="22"/>
  <c r="C81" i="22" s="1"/>
  <c r="K83" i="22"/>
  <c r="K81" i="22" s="1"/>
  <c r="D77" i="22"/>
  <c r="H79" i="22"/>
  <c r="H78" i="22" s="1"/>
  <c r="D83" i="22"/>
  <c r="L83" i="22"/>
  <c r="L81" i="22" s="1"/>
  <c r="B76" i="22"/>
  <c r="B85" i="22" s="1"/>
  <c r="I76" i="22"/>
  <c r="B79" i="22"/>
  <c r="B78" i="22" s="1"/>
  <c r="J79" i="22"/>
  <c r="J78" i="22" s="1"/>
  <c r="F83" i="22"/>
  <c r="F81" i="22"/>
  <c r="B81" i="22"/>
  <c r="F37" i="12"/>
  <c r="F48" i="22"/>
  <c r="G45" i="22"/>
  <c r="G51" i="22"/>
  <c r="G48" i="22"/>
  <c r="G30" i="12" s="1"/>
  <c r="J51" i="22"/>
  <c r="H48" i="22"/>
  <c r="H30" i="12" s="1"/>
  <c r="L10" i="12"/>
  <c r="J45" i="22"/>
  <c r="M64" i="22"/>
  <c r="M72" i="22" s="1"/>
  <c r="E48" i="22"/>
  <c r="D10" i="12"/>
  <c r="M34" i="12"/>
  <c r="M33" i="12" s="1"/>
  <c r="C4" i="12"/>
  <c r="C24" i="12" s="1"/>
  <c r="L48" i="22"/>
  <c r="L30" i="12" s="1"/>
  <c r="B45" i="22"/>
  <c r="B11" i="13"/>
  <c r="B9" i="13" s="1"/>
  <c r="J29" i="12"/>
  <c r="J27" i="12" s="1"/>
  <c r="F51" i="22"/>
  <c r="C10" i="12"/>
  <c r="D4" i="12"/>
  <c r="D24" i="12" s="1"/>
  <c r="G85" i="22"/>
  <c r="D85" i="22"/>
  <c r="N82" i="22"/>
  <c r="O82" i="22" s="1"/>
  <c r="O83" i="22" s="1"/>
  <c r="B37" i="22"/>
  <c r="B38" i="22" s="1"/>
  <c r="B41" i="22" s="1"/>
  <c r="B23" i="41" s="1"/>
  <c r="K51" i="22"/>
  <c r="F37" i="22"/>
  <c r="F38" i="22" s="1"/>
  <c r="F41" i="22" s="1"/>
  <c r="F23" i="41" s="1"/>
  <c r="F27" i="41" s="1"/>
  <c r="F29" i="41" s="1"/>
  <c r="B4" i="12"/>
  <c r="B24" i="12" s="1"/>
  <c r="L45" i="22"/>
  <c r="N6" i="12"/>
  <c r="J48" i="22"/>
  <c r="J30" i="12" s="1"/>
  <c r="L4" i="12"/>
  <c r="L24" i="12" s="1"/>
  <c r="M31" i="12"/>
  <c r="N31" i="12" s="1"/>
  <c r="C48" i="22"/>
  <c r="D37" i="22"/>
  <c r="D38" i="22" s="1"/>
  <c r="D41" i="22" s="1"/>
  <c r="K48" i="22"/>
  <c r="K30" i="12" s="1"/>
  <c r="E4" i="12"/>
  <c r="E24" i="12" s="1"/>
  <c r="G10" i="12"/>
  <c r="B10" i="12"/>
  <c r="H10" i="12"/>
  <c r="L37" i="22"/>
  <c r="L38" i="22" s="1"/>
  <c r="L41" i="22" s="1"/>
  <c r="C37" i="22"/>
  <c r="C38" i="22" s="1"/>
  <c r="C41" i="22" s="1"/>
  <c r="K45" i="22"/>
  <c r="N22" i="12"/>
  <c r="S8" i="12" s="1"/>
  <c r="N47" i="22"/>
  <c r="C7" i="58" s="1"/>
  <c r="K7" i="58" s="1"/>
  <c r="E9" i="58"/>
  <c r="G37" i="22"/>
  <c r="G38" i="22" s="1"/>
  <c r="G41" i="22" s="1"/>
  <c r="K37" i="22"/>
  <c r="K38" i="22" s="1"/>
  <c r="K41" i="22" s="1"/>
  <c r="G9" i="58"/>
  <c r="B8" i="13"/>
  <c r="K9" i="58"/>
  <c r="K4" i="12"/>
  <c r="K24" i="12" s="1"/>
  <c r="J10" i="12"/>
  <c r="N13" i="12"/>
  <c r="E10" i="12"/>
  <c r="M8" i="12"/>
  <c r="N8" i="12" s="1"/>
  <c r="N11" i="12"/>
  <c r="I48" i="22"/>
  <c r="I30" i="12" s="1"/>
  <c r="E37" i="22"/>
  <c r="E38" i="22" s="1"/>
  <c r="E41" i="22" s="1"/>
  <c r="G4" i="12"/>
  <c r="F4" i="12"/>
  <c r="F24" i="12" s="1"/>
  <c r="I4" i="12"/>
  <c r="K10" i="12"/>
  <c r="N14" i="12"/>
  <c r="I10" i="12"/>
  <c r="C37" i="12"/>
  <c r="C27" i="12"/>
  <c r="D37" i="12"/>
  <c r="D27" i="12"/>
  <c r="D26" i="12" s="1"/>
  <c r="I11" i="58"/>
  <c r="E11" i="58"/>
  <c r="G11" i="58"/>
  <c r="K11" i="58"/>
  <c r="B37" i="12"/>
  <c r="B27" i="12"/>
  <c r="L27" i="12"/>
  <c r="L37" i="12"/>
  <c r="K27" i="12"/>
  <c r="K37" i="12"/>
  <c r="E37" i="12"/>
  <c r="E27" i="12"/>
  <c r="E26" i="12" s="1"/>
  <c r="B30" i="12"/>
  <c r="I27" i="12"/>
  <c r="I37" i="12"/>
  <c r="H27" i="12"/>
  <c r="H37" i="12"/>
  <c r="F29" i="12"/>
  <c r="F27" i="12" s="1"/>
  <c r="F26" i="12" s="1"/>
  <c r="F10" i="12"/>
  <c r="E45" i="22"/>
  <c r="B48" i="22"/>
  <c r="I45" i="22"/>
  <c r="L51" i="22"/>
  <c r="B34" i="12"/>
  <c r="G28" i="12"/>
  <c r="C34" i="12"/>
  <c r="C33" i="12" s="1"/>
  <c r="N49" i="22"/>
  <c r="N16" i="12"/>
  <c r="M44" i="22"/>
  <c r="D51" i="22"/>
  <c r="H45" i="22"/>
  <c r="E51" i="22"/>
  <c r="N52" i="22"/>
  <c r="N7" i="12"/>
  <c r="N46" i="22"/>
  <c r="D45" i="22"/>
  <c r="F45" i="22"/>
  <c r="I51" i="22"/>
  <c r="M15" i="12"/>
  <c r="N23" i="12" s="1"/>
  <c r="M23" i="12" s="1"/>
  <c r="C45" i="22"/>
  <c r="H51" i="22"/>
  <c r="H37" i="22"/>
  <c r="H38" i="22" s="1"/>
  <c r="H41" i="22" s="1"/>
  <c r="N5" i="12"/>
  <c r="J37" i="22"/>
  <c r="J38" i="22" s="1"/>
  <c r="J41" i="22" s="1"/>
  <c r="B61" i="57"/>
  <c r="N57" i="57"/>
  <c r="M76" i="57" s="1"/>
  <c r="M78" i="57" s="1"/>
  <c r="K4" i="57"/>
  <c r="K3" i="57" s="1"/>
  <c r="N10" i="57"/>
  <c r="O10" i="57" s="1"/>
  <c r="M4" i="57"/>
  <c r="M3" i="57" s="1"/>
  <c r="B3" i="57"/>
  <c r="N51" i="57"/>
  <c r="N53" i="57" s="1"/>
  <c r="C72" i="57" s="1"/>
  <c r="D72" i="57" s="1"/>
  <c r="C4" i="57"/>
  <c r="C3" i="57" s="1"/>
  <c r="N12" i="57"/>
  <c r="C77" i="62"/>
  <c r="C78" i="62"/>
  <c r="C40" i="62"/>
  <c r="B69" i="62" s="1"/>
  <c r="M28" i="12"/>
  <c r="M37" i="22"/>
  <c r="M38" i="22" s="1"/>
  <c r="M41" i="22" s="1"/>
  <c r="N12" i="12"/>
  <c r="H4" i="12"/>
  <c r="H24" i="12" s="1"/>
  <c r="J4" i="12"/>
  <c r="B5" i="13"/>
  <c r="N17" i="41"/>
  <c r="N21" i="41"/>
  <c r="O15" i="57" l="1"/>
  <c r="B26" i="57"/>
  <c r="B30" i="57"/>
  <c r="N5" i="57"/>
  <c r="O5" i="57" s="1"/>
  <c r="N4" i="57"/>
  <c r="N3" i="57" s="1"/>
  <c r="B33" i="20"/>
  <c r="C33" i="20"/>
  <c r="H167" i="22"/>
  <c r="D148" i="22"/>
  <c r="I55" i="22"/>
  <c r="I59" i="22" s="1"/>
  <c r="N104" i="22"/>
  <c r="L85" i="22"/>
  <c r="K85" i="22"/>
  <c r="M85" i="22"/>
  <c r="C85" i="22"/>
  <c r="J85" i="22"/>
  <c r="E75" i="22"/>
  <c r="E74" i="22" s="1"/>
  <c r="M102" i="22"/>
  <c r="I75" i="22"/>
  <c r="I74" i="22" s="1"/>
  <c r="D75" i="22"/>
  <c r="N109" i="22"/>
  <c r="N103" i="22"/>
  <c r="N102" i="22" s="1"/>
  <c r="I85" i="22"/>
  <c r="H75" i="22"/>
  <c r="H74" i="22" s="1"/>
  <c r="N83" i="22"/>
  <c r="N76" i="22"/>
  <c r="F85" i="22"/>
  <c r="N79" i="22"/>
  <c r="D81" i="22"/>
  <c r="N78" i="22"/>
  <c r="F44" i="22"/>
  <c r="N77" i="22"/>
  <c r="J74" i="22"/>
  <c r="B55" i="22"/>
  <c r="B59" i="22" s="1"/>
  <c r="D44" i="22"/>
  <c r="N61" i="12"/>
  <c r="N63" i="12" s="1"/>
  <c r="C74" i="22"/>
  <c r="G44" i="22"/>
  <c r="H26" i="12"/>
  <c r="L74" i="22"/>
  <c r="B20" i="12"/>
  <c r="L26" i="12"/>
  <c r="K74" i="22"/>
  <c r="C20" i="12"/>
  <c r="N70" i="22"/>
  <c r="L20" i="12"/>
  <c r="D20" i="12"/>
  <c r="E7" i="58"/>
  <c r="I20" i="12"/>
  <c r="I7" i="58"/>
  <c r="C44" i="22"/>
  <c r="C3" i="58"/>
  <c r="G3" i="58" s="1"/>
  <c r="F55" i="22"/>
  <c r="F59" i="22" s="1"/>
  <c r="N3" i="22"/>
  <c r="E20" i="12"/>
  <c r="J44" i="22"/>
  <c r="G20" i="12"/>
  <c r="M4" i="12"/>
  <c r="N4" i="12" s="1"/>
  <c r="J26" i="12"/>
  <c r="B4" i="13"/>
  <c r="B17" i="13" s="1"/>
  <c r="B26" i="13" s="1"/>
  <c r="M74" i="22"/>
  <c r="G74" i="22"/>
  <c r="F74" i="22"/>
  <c r="B29" i="41"/>
  <c r="B27" i="41"/>
  <c r="N30" i="12"/>
  <c r="B65" i="12" s="1"/>
  <c r="G7" i="58"/>
  <c r="L44" i="22"/>
  <c r="F20" i="12"/>
  <c r="G24" i="12"/>
  <c r="I26" i="12"/>
  <c r="K44" i="22"/>
  <c r="K26" i="12"/>
  <c r="K23" i="41"/>
  <c r="K27" i="41" s="1"/>
  <c r="K29" i="41" s="1"/>
  <c r="K55" i="22"/>
  <c r="K59" i="22" s="1"/>
  <c r="L23" i="41"/>
  <c r="L27" i="41" s="1"/>
  <c r="L29" i="41" s="1"/>
  <c r="L55" i="22"/>
  <c r="L59" i="22" s="1"/>
  <c r="G23" i="41"/>
  <c r="G27" i="41" s="1"/>
  <c r="G29" i="41" s="1"/>
  <c r="G55" i="22"/>
  <c r="G59" i="22" s="1"/>
  <c r="N48" i="22"/>
  <c r="N15" i="12"/>
  <c r="E23" i="41"/>
  <c r="E55" i="22"/>
  <c r="E59" i="22" s="1"/>
  <c r="M10" i="12"/>
  <c r="N10" i="12" s="1"/>
  <c r="S5" i="12" s="1"/>
  <c r="H23" i="41"/>
  <c r="H27" i="41" s="1"/>
  <c r="H29" i="41" s="1"/>
  <c r="H55" i="22"/>
  <c r="H59" i="22" s="1"/>
  <c r="H44" i="22"/>
  <c r="N51" i="22"/>
  <c r="D23" i="41"/>
  <c r="D55" i="22"/>
  <c r="D59" i="22" s="1"/>
  <c r="J23" i="41"/>
  <c r="J27" i="41" s="1"/>
  <c r="J29" i="41" s="1"/>
  <c r="J55" i="22"/>
  <c r="J59" i="22" s="1"/>
  <c r="M23" i="41"/>
  <c r="M27" i="41" s="1"/>
  <c r="M55" i="22"/>
  <c r="M59" i="22" s="1"/>
  <c r="C23" i="41"/>
  <c r="C27" i="41" s="1"/>
  <c r="C55" i="22"/>
  <c r="H20" i="12"/>
  <c r="I24" i="12"/>
  <c r="C26" i="12"/>
  <c r="K20" i="12"/>
  <c r="N34" i="12"/>
  <c r="O34" i="12" s="1"/>
  <c r="O35" i="12" s="1"/>
  <c r="B33" i="12"/>
  <c r="N33" i="12" s="1"/>
  <c r="N29" i="12"/>
  <c r="I44" i="22"/>
  <c r="B44" i="22"/>
  <c r="T34" i="12"/>
  <c r="S39" i="12"/>
  <c r="E44" i="22"/>
  <c r="N45" i="22"/>
  <c r="G37" i="12"/>
  <c r="G27" i="12"/>
  <c r="G26" i="12" s="1"/>
  <c r="B63" i="57"/>
  <c r="N61" i="57"/>
  <c r="E72" i="57"/>
  <c r="C70" i="57"/>
  <c r="N28" i="12"/>
  <c r="O72" i="12" s="1"/>
  <c r="O73" i="12" s="1"/>
  <c r="M37" i="12"/>
  <c r="M27" i="12"/>
  <c r="N37" i="22"/>
  <c r="J20" i="12"/>
  <c r="J24" i="12"/>
  <c r="N41" i="22"/>
  <c r="B7" i="20" s="1"/>
  <c r="N38" i="22"/>
  <c r="C74" i="20" s="1"/>
  <c r="M42" i="41"/>
  <c r="M44" i="41" s="1"/>
  <c r="C34" i="20" l="1"/>
  <c r="B34" i="20"/>
  <c r="D74" i="22"/>
  <c r="B93" i="22"/>
  <c r="D120" i="22"/>
  <c r="D122" i="22" s="1"/>
  <c r="N85" i="22"/>
  <c r="N81" i="22"/>
  <c r="B28" i="13"/>
  <c r="C40" i="20" s="1"/>
  <c r="S13" i="12"/>
  <c r="S38" i="12" s="1"/>
  <c r="S42" i="12" s="1"/>
  <c r="M24" i="12"/>
  <c r="N24" i="12" s="1"/>
  <c r="P57" i="12" s="1"/>
  <c r="B96" i="62"/>
  <c r="C29" i="41"/>
  <c r="N20" i="12"/>
  <c r="O75" i="12" s="1"/>
  <c r="N23" i="41"/>
  <c r="M36" i="41" s="1"/>
  <c r="M40" i="41" s="1"/>
  <c r="M46" i="41" s="1"/>
  <c r="C59" i="22"/>
  <c r="N59" i="22" s="1"/>
  <c r="B8" i="20" s="1"/>
  <c r="N55" i="22"/>
  <c r="N44" i="22"/>
  <c r="M20" i="12"/>
  <c r="E3" i="58"/>
  <c r="S4" i="12"/>
  <c r="E27" i="41"/>
  <c r="E29" i="41" s="1"/>
  <c r="E32" i="41"/>
  <c r="D32" i="41"/>
  <c r="D29" i="41"/>
  <c r="D27" i="41"/>
  <c r="K3" i="58"/>
  <c r="C50" i="58"/>
  <c r="E50" i="58" s="1"/>
  <c r="S30" i="12"/>
  <c r="B77" i="12"/>
  <c r="B97" i="62"/>
  <c r="S28" i="12"/>
  <c r="O54" i="12"/>
  <c r="B67" i="12"/>
  <c r="I3" i="58"/>
  <c r="B26" i="12"/>
  <c r="N37" i="12"/>
  <c r="E65" i="12"/>
  <c r="D65" i="12"/>
  <c r="D70" i="57"/>
  <c r="E70" i="57"/>
  <c r="C76" i="57"/>
  <c r="C78" i="57" s="1"/>
  <c r="N63" i="57"/>
  <c r="N65" i="57" s="1"/>
  <c r="N27" i="12"/>
  <c r="M26" i="12"/>
  <c r="M29" i="41"/>
  <c r="B98" i="22" l="1"/>
  <c r="O114" i="22"/>
  <c r="B29" i="13"/>
  <c r="N64" i="12"/>
  <c r="O57" i="12" s="1"/>
  <c r="S6" i="12"/>
  <c r="S7" i="12" s="1"/>
  <c r="S9" i="12" s="1"/>
  <c r="S32" i="12" s="1"/>
  <c r="N81" i="12"/>
  <c r="N83" i="12" s="1"/>
  <c r="N27" i="41"/>
  <c r="N29" i="41" s="1"/>
  <c r="N31" i="41" s="1"/>
  <c r="N66" i="22"/>
  <c r="B90" i="22" s="1"/>
  <c r="G50" i="58"/>
  <c r="I50" i="58"/>
  <c r="K50" i="58"/>
  <c r="C20" i="20"/>
  <c r="N26" i="12"/>
  <c r="O44" i="12" s="1"/>
  <c r="D67" i="12"/>
  <c r="E67" i="12"/>
  <c r="D68" i="12"/>
  <c r="D69" i="12"/>
  <c r="C103" i="62"/>
  <c r="C102" i="62"/>
  <c r="B80" i="12"/>
  <c r="B78" i="12"/>
  <c r="B81" i="12" s="1"/>
  <c r="D78" i="57"/>
  <c r="E78" i="57"/>
  <c r="D76" i="57"/>
  <c r="E74" i="57"/>
  <c r="S12" i="12"/>
  <c r="B98" i="62"/>
  <c r="B63" i="12"/>
  <c r="S34" i="12" l="1"/>
  <c r="O26" i="12"/>
  <c r="O27" i="12" s="1"/>
  <c r="S11" i="12"/>
  <c r="S26" i="12" s="1"/>
  <c r="O49" i="12"/>
  <c r="D63" i="12"/>
  <c r="E63" i="12"/>
  <c r="B71" i="12"/>
  <c r="B95" i="62"/>
  <c r="C98" i="62" s="1"/>
  <c r="B86" i="62"/>
  <c r="B87" i="62"/>
  <c r="C88" i="62"/>
  <c r="C101" i="62" l="1"/>
  <c r="C99" i="62"/>
  <c r="C96" i="62"/>
  <c r="C97" i="62"/>
  <c r="C100" i="62"/>
  <c r="D71" i="12"/>
  <c r="E71" i="12"/>
  <c r="C39" i="20" s="1"/>
  <c r="C68" i="22" l="1"/>
  <c r="D68" i="22"/>
  <c r="F68" i="22"/>
  <c r="K68" i="22"/>
  <c r="E68" i="22"/>
  <c r="B68" i="22"/>
  <c r="H68" i="22"/>
  <c r="J68" i="22"/>
  <c r="I68" i="22"/>
  <c r="L68" i="22"/>
  <c r="G68" i="22" l="1"/>
  <c r="M68" i="22"/>
  <c r="N64" i="22"/>
  <c r="N68" i="22" l="1"/>
  <c r="B89" i="22"/>
  <c r="N72" i="22"/>
  <c r="B91" i="22" l="1"/>
  <c r="B92" i="22" s="1"/>
  <c r="B94" i="22" s="1"/>
  <c r="B75" i="22" s="1"/>
  <c r="D123" i="22"/>
  <c r="O117" i="22" s="1"/>
  <c r="B9" i="20"/>
  <c r="B74" i="22" l="1"/>
  <c r="N74" i="22" s="1"/>
  <c r="N75" i="22"/>
  <c r="B97" i="22" s="1"/>
  <c r="O104" i="22" l="1"/>
  <c r="O109" i="22"/>
  <c r="O74" i="22"/>
  <c r="O75" i="22" s="1"/>
  <c r="B96" i="22"/>
  <c r="B10" i="20" l="1"/>
  <c r="B127" i="22"/>
</calcChain>
</file>

<file path=xl/sharedStrings.xml><?xml version="1.0" encoding="utf-8"?>
<sst xmlns="http://schemas.openxmlformats.org/spreadsheetml/2006/main" count="799" uniqueCount="466">
  <si>
    <t>TRANSFERÊNCIAS CORRENTES</t>
  </si>
  <si>
    <t>TOTAL</t>
  </si>
  <si>
    <t>No Ano</t>
  </si>
  <si>
    <t>DESPESAS CORRENTES</t>
  </si>
  <si>
    <t>DESPESAS DE CAPITAL</t>
  </si>
  <si>
    <t>RECEITAS DO FUNDEB</t>
  </si>
  <si>
    <t>RECEITAS REALIZADAS</t>
  </si>
  <si>
    <t>% ATINGIDO</t>
  </si>
  <si>
    <t>EDUCAÇÃO 25%</t>
  </si>
  <si>
    <t>DESPESAS REALIZADAS</t>
  </si>
  <si>
    <t>1. RECEITA DE IMPOSTOS</t>
  </si>
  <si>
    <t>RECEITA PARA APURAÇÃO DA APLICAÇÃO EM AÇÕES E SERVIÇOS PÚBLICOS DE SAÚDE</t>
  </si>
  <si>
    <t>RECEITA DE IMPOSTOS LÍQUIDA (I)</t>
  </si>
  <si>
    <t>Impostos Predial e Territorial - IPTU</t>
  </si>
  <si>
    <t>Imposto Sobre Transmissão de Bens Intervivos - ITBI</t>
  </si>
  <si>
    <t>Imposto de Renda Retido na Fonte - IRRF</t>
  </si>
  <si>
    <t>Cota-parte FPM</t>
  </si>
  <si>
    <t>Cota-Parte ITR</t>
  </si>
  <si>
    <t>Cota-Parte IPVA</t>
  </si>
  <si>
    <t>Cota-Parte ICMS</t>
  </si>
  <si>
    <t>Cota-Parte IPI -Exportação</t>
  </si>
  <si>
    <t>Desoneração ICMS (LC 87/96)</t>
  </si>
  <si>
    <t>Outras</t>
  </si>
  <si>
    <t>TOTAL DAS RECEITAS PARA APURAÇÃO EM AÇÕES E SERVIÇOS PÚBLICOS DE SAÚDE (III) = I + II</t>
  </si>
  <si>
    <t xml:space="preserve">DESPESAS COM SAÚDE </t>
  </si>
  <si>
    <t>(Por grupo de Natureza da Despesa)</t>
  </si>
  <si>
    <t>Receita Patrimonial</t>
  </si>
  <si>
    <t>DEMOSTRATIVO DAS RECEITAS E DESPESAS COM EDUCAÇÃO</t>
  </si>
  <si>
    <t xml:space="preserve">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</si>
  <si>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</si>
  <si>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</si>
  <si>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</si>
  <si>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</si>
  <si>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</si>
  <si>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</si>
  <si>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</si>
  <si>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</si>
  <si>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</si>
  <si>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</si>
  <si>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</si>
  <si>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</si>
  <si>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ESPECIFICAÇÕES</t>
  </si>
  <si>
    <t>IPTU</t>
  </si>
  <si>
    <t>ISS</t>
  </si>
  <si>
    <t>ITBI</t>
  </si>
  <si>
    <t>IRRF</t>
  </si>
  <si>
    <t>Contribuições</t>
  </si>
  <si>
    <t>PERCENTUAL COM PESSOAL</t>
  </si>
  <si>
    <t>PROGRAMAS FEDERAIS - DESPESAS EXCLUIDAS EM CONFORMIDADE COM A INSTRUÇAO 03/2018 TCM/BA</t>
  </si>
  <si>
    <t>NO ANO</t>
  </si>
  <si>
    <t>EMP. 70 FONTE 29</t>
  </si>
  <si>
    <t>EMP. 68 FONTE 29</t>
  </si>
  <si>
    <t>EMP. 4 FONTE 14 (PSF)</t>
  </si>
  <si>
    <t>EMP. 5 FONTE 14 MAC</t>
  </si>
  <si>
    <t>EMP. 6 FONTE 14 CEO</t>
  </si>
  <si>
    <t>EMP. 7 FONTE 14 NASF</t>
  </si>
  <si>
    <t>Saúde da Família - SF</t>
  </si>
  <si>
    <t>Saúde Bucal</t>
  </si>
  <si>
    <t>Média e Alta Complexidade</t>
  </si>
  <si>
    <t>Assistência Social</t>
  </si>
  <si>
    <t>Atenção Psicossocial</t>
  </si>
  <si>
    <t>Núcleo de Apoio à Saúde da Família - NASF</t>
  </si>
  <si>
    <t>DESPESAS EXCLUIDAS (IN. 003/2018)</t>
  </si>
  <si>
    <t>Indireta por Preço Unitário</t>
  </si>
  <si>
    <t>EMP. 9 CAPS FONTE 14</t>
  </si>
  <si>
    <t>Os dados disponibilizados nesta consulta são declaratórios, sob a responsabilidade da respectiva entidade.</t>
  </si>
  <si>
    <t>Núm. Licitação</t>
  </si>
  <si>
    <t>Modalidade</t>
  </si>
  <si>
    <t>Data Homologação</t>
  </si>
  <si>
    <t>Execução</t>
  </si>
  <si>
    <t>Objeto</t>
  </si>
  <si>
    <t>Valor Estimado</t>
  </si>
  <si>
    <t>Valor Homologado</t>
  </si>
  <si>
    <t>PERP0003/2020</t>
  </si>
  <si>
    <t>Pregão eletrônico para registro de preço</t>
  </si>
  <si>
    <t>Não Aplicável</t>
  </si>
  <si>
    <t>Contratação de ...</t>
  </si>
  <si>
    <t>PERP0015/2019</t>
  </si>
  <si>
    <t>PERP0017/2019</t>
  </si>
  <si>
    <t>TP0001/2020</t>
  </si>
  <si>
    <t>Tomada de preço para compras e serviços</t>
  </si>
  <si>
    <t>Indireta por Preço Global</t>
  </si>
  <si>
    <t>TP0013/2019</t>
  </si>
  <si>
    <t>Tomada de preço p/obras e serviços de engenharia</t>
  </si>
  <si>
    <r>
      <t>TOTAL Estimado : </t>
    </r>
    <r>
      <rPr>
        <sz val="11"/>
        <color theme="1"/>
        <rFont val="Calibri"/>
        <family val="2"/>
        <scheme val="minor"/>
      </rPr>
      <t>R$ 6.261.823,75</t>
    </r>
  </si>
  <si>
    <r>
      <t>TOTAL Homologado : </t>
    </r>
    <r>
      <rPr>
        <sz val="11"/>
        <color theme="1"/>
        <rFont val="Calibri"/>
        <family val="2"/>
        <scheme val="minor"/>
      </rPr>
      <t>R$ 30.028.628,71</t>
    </r>
  </si>
  <si>
    <t>Caps</t>
  </si>
  <si>
    <t>Nasf</t>
  </si>
  <si>
    <t>Psf</t>
  </si>
  <si>
    <t>Samu</t>
  </si>
  <si>
    <t>COVID</t>
  </si>
  <si>
    <t>social</t>
  </si>
  <si>
    <t>RECEITA RESULTANTE DE IMPOSTOS (caput do art. 212 da CF)</t>
  </si>
  <si>
    <t>1.1- Receita Resultante do Imposto sobre a Propriedade Predial e Territorial Urbana – IPTU</t>
  </si>
  <si>
    <t>1.2- Receita Resultante do Imposto sobre Transmissão Inter Vivos – ITBI</t>
  </si>
  <si>
    <t>1.3- Receita Resultante do Imposto sobre Serviços de Qualquer Natureza – ISS</t>
  </si>
  <si>
    <t>1.4- Receita Resultante do Imposto de Renda Retido na Fonte – IRRF</t>
  </si>
  <si>
    <t>2- RECEITA DE TRANSFERÊNCIAS CONSTITUCIONAIS E LEGAIS</t>
  </si>
  <si>
    <t>2.1- Cota-Parte FPM</t>
  </si>
  <si>
    <t>2.2- Cota-Parte ICMS</t>
  </si>
  <si>
    <t>2.4- Cota-Parte ITR</t>
  </si>
  <si>
    <t>2.5- Cota-Parte IPVA</t>
  </si>
  <si>
    <t>2.6- Cota-Parte IOF-Ouro</t>
  </si>
  <si>
    <t>3- TOTAL DA RECEITA DE IMPOSTOS (1 + 2)</t>
  </si>
  <si>
    <t xml:space="preserve">   2.1.1- Cota-Parte FPM (1% julho e dezembro)</t>
  </si>
  <si>
    <t>4- TOTAL DESTINADO AO FUNDEB - 20% DE ((2.1) + (2.2) + (2.3) + (2.4) + (2.5))</t>
  </si>
  <si>
    <t>2.3- Cota-Parte IPI-Exportação (LC 61/89)</t>
  </si>
  <si>
    <t>5- VALOR MÍNIMO A SER APLICADO ALÉM DO VALOR DESTINADO AO FUNDEB - 5% DE ((2.2) + (2.3) + (2.4) + (2.5)) + 25% DE ((1.1) + (1.2) + (1.3) + (1.4) + (2.1.1) + (2.6)+ (2.7))</t>
  </si>
  <si>
    <t>ACUMULADO ANO</t>
  </si>
  <si>
    <t>2.7- Comp. Financeiras Prov. de Impostos e Transf. Constitucionais</t>
  </si>
  <si>
    <t>6- RECEITAS RECEBIDAS DO FUNDEB</t>
  </si>
  <si>
    <t>6.1- FUNDEB - Impostos e Transferências de Impostos</t>
  </si>
  <si>
    <t>6.1.1- Principal</t>
  </si>
  <si>
    <t>6.1.2- Rendimentos de Aplicação Financeira</t>
  </si>
  <si>
    <t>6.2- FUNDEB - Complementação da União - VAAF</t>
  </si>
  <si>
    <t>6.2.1- Principal</t>
  </si>
  <si>
    <t>6.2.2- Rendimentos de Aplicação Financeira</t>
  </si>
  <si>
    <t>6.3- FUNDEB - Complementação da União - VAAT</t>
  </si>
  <si>
    <t>6.3.1- Principal</t>
  </si>
  <si>
    <t>6.3.2- Rendimentos de Aplicação Financeira</t>
  </si>
  <si>
    <t>7- RESULTADO LÍQUIDO DAS TRANSFERÊNCIAS DO FUNDEB (6.1.1 – 4)</t>
  </si>
  <si>
    <t>Vencimentos e Vantagens (salarios) (ED 319011)</t>
  </si>
  <si>
    <t>Contratação tempo Determinado (ED 319004)</t>
  </si>
  <si>
    <t>INATIVOS</t>
  </si>
  <si>
    <t>Outras Despesas com Pessoal (ED 319035, 36 e 39)</t>
  </si>
  <si>
    <t>Obrigações Patronais INSS - (319013)</t>
  </si>
  <si>
    <t>DESPESA BRUTA COM PESSOAL</t>
  </si>
  <si>
    <t>Despesa Pessoal Rateio Consórcio (ED 317170)</t>
  </si>
  <si>
    <t>ICMS</t>
  </si>
  <si>
    <t>IPVA</t>
  </si>
  <si>
    <t>ITR</t>
  </si>
  <si>
    <t>Dedução p/ formação do FUNDEB</t>
  </si>
  <si>
    <t>RECEITA CORRENTE LÍQUIDA</t>
  </si>
  <si>
    <t>RECEITA DE CAPITAL</t>
  </si>
  <si>
    <t>ESPECIFICAÇÃO</t>
  </si>
  <si>
    <t>José Marcos Oliveira Lopes</t>
  </si>
  <si>
    <t>CRC-BA 36.449/O-0</t>
  </si>
  <si>
    <t xml:space="preserve"> - Principal</t>
  </si>
  <si>
    <t xml:space="preserve"> - Rend de Aplicação Financeira</t>
  </si>
  <si>
    <t xml:space="preserve"> - FUNDEB - Comp da União - VAAF</t>
  </si>
  <si>
    <t xml:space="preserve"> - FUNDEB - Comp da União - VAAT</t>
  </si>
  <si>
    <t xml:space="preserve"> - FUNDEB - Imp. e Transferências</t>
  </si>
  <si>
    <t>DESPESAS DO MDE</t>
  </si>
  <si>
    <t>DESPESAS MDE</t>
  </si>
  <si>
    <t>APLICAÇÃO FUNDEB 70%</t>
  </si>
  <si>
    <t>RESUMO</t>
  </si>
  <si>
    <t>APURAÇÃO</t>
  </si>
  <si>
    <t>VALOR ACUMULADO</t>
  </si>
  <si>
    <t>3.1 - MÍNIMO A SER APLICADO (25%</t>
  </si>
  <si>
    <t>APLICAÇÃO MDE 25% (TOTAL)</t>
  </si>
  <si>
    <t>RECEITA DE TRANSFERÊNCIAS CONSTITUCIONAIS E LEGAIS (II)</t>
  </si>
  <si>
    <t>DEMOSTRATIVO DAS RECEITAS E DESPESAS COM SAUDE (APLICAÇÃO 15%)</t>
  </si>
  <si>
    <t>MUNICÍPIO DE ITARANTIM                                                                        RESUMO ÍNDICES</t>
  </si>
  <si>
    <t>DESPESA TOTAL MDE</t>
  </si>
  <si>
    <t>%</t>
  </si>
  <si>
    <t xml:space="preserve"> DEMONSTRATIVO DO PESSOAL RELATIVO AO EXERCICIO DE 2021 - PELO PAGAMENTO</t>
  </si>
  <si>
    <t>DESPESA TOTAL EM APLICAÇÕES NA EDUCAÇÃO</t>
  </si>
  <si>
    <t>6.3- Complementação FUNDEB</t>
  </si>
  <si>
    <t>Exploração de Recursos Naturais</t>
  </si>
  <si>
    <t>Sistema Único de Saúde - SUS</t>
  </si>
  <si>
    <t>FNDE</t>
  </si>
  <si>
    <t>FNAS</t>
  </si>
  <si>
    <t>CIDE</t>
  </si>
  <si>
    <t>Outras Receitas do Estado</t>
  </si>
  <si>
    <t>FUNDEB - fundo</t>
  </si>
  <si>
    <t>FUNDEB VAAT</t>
  </si>
  <si>
    <t>FUNDEB VAAF</t>
  </si>
  <si>
    <t>RECEITAS</t>
  </si>
  <si>
    <t>Receita de Serviços</t>
  </si>
  <si>
    <t>TOTAL RECEITA</t>
  </si>
  <si>
    <t>DESPESA MDE 25%</t>
  </si>
  <si>
    <t>CALCULO 12 MESES DA DESPESA PESSOAL</t>
  </si>
  <si>
    <t>RECEITA CORRENTE LIQUIDA 12 MESES</t>
  </si>
  <si>
    <t>ÍNDICES CONSTITUIÇÕES E LEGAIS</t>
  </si>
  <si>
    <t>RECEITAS DO FUNDEB (IMPOSTOS E COMPLEMENTAÇÃO)</t>
  </si>
  <si>
    <t>DEDUÇÃO EMENDAS PARLAMENTAR</t>
  </si>
  <si>
    <t>RCL AJUSTADA</t>
  </si>
  <si>
    <t>CONTROLE RECURSOS DO FUNDEB</t>
  </si>
  <si>
    <t>RECEITA</t>
  </si>
  <si>
    <t>DESPESA</t>
  </si>
  <si>
    <t>SALDO</t>
  </si>
  <si>
    <t>RESULTADO PRIMÁRIO</t>
  </si>
  <si>
    <t>DÍVIDA CONSOLIDADA (I)</t>
  </si>
  <si>
    <t>DEDUÇÕES (II)</t>
  </si>
  <si>
    <t>(-) Restos a Pagar</t>
  </si>
  <si>
    <t>DÍVIDA CONSOLIDADA LÍQUIDA (III) I-II</t>
  </si>
  <si>
    <t>(-) Depósitos Restituíveis e Valores Vinculados</t>
  </si>
  <si>
    <t>TOTAIS</t>
  </si>
  <si>
    <t>Meta dos 15% de aplicação em despesa de Capital</t>
  </si>
  <si>
    <t>Despesa efetivamente realizada</t>
  </si>
  <si>
    <t>% realizado da despesa</t>
  </si>
  <si>
    <t>Deficít apurado até o mês (necessário aplicar para cumprir o indicador)</t>
  </si>
  <si>
    <t xml:space="preserve">Estimativa anual para a Despesa de Capital com recursos da Complementação VAAT </t>
  </si>
  <si>
    <t>Receita da Complementação FUNDEB VAAT até o mês</t>
  </si>
  <si>
    <t>APLICAÇÃO DO FUNDEB NO 25%</t>
  </si>
  <si>
    <t>CONTRIBUIÇÃO AO FUNDEB (20%)</t>
  </si>
  <si>
    <t>APLICAÇÃO FONTE 01</t>
  </si>
  <si>
    <t>TOTAL APLICADO NO MDE</t>
  </si>
  <si>
    <t>6.3.1 - Complementação FUNDEB VAAT - Educação Infantil</t>
  </si>
  <si>
    <t>6.3.2 - Complementação FUNDEB VAAT - Despesa de Capital</t>
  </si>
  <si>
    <t>Transferencias da União (LC 176/2020 e ICMS EC 123/2022)</t>
  </si>
  <si>
    <t>RECEITA TOTAL</t>
  </si>
  <si>
    <t>Impostos, Taxas e Contribuições de Melhoria</t>
  </si>
  <si>
    <t xml:space="preserve">Receita Patrimonial </t>
  </si>
  <si>
    <t xml:space="preserve">Receita de Serviços </t>
  </si>
  <si>
    <t>Transferências da União e de suas Entidades</t>
  </si>
  <si>
    <t>Recursos do Sistema Único de Saúde</t>
  </si>
  <si>
    <t>Recursos do FNDE</t>
  </si>
  <si>
    <t>Complementação da União ao FUNDEB</t>
  </si>
  <si>
    <t>Transferências do FNAS</t>
  </si>
  <si>
    <t>Repasses do Fundo Estadual do FUNDEB</t>
  </si>
  <si>
    <t>Receitas de Capital (convênios)</t>
  </si>
  <si>
    <t>PROJETADO</t>
  </si>
  <si>
    <t>REALIZADO</t>
  </si>
  <si>
    <t>RECEITAS FISCAIS</t>
  </si>
  <si>
    <t>DESPESAS FISCAIS</t>
  </si>
  <si>
    <t>DESPESA COM PESSOAL</t>
  </si>
  <si>
    <t>% da RCL</t>
  </si>
  <si>
    <t>Receita Corrente Líquida (RCL)</t>
  </si>
  <si>
    <t>Receita Corrente Líquida Ajustada</t>
  </si>
  <si>
    <t>Limite Legal (54% da RCL)</t>
  </si>
  <si>
    <t>Limite Prudencial (51,3% do Limite Legal)</t>
  </si>
  <si>
    <t>DESPESA LÍQUIDA DE PESSOAL</t>
  </si>
  <si>
    <t>APLICAÇÕES COM FUNDEB</t>
  </si>
  <si>
    <t>Lei Federal nº 14.113/2020</t>
  </si>
  <si>
    <t>% da Receita</t>
  </si>
  <si>
    <t>RECEITAS DO FUNDEB (a)</t>
  </si>
  <si>
    <t>Receita Complementação VAAF</t>
  </si>
  <si>
    <t>Receita Complementação VAAT</t>
  </si>
  <si>
    <t>Receita de impostos e transferências</t>
  </si>
  <si>
    <t>TOTAL DESPESA DO FUNDEB (b)</t>
  </si>
  <si>
    <t>Despesas do FUNDEB vinculado ao 70%</t>
  </si>
  <si>
    <t>Despesas do FUNDEB vinculado ao 30%</t>
  </si>
  <si>
    <t xml:space="preserve">       Despesas do FUNDEB VAAT (mínimo de 50% na educação infantil)</t>
  </si>
  <si>
    <t xml:space="preserve">       Despesas do FUNDEB VAAT (mínimo de 15% em despesa de capital)</t>
  </si>
  <si>
    <t>Outras Transferencias da União</t>
  </si>
  <si>
    <t>OUTRAS Receitas Correntes</t>
  </si>
  <si>
    <t>FUNDEB FR 1540.1070 (FUNDO ESTADUAL)</t>
  </si>
  <si>
    <t>FUNDEB FR 1541.1070 (VAAF)</t>
  </si>
  <si>
    <t>FUNDEB FR 1542.1070 (VAAT)</t>
  </si>
  <si>
    <t>FUNDEB FR 1540 (FUNDO ESTADUAL)</t>
  </si>
  <si>
    <t>FUNDEB FR 1541 (VAAF)</t>
  </si>
  <si>
    <t>FUNDEB FR 1542 (VAAT - Despesa de Capital)</t>
  </si>
  <si>
    <t>FUNDEB FR 1542 (VAAT - Educação Infantil)</t>
  </si>
  <si>
    <t>FUNDEB FR 1542 (VAAT - outros)</t>
  </si>
  <si>
    <t>MDE - FR 1500.1001</t>
  </si>
  <si>
    <t>DESPESAS PAGAS DO FUNDEB</t>
  </si>
  <si>
    <t>FUNDEB FR 1542.1070 (VAAT - Educação Infantil)</t>
  </si>
  <si>
    <t>CONTRIBUIÇÃO FUNDEB + PAGTO MDE</t>
  </si>
  <si>
    <t>PAGTO EFETUADOS FUNDEB + PAGTO EFETUADO MDE</t>
  </si>
  <si>
    <t>PAGTO FUNDEB IMPOSTOS + MDE</t>
  </si>
  <si>
    <t>GANHO COM TRANSFERÊNCIAS DO FUNDEB</t>
  </si>
  <si>
    <t>APURAÇÃO PERCENTUAL</t>
  </si>
  <si>
    <t>% APLICADO</t>
  </si>
  <si>
    <t>Valor sugerido para Despesa de Capital com o FUNDEB VAAT, a ser aplicado ainda em 2023</t>
  </si>
  <si>
    <t>CONTROLE RECURSOS DO FUNDEB VAAT</t>
  </si>
  <si>
    <t>Impostos Sobre Serviços de Qualquer Natureza - ISS</t>
  </si>
  <si>
    <t>PERCENTUAL DE APLICAÇÃO EM ASPS SOBRE AS RECEITAS (VII%) = (VIh/IIIb x 100)</t>
  </si>
  <si>
    <t>2023 DESPESA LÍQUIDA COM PESSOAL</t>
  </si>
  <si>
    <t>RECEITAS PARA FINS DE APURAÇÕES DOS ÍNDICES</t>
  </si>
  <si>
    <t>RECEITAS DE IMPOSTOS E TRANSFERÊNCIAS DE IMPOSTOS</t>
  </si>
  <si>
    <t>2023 RECEITA CORRENTE LÍQUIDA</t>
  </si>
  <si>
    <t>TOTAL DESPESA 2022</t>
  </si>
  <si>
    <t>MÉDIA DESPESA PESSOAL 2022</t>
  </si>
  <si>
    <t>VALOR (R$)</t>
  </si>
  <si>
    <t>TOTAL DAS DESPEAS COM SAÚDE</t>
  </si>
  <si>
    <r>
      <t xml:space="preserve">RECEITA CORRENTE LÍQUIDA ACUMULADA ÚLTIMOS </t>
    </r>
    <r>
      <rPr>
        <b/>
        <sz val="10"/>
        <color theme="1"/>
        <rFont val="Arial"/>
        <family val="2"/>
      </rPr>
      <t>12 MESES</t>
    </r>
  </si>
  <si>
    <t>VALOR EXCEDENTE AO LIMITE MÍNIMO CONSTITUCIONAL</t>
  </si>
  <si>
    <t>PERCENTUAL DO VALOR EXCEDENTE AO LIMITE MÍNIMO CONSTITUCIONAL</t>
  </si>
  <si>
    <t>DESPESAS PARA FINS DE LIMITE MÍNIMO DOS 25%</t>
  </si>
  <si>
    <t>DESPESA COM PESSOAL (LIMITE MÁXIMO 54%)</t>
  </si>
  <si>
    <t>APLICAÇÃO EM SAÚDE (MÍNINO 15%)</t>
  </si>
  <si>
    <t>MERECEM ATENÇÃO DA GESTÃO MUNICIPAL</t>
  </si>
  <si>
    <t>2 - Deficit na aplicação em educação 25%, FR 1500.1001 (recursos próprios investidos na educação).</t>
  </si>
  <si>
    <t>1 - Valor a ser aplicado em Despesa de Capital com o FUNDEB VAAT (mínimo de 15% de R$ 2.706.336,89).</t>
  </si>
  <si>
    <t>MÍNIMO A SER INVESTIDO NA EDUCAÇÃO</t>
  </si>
  <si>
    <t>DIFERENÇA</t>
  </si>
  <si>
    <t>INFORMAÇÕES ADICIONAIS</t>
  </si>
  <si>
    <t>RECEITA TOTAL ATÉ O MÊS</t>
  </si>
  <si>
    <t>DESPESAS DE RESTOS A PAGAR DE EXERCÍCIOS ANTERIORES</t>
  </si>
  <si>
    <t>DESPESAS LIQUIDADAS ATÉ O MÊS A SEREM PAGAS (VALOR DO ÚLTIMO DIA DO MÊS)</t>
  </si>
  <si>
    <t>VALOR RP</t>
  </si>
  <si>
    <t>INSS RP</t>
  </si>
  <si>
    <t>FPM (Cotas Extraórdinárias)</t>
  </si>
  <si>
    <t>FPM - Cota Mensal</t>
  </si>
  <si>
    <t>DEM DA DESPESA</t>
  </si>
  <si>
    <t>EMPENHADA</t>
  </si>
  <si>
    <t>LIQUIDADA</t>
  </si>
  <si>
    <t>PAGA</t>
  </si>
  <si>
    <t>RREO 12</t>
  </si>
  <si>
    <t>DESTINADO AO FUNDEB</t>
  </si>
  <si>
    <t>DESPESA CO 1001</t>
  </si>
  <si>
    <t>DESPESA POR SECRETARIA</t>
  </si>
  <si>
    <t>GABINETE DO PREFEITO</t>
  </si>
  <si>
    <t>ADMINISTRAÇÃO</t>
  </si>
  <si>
    <t>FINANÇAS</t>
  </si>
  <si>
    <t>AGRICULTURA, DESENV. ECONÔMICO, INDUST. E COMÉRCIO</t>
  </si>
  <si>
    <t>MEIO AMBIENTE E DESENV. SUSTENTAVEL</t>
  </si>
  <si>
    <t>OBRAS E SERVIÇOS PÚBLICOS</t>
  </si>
  <si>
    <t>TRANSPORTE E LIMPEZA PÚBLICA</t>
  </si>
  <si>
    <t>JUVENTUDE, CULTURA, TURISMO, ESPORTE E LAZER</t>
  </si>
  <si>
    <t>SAÚDE</t>
  </si>
  <si>
    <t>ASSISTÊNCIA SOCIAL</t>
  </si>
  <si>
    <t>EDUCAÇÃO</t>
  </si>
  <si>
    <t>Juros e Correções Monetárias</t>
  </si>
  <si>
    <t>RECEITAS PRIMÁRIAS</t>
  </si>
  <si>
    <t>DESPESAS CORRENTES - Juros e Enc. da Div. Interna</t>
  </si>
  <si>
    <t>Amortização da Dívida (XXVII)</t>
  </si>
  <si>
    <t>DESPESA PRIMÁRIA</t>
  </si>
  <si>
    <t>RESTOS A PAGAR PROCESSADOS - PAGOS NO EXERCÍCIO</t>
  </si>
  <si>
    <t>Disponibilidade de Caixa bruta</t>
  </si>
  <si>
    <t>RESULTADO NOMINAL (abaixo da linha)</t>
  </si>
  <si>
    <t>DÍVIDA CONSOLIDA</t>
  </si>
  <si>
    <t>Limite Legal (120% da RCL)</t>
  </si>
  <si>
    <t xml:space="preserve"> Limite Alerta (108% da RCL)</t>
  </si>
  <si>
    <t>DÍVIDA CONSOLIDADA LÍQUIDA</t>
  </si>
  <si>
    <t>Receita Acumulada</t>
  </si>
  <si>
    <t>Despesa Liquidada</t>
  </si>
  <si>
    <t>Retenções</t>
  </si>
  <si>
    <t>Transferências de Recursos do FNDE - PNATE</t>
  </si>
  <si>
    <t>Despesa Empenhada</t>
  </si>
  <si>
    <t>Despesa Paga</t>
  </si>
  <si>
    <t>Código</t>
  </si>
  <si>
    <t>Descrição da Fonte de Recursos</t>
  </si>
  <si>
    <t>Recursos não Vinculados de Impostos</t>
  </si>
  <si>
    <t>Recursos não Vinculados de Impostos - MDE 25%</t>
  </si>
  <si>
    <t>Recursos não Vinculados de Impostos - Saúde 15%</t>
  </si>
  <si>
    <t>Outros Recursos não Vinculados</t>
  </si>
  <si>
    <t>Transferências do FUNDEB - Impostos e Transferências de Impostos</t>
  </si>
  <si>
    <t>Transferências do FUNDEB - Complementação da União - VAAF</t>
  </si>
  <si>
    <t>Transferências do FUNDEB - Complementação da União - VAAT</t>
  </si>
  <si>
    <t>Transferências do FUNDEB - Complementação da União - VAAR</t>
  </si>
  <si>
    <t>Recursos de Precatórios do FUNDEF</t>
  </si>
  <si>
    <t>Transferência do Salário Educação</t>
  </si>
  <si>
    <t>Outras Transferências de Recursos do FNDE</t>
  </si>
  <si>
    <t>Transferências do Governo Federal referentes a Convênios vinculados à Educação</t>
  </si>
  <si>
    <t>Transferências de Recursos dos Estados para programas de educação</t>
  </si>
  <si>
    <t>Transferências Fundo a Fundo de Recursos do SUS Federal - Bloco Manutenção</t>
  </si>
  <si>
    <t>Transferências Fundo a Fundo de Recursos do SUS provenientes do Governo Estadual</t>
  </si>
  <si>
    <t>Transferência de Recursos do Fundo Nacional de Assistência Social - FNAS</t>
  </si>
  <si>
    <t>Transferência de Recursos dos Fundos Estaduais de Assistência Social</t>
  </si>
  <si>
    <t>Outros Recursos Vinculados à Assistência Social</t>
  </si>
  <si>
    <t>Outras Transferências de Convênios ou Instrumentos Congêneres da União</t>
  </si>
  <si>
    <t>Outras Transferências de Convênios ou Instrumentos Congêneres dos Estados</t>
  </si>
  <si>
    <t>Transferência Especial da União</t>
  </si>
  <si>
    <t>Transferências da União - inciso I do art. 5º da Lei Complementar 173/2020</t>
  </si>
  <si>
    <t>Transferência da União Referente à Compensação Financeira de Recursos Minerais</t>
  </si>
  <si>
    <t>Transferência da União referente à Compensação Financeira de Recursos Hídricos</t>
  </si>
  <si>
    <t>Demais Transferências Obrigatórias não Decorrentes de Repartições de Receitas</t>
  </si>
  <si>
    <t>Auxílio Financeiro - Outorga Crédito Tributário ICMS - Art. 5º, Inciso V, EC nº 123/2022</t>
  </si>
  <si>
    <t>Outras vinculações de transferências</t>
  </si>
  <si>
    <t>Recursos da Contribuição de Intervenção no Domínio Econômico - CIDE</t>
  </si>
  <si>
    <t>COSIP - Recursos da Contribuição para o Custeio do Serviço de Iluminação Pública</t>
  </si>
  <si>
    <t>Recursos de Alienação de Bens/Ativos - Administração Direta</t>
  </si>
  <si>
    <t>Transferências da União Compensações Exploração de Recursos Naturais</t>
  </si>
  <si>
    <t>Transferências dos Estados Compensações Exploração de Recursos Naturais</t>
  </si>
  <si>
    <t>Transferências do Governo Federal Convênios vinculados à Saúde</t>
  </si>
  <si>
    <t>Transferências do Estado a Convênios vinculados à Saúde</t>
  </si>
  <si>
    <t>Transferências Recursos do SUS provenientes do Governo Federal - Bloco de Manutenção</t>
  </si>
  <si>
    <t>Transferências Governo Federal destinadas aos agentes comunitários de Saúde</t>
  </si>
  <si>
    <t>Transferências do Estado Convêniosvinculados à Educação</t>
  </si>
  <si>
    <t>Transferências Recursos do SUS provenientes do Governo Federal - Bloco de Estruturação</t>
  </si>
  <si>
    <t>Transferências ao Setor Cultural - LC nº 195/2022 - Art. 8º - Demais Setores da Cultura</t>
  </si>
  <si>
    <t>Transferências ao Setor Cultural - LC nº 195/2022 - Art. 5º - Audiovisual</t>
  </si>
  <si>
    <t>Transferências de Recursos do FNDE - PNAE</t>
  </si>
  <si>
    <t>Transferências de Recursos do FNDE - PDDE</t>
  </si>
  <si>
    <t>% Emp x Receita</t>
  </si>
  <si>
    <t>% Liq x Receita</t>
  </si>
  <si>
    <t>% Pagto x Receita</t>
  </si>
  <si>
    <t>Disponibilidade por Fonte</t>
  </si>
  <si>
    <t>ESTIMATIVA DOS 25% FR 1500.1001</t>
  </si>
  <si>
    <t>Precatório FUNDEF</t>
  </si>
  <si>
    <t>Preço</t>
  </si>
  <si>
    <t>Financiamento</t>
  </si>
  <si>
    <t>Parcela aprox</t>
  </si>
  <si>
    <t>Compensações pela Explor. de Recursos Naturais</t>
  </si>
  <si>
    <t>Transferências do Estado</t>
  </si>
  <si>
    <t>Outras Receitas</t>
  </si>
  <si>
    <t>CÂMARA DE VEREADORES</t>
  </si>
  <si>
    <t>RECEITA PRIMÁRIA TOTAL</t>
  </si>
  <si>
    <t>DESPESA PRIMÁRIA TOTAL</t>
  </si>
  <si>
    <t>META RESULTADO NOMINAL</t>
  </si>
  <si>
    <t>Combustível</t>
  </si>
  <si>
    <t>Hospedagem</t>
  </si>
  <si>
    <t>Total</t>
  </si>
  <si>
    <t>PERCENTUAL APLICADO 2023</t>
  </si>
  <si>
    <t>PERCENTUAL APLICADO DESCONSIDERANDO O PRECATÓRIO DO FUNDEF</t>
  </si>
  <si>
    <t>RCL - PRECATÓRIO FUNDEF</t>
  </si>
  <si>
    <t>DESPESA PESSOAL ACUMULADO</t>
  </si>
  <si>
    <t>Receitas de Capital (convênios - op. Crédito)</t>
  </si>
  <si>
    <r>
      <t>DESPESA COM PESSOAL (</t>
    </r>
    <r>
      <rPr>
        <b/>
        <sz val="10"/>
        <color theme="1"/>
        <rFont val="Arial"/>
        <family val="2"/>
      </rPr>
      <t>ACUMULADO ÚLTIMOS 12 MESES</t>
    </r>
    <r>
      <rPr>
        <sz val="10"/>
        <color theme="1"/>
        <rFont val="Arial"/>
        <family val="2"/>
      </rPr>
      <t>)</t>
    </r>
  </si>
  <si>
    <t>DESPESA COM PESSOAL, EXCLUINDO RECEITA DO PRECATÓRIO DO FUNDEF</t>
  </si>
  <si>
    <t>FUNDEB - APLICAÇÃO 70%</t>
  </si>
  <si>
    <t>FUNDEB - APLICAÇÃO 30%</t>
  </si>
  <si>
    <t>FUNDEB VAAT - EDUCAÇÃO INFANTIL - MINIMO DE 50,41%</t>
  </si>
  <si>
    <t>FUNDEB VAAT - DESPESA CAPITAL - MÍNIMO DE 15%</t>
  </si>
  <si>
    <t>EDUCAÇÃO 25% (PERCENTUAL DA APLICAÇÃO PRÓPRIA)</t>
  </si>
  <si>
    <t>RECEITA PNAE 2023</t>
  </si>
  <si>
    <t>30% (AGRICULTURA FAMILIAR)</t>
  </si>
  <si>
    <t>DESPESA REALIZADA 2023</t>
  </si>
  <si>
    <t>PERCENTUAL REALIZADO</t>
  </si>
  <si>
    <t>DÉFICIT EM VALOR</t>
  </si>
  <si>
    <t>DÉFICIT EM PERCENTUAL</t>
  </si>
  <si>
    <t>2310090004 / 2</t>
  </si>
  <si>
    <t>222 / 8</t>
  </si>
  <si>
    <t>ESTORNOS DE PP CONTA PNAE</t>
  </si>
  <si>
    <t>PP 202310100004 - EMP 2307040010 / 4</t>
  </si>
  <si>
    <t>PP 202304240441 - EMP 168/5</t>
  </si>
  <si>
    <t>1 - Déficit entre a receita e a despesa do FUNDEB, o que indica a utilização de receita extra-orçamentária</t>
  </si>
  <si>
    <t>SECRETARIA</t>
  </si>
  <si>
    <t>DESPESA PAGA</t>
  </si>
  <si>
    <t>RESTOS A PAGAR PARA 2024</t>
  </si>
  <si>
    <t>SUB-TOTAL PREFEITURA</t>
  </si>
  <si>
    <t>SECRETARIA DE SAÚDE</t>
  </si>
  <si>
    <t>SECRETARIA ASSISTÊNCIA SOCIAL</t>
  </si>
  <si>
    <t>SECRETARIA DE EDUCAÇÃO</t>
  </si>
  <si>
    <t>TOTAL (EXCLUINDO O PRECATÓRIO)</t>
  </si>
  <si>
    <t>INSS RETIDO</t>
  </si>
  <si>
    <t>GABINETE</t>
  </si>
  <si>
    <t>AGRICULTURA</t>
  </si>
  <si>
    <t>MEIO AMBIENTE</t>
  </si>
  <si>
    <t>DESPESA REALIZADA</t>
  </si>
  <si>
    <t>INSS PATRONAL</t>
  </si>
  <si>
    <t>JUVENTUDE, CULTURA</t>
  </si>
  <si>
    <t>SE EXCLUIR O PRECATÓRIO</t>
  </si>
  <si>
    <t>BANCOS, PLANOS, SINDICATOS</t>
  </si>
  <si>
    <t>CONSIGNADO, PLANOS, SINDICATOS</t>
  </si>
  <si>
    <t>2024 DESPESA LÍQUIDA COM PESSOAL</t>
  </si>
  <si>
    <t>2024 RECEITA CORRENTE LÍQUIDA</t>
  </si>
  <si>
    <t>RECEITAS 2024</t>
  </si>
  <si>
    <t>Remuneração ACE e ACS</t>
  </si>
  <si>
    <r>
      <t xml:space="preserve">RECEITA CORRENTE LÍQUIDA DE </t>
    </r>
    <r>
      <rPr>
        <b/>
        <sz val="10"/>
        <color theme="1"/>
        <rFont val="Arial"/>
        <family val="2"/>
      </rPr>
      <t>2024</t>
    </r>
  </si>
  <si>
    <r>
      <t>DESPESA COM PESSOAL SOMENTE DO EXERCÍCIO DE</t>
    </r>
    <r>
      <rPr>
        <b/>
        <sz val="10"/>
        <color theme="1"/>
        <rFont val="Arial"/>
        <family val="2"/>
      </rPr>
      <t xml:space="preserve"> 2024</t>
    </r>
  </si>
  <si>
    <t>RESULTADO PRIMÁRIO 2024</t>
  </si>
  <si>
    <t>RESULTADO NOMINAL 2024</t>
  </si>
  <si>
    <t>31/12/2023 (a)</t>
  </si>
  <si>
    <t>JUROS NOMINAIS (+)</t>
  </si>
  <si>
    <r>
      <t>RESULTADO NOMINAL</t>
    </r>
    <r>
      <rPr>
        <b/>
        <sz val="14"/>
        <color rgb="FF000000"/>
        <rFont val="Arial"/>
        <family val="2"/>
      </rPr>
      <t xml:space="preserve"> (acima da linha)</t>
    </r>
  </si>
  <si>
    <t>PRECATÓRIO DO FUNDEF 2023-06</t>
  </si>
  <si>
    <t>PRECATÓRIO DO FUNDEF 2024-03</t>
  </si>
  <si>
    <t>1 - Gastos em Saúde acima do limite mínimo dos 15%, que pode desequilibrar as contas municipais.</t>
  </si>
  <si>
    <t>2 - Necessário planejar as despesas para atendimento dos limites da Educação e das complementações do FUNDEB, especialmente o VAAT.</t>
  </si>
  <si>
    <t>FOLHA DE PAGAMENTO</t>
  </si>
  <si>
    <t>PAGAMENTO DE DÍVIDAS</t>
  </si>
  <si>
    <t>INVESTIMENTOS</t>
  </si>
  <si>
    <t>DESPESAS DE MANUTENÇÃO</t>
  </si>
  <si>
    <t>RELATÓRIO MÉDIA MENSAL DAS DESPESAS - POR SECRETARIA</t>
  </si>
  <si>
    <t>MÉDIA MENSAL DA SECRETARIA</t>
  </si>
  <si>
    <t>AGRICULTURA, DESENV. ECONOMICO, INDUST E COMERCIO</t>
  </si>
  <si>
    <t>MEIO AMBIENTE E DESENV SUSTENTÁVEL</t>
  </si>
  <si>
    <t>Taxas</t>
  </si>
  <si>
    <t>IPI - Municípios</t>
  </si>
  <si>
    <t>Estimativa 2023 Complementação VAAT (PORTARIA MEC/MF Nº 9, DE 28 DE AGOSTO DE 2024)</t>
  </si>
  <si>
    <t>APLICAÇÕES DO FUNDEB</t>
  </si>
  <si>
    <t>VALOR MÍNIMO A SER APLICADO</t>
  </si>
  <si>
    <t>APLICAÇÕES DA EDUCAÇÃO MÍNIMO 25%</t>
  </si>
  <si>
    <t>3 - Necessário planejar as despesas para atendimento do limite da Educação com recursos próprios</t>
  </si>
  <si>
    <t>4 - Atenção quando a recondução do limite da Despesa com Pessoal, com base na LC 178/2021.</t>
  </si>
  <si>
    <r>
      <t>DÉFICIT DA APLICAÇÃO EM EDUCAÇÃO (</t>
    </r>
    <r>
      <rPr>
        <b/>
        <sz val="10"/>
        <color theme="1"/>
        <rFont val="Arial"/>
        <family val="2"/>
      </rPr>
      <t>NECESSÁRIO APLICAR</t>
    </r>
    <r>
      <rPr>
        <sz val="10"/>
        <color theme="1"/>
        <rFont val="Arial"/>
        <family val="2"/>
      </rPr>
      <t>)</t>
    </r>
  </si>
  <si>
    <t>APLICAÇÕES DA EDUCAÇÃO RECURSO PRÓPRIO (5%)</t>
  </si>
  <si>
    <t>VALOR DESTINADO AO FUNDEB (20%)</t>
  </si>
  <si>
    <t>VALOR APLICADO COM RECURSO PRÓPRIO DA EDUCAÇÃO (5%)</t>
  </si>
  <si>
    <t>Vitória da Conquista - BA, 12/12/2024.</t>
  </si>
  <si>
    <t>APLICAÇÃO RECURSO PRÓPRIO DA EDUCAÇÃO A SER APLICADO EM DEZEMBRO</t>
  </si>
  <si>
    <t>APLICAÇÃO RECURSO DO FUNDEB VAAT, EM DESPESA DE CAPITAL</t>
  </si>
  <si>
    <t>30/12/2024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</si>
</sst>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(* #,##0.00_);_(* \(#,##0.00\);_(* &quot;-&quot;??_);_(@_)"/>
    <numFmt numFmtId="166" formatCode="[$-416]mmmm\-yy;@"/>
    <numFmt numFmtId="167" formatCode="0.0%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FF0000"/>
      <name val="Microsoft Sans Serif"/>
      <family val="2"/>
    </font>
    <font>
      <sz val="7"/>
      <color rgb="FF000000"/>
      <name val="Microsoft Sans Serif"/>
      <family val="2"/>
    </font>
    <font>
      <b/>
      <sz val="10"/>
      <color rgb="FF0E4380"/>
      <name val="Tahoma"/>
      <family val="2"/>
    </font>
    <font>
      <sz val="12"/>
      <color rgb="FF000000"/>
      <name val="Arial"/>
      <family val="2"/>
    </font>
    <font>
      <sz val="12"/>
      <color rgb="FF080000"/>
      <name val="Times New Roman"/>
      <family val="1"/>
    </font>
    <font>
      <b/>
      <sz val="12"/>
      <color rgb="FF080000"/>
      <name val="Times New Roman"/>
      <family val="1"/>
    </font>
    <font>
      <sz val="12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2"/>
      <color indexed="22"/>
      <name val="Arial"/>
      <family val="2"/>
    </font>
    <font>
      <b/>
      <sz val="12"/>
      <color indexed="22"/>
      <name val="Arial"/>
      <family val="2"/>
    </font>
    <font>
      <b/>
      <sz val="12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rgb="FF08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0"/>
      <color indexed="10"/>
      <name val="Arial"/>
      <family val="2"/>
    </font>
    <font>
      <b/>
      <sz val="7"/>
      <color theme="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22"/>
      <color rgb="FFFFFFFF"/>
      <name val="Arial"/>
      <family val="2"/>
    </font>
    <font>
      <sz val="20"/>
      <color rgb="FF000000"/>
      <name val="Arial"/>
      <family val="2"/>
    </font>
    <font>
      <b/>
      <sz val="20"/>
      <color rgb="FF000000"/>
      <name val="Arial"/>
      <family val="2"/>
    </font>
    <font>
      <b/>
      <sz val="22"/>
      <color rgb="FF000000"/>
      <name val="Arial"/>
      <family val="2"/>
    </font>
    <font>
      <sz val="16"/>
      <color rgb="FF000000"/>
      <name val="Arial"/>
      <family val="2"/>
    </font>
    <font>
      <b/>
      <sz val="28"/>
      <color rgb="FFFFFFFF"/>
      <name val="Arial"/>
      <family val="2"/>
    </font>
    <font>
      <sz val="18"/>
      <color rgb="FF000000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sz val="28"/>
      <color rgb="FFFFFFFF"/>
      <name val="Arial"/>
      <family val="2"/>
    </font>
    <font>
      <sz val="32"/>
      <color rgb="FFFFFFFF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18"/>
      <color rgb="FFFFFFFF"/>
      <name val="Arial"/>
      <family val="2"/>
    </font>
    <font>
      <b/>
      <sz val="2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 MT"/>
      <family val="2"/>
    </font>
    <font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2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3D8F7"/>
        <bgColor indexed="64"/>
      </patternFill>
    </fill>
    <fill>
      <patternFill patternType="solid">
        <fgColor rgb="FFEDF4FC"/>
        <bgColor indexed="64"/>
      </patternFill>
    </fill>
    <fill>
      <patternFill patternType="solid">
        <fgColor indexed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>
      <alignment horizontal="left" vertical="top" wrapText="1"/>
    </xf>
    <xf numFmtId="43" fontId="19" fillId="0" borderId="0" applyFont="0" applyFill="0" applyBorder="0" applyAlignment="0" applyProtection="0"/>
    <xf numFmtId="0" fontId="54" fillId="27" borderId="48" applyNumberFormat="0" applyAlignment="0" applyProtection="0"/>
    <xf numFmtId="0" fontId="55" fillId="28" borderId="49" applyNumberFormat="0" applyAlignment="0" applyProtection="0"/>
  </cellStyleXfs>
  <cellXfs count="554">
    <xf numFmtId="0" fontId="0" fillId="0" borderId="0" xfId="0"/>
    <xf numFmtId="0" fontId="2" fillId="0" borderId="11" xfId="0" applyFont="1" applyBorder="1"/>
    <xf numFmtId="0" fontId="2" fillId="0" borderId="7" xfId="0" applyFont="1" applyBorder="1" applyAlignment="1">
      <alignment horizontal="left"/>
    </xf>
    <xf numFmtId="4" fontId="0" fillId="0" borderId="0" xfId="0" applyNumberFormat="1"/>
    <xf numFmtId="44" fontId="9" fillId="0" borderId="7" xfId="1" applyFont="1" applyBorder="1"/>
    <xf numFmtId="44" fontId="11" fillId="0" borderId="7" xfId="1" applyFont="1" applyBorder="1"/>
    <xf numFmtId="0" fontId="10" fillId="0" borderId="0" xfId="0" applyFont="1"/>
    <xf numFmtId="165" fontId="10" fillId="0" borderId="0" xfId="0" applyNumberFormat="1" applyFont="1"/>
    <xf numFmtId="43" fontId="10" fillId="0" borderId="0" xfId="3" applyFont="1"/>
    <xf numFmtId="0" fontId="10" fillId="8" borderId="7" xfId="0" applyFont="1" applyFill="1" applyBorder="1" applyAlignment="1">
      <alignment horizontal="center"/>
    </xf>
    <xf numFmtId="0" fontId="10" fillId="0" borderId="7" xfId="0" applyFont="1" applyBorder="1"/>
    <xf numFmtId="43" fontId="9" fillId="0" borderId="7" xfId="3" applyFont="1" applyBorder="1" applyAlignment="1">
      <alignment horizontal="center"/>
    </xf>
    <xf numFmtId="43" fontId="10" fillId="0" borderId="7" xfId="3" applyFont="1" applyBorder="1" applyAlignment="1">
      <alignment horizontal="center"/>
    </xf>
    <xf numFmtId="43" fontId="9" fillId="0" borderId="22" xfId="3" applyFont="1" applyBorder="1" applyAlignment="1">
      <alignment horizontal="center"/>
    </xf>
    <xf numFmtId="43" fontId="10" fillId="0" borderId="7" xfId="3" applyFont="1" applyBorder="1"/>
    <xf numFmtId="43" fontId="9" fillId="0" borderId="7" xfId="3" applyFont="1" applyBorder="1"/>
    <xf numFmtId="165" fontId="10" fillId="0" borderId="7" xfId="0" applyNumberFormat="1" applyFont="1" applyBorder="1"/>
    <xf numFmtId="43" fontId="9" fillId="0" borderId="0" xfId="3" applyFont="1"/>
    <xf numFmtId="43" fontId="9" fillId="0" borderId="0" xfId="3" applyFont="1" applyAlignment="1">
      <alignment horizontal="center"/>
    </xf>
    <xf numFmtId="10" fontId="10" fillId="0" borderId="7" xfId="7" applyNumberFormat="1" applyFont="1" applyBorder="1"/>
    <xf numFmtId="0" fontId="10" fillId="0" borderId="7" xfId="0" applyFont="1" applyBorder="1" applyAlignment="1">
      <alignment wrapText="1"/>
    </xf>
    <xf numFmtId="43" fontId="10" fillId="0" borderId="7" xfId="3" applyFont="1" applyFill="1" applyBorder="1"/>
    <xf numFmtId="8" fontId="9" fillId="0" borderId="7" xfId="3" applyNumberFormat="1" applyFont="1" applyFill="1" applyBorder="1"/>
    <xf numFmtId="44" fontId="9" fillId="0" borderId="10" xfId="1" applyFont="1" applyBorder="1"/>
    <xf numFmtId="17" fontId="10" fillId="8" borderId="7" xfId="0" applyNumberFormat="1" applyFont="1" applyFill="1" applyBorder="1" applyAlignment="1">
      <alignment horizontal="center" vertical="center"/>
    </xf>
    <xf numFmtId="17" fontId="10" fillId="8" borderId="9" xfId="0" applyNumberFormat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8" fontId="9" fillId="0" borderId="7" xfId="3" applyNumberFormat="1" applyFont="1" applyBorder="1"/>
    <xf numFmtId="0" fontId="6" fillId="12" borderId="0" xfId="4" applyFill="1" applyAlignment="1">
      <alignment vertical="center" wrapText="1"/>
    </xf>
    <xf numFmtId="0" fontId="17" fillId="12" borderId="0" xfId="0" applyFont="1" applyFill="1" applyAlignment="1">
      <alignment vertical="center" wrapText="1"/>
    </xf>
    <xf numFmtId="14" fontId="17" fillId="12" borderId="0" xfId="0" applyNumberFormat="1" applyFont="1" applyFill="1" applyAlignment="1">
      <alignment horizontal="center" vertical="center" wrapText="1"/>
    </xf>
    <xf numFmtId="8" fontId="17" fillId="12" borderId="0" xfId="0" applyNumberFormat="1" applyFont="1" applyFill="1" applyAlignment="1">
      <alignment horizontal="right" vertical="center" wrapText="1"/>
    </xf>
    <xf numFmtId="0" fontId="6" fillId="2" borderId="0" xfId="4" applyFill="1" applyAlignment="1">
      <alignment vertical="center" wrapText="1"/>
    </xf>
    <xf numFmtId="0" fontId="17" fillId="2" borderId="0" xfId="0" applyFont="1" applyFill="1" applyAlignment="1">
      <alignment vertical="center" wrapText="1"/>
    </xf>
    <xf numFmtId="14" fontId="17" fillId="2" borderId="0" xfId="0" applyNumberFormat="1" applyFont="1" applyFill="1" applyAlignment="1">
      <alignment horizontal="center" vertical="center" wrapText="1"/>
    </xf>
    <xf numFmtId="8" fontId="17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8" fillId="11" borderId="0" xfId="0" applyFont="1" applyFill="1" applyAlignment="1">
      <alignment horizontal="center" vertical="center" wrapText="1"/>
    </xf>
    <xf numFmtId="0" fontId="11" fillId="0" borderId="0" xfId="0" applyFont="1"/>
    <xf numFmtId="0" fontId="13" fillId="4" borderId="1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indent="2"/>
    </xf>
    <xf numFmtId="44" fontId="11" fillId="0" borderId="0" xfId="1" applyFont="1"/>
    <xf numFmtId="44" fontId="13" fillId="0" borderId="7" xfId="1" applyFont="1" applyBorder="1"/>
    <xf numFmtId="10" fontId="11" fillId="0" borderId="7" xfId="2" applyNumberFormat="1" applyFont="1" applyBorder="1"/>
    <xf numFmtId="0" fontId="9" fillId="0" borderId="7" xfId="0" applyFont="1" applyBorder="1" applyAlignment="1">
      <alignment wrapText="1"/>
    </xf>
    <xf numFmtId="44" fontId="11" fillId="0" borderId="0" xfId="1" applyFont="1" applyBorder="1"/>
    <xf numFmtId="0" fontId="13" fillId="0" borderId="7" xfId="0" applyFont="1" applyBorder="1"/>
    <xf numFmtId="0" fontId="11" fillId="0" borderId="7" xfId="0" applyFont="1" applyBorder="1" applyAlignment="1">
      <alignment horizontal="left" indent="2"/>
    </xf>
    <xf numFmtId="0" fontId="13" fillId="4" borderId="10" xfId="0" applyFont="1" applyFill="1" applyBorder="1" applyAlignment="1">
      <alignment horizontal="center" vertical="center"/>
    </xf>
    <xf numFmtId="0" fontId="13" fillId="0" borderId="0" xfId="0" applyFont="1"/>
    <xf numFmtId="44" fontId="13" fillId="0" borderId="0" xfId="1" applyFont="1" applyBorder="1"/>
    <xf numFmtId="10" fontId="13" fillId="0" borderId="2" xfId="2" applyNumberFormat="1" applyFont="1" applyBorder="1"/>
    <xf numFmtId="0" fontId="13" fillId="0" borderId="0" xfId="0" applyFont="1" applyAlignment="1">
      <alignment wrapText="1"/>
    </xf>
    <xf numFmtId="43" fontId="11" fillId="0" borderId="7" xfId="3" applyFont="1" applyBorder="1" applyAlignment="1" applyProtection="1">
      <alignment vertical="center" wrapText="1"/>
      <protection locked="0"/>
    </xf>
    <xf numFmtId="44" fontId="13" fillId="0" borderId="7" xfId="1" applyFont="1" applyBorder="1" applyAlignment="1">
      <alignment vertical="center" wrapText="1"/>
    </xf>
    <xf numFmtId="44" fontId="13" fillId="0" borderId="10" xfId="1" applyFont="1" applyBorder="1"/>
    <xf numFmtId="43" fontId="0" fillId="0" borderId="7" xfId="3" applyFont="1" applyBorder="1"/>
    <xf numFmtId="10" fontId="13" fillId="0" borderId="7" xfId="2" applyNumberFormat="1" applyFont="1" applyBorder="1"/>
    <xf numFmtId="10" fontId="13" fillId="0" borderId="0" xfId="2" applyNumberFormat="1" applyFont="1" applyBorder="1"/>
    <xf numFmtId="44" fontId="10" fillId="0" borderId="7" xfId="1" applyFont="1" applyBorder="1"/>
    <xf numFmtId="0" fontId="13" fillId="0" borderId="7" xfId="0" applyFont="1" applyBorder="1" applyAlignment="1">
      <alignment wrapText="1"/>
    </xf>
    <xf numFmtId="0" fontId="11" fillId="0" borderId="0" xfId="0" applyFont="1" applyAlignment="1">
      <alignment horizontal="left" indent="2"/>
    </xf>
    <xf numFmtId="0" fontId="11" fillId="0" borderId="7" xfId="0" applyFont="1" applyBorder="1"/>
    <xf numFmtId="0" fontId="11" fillId="0" borderId="7" xfId="0" applyFont="1" applyBorder="1" applyAlignment="1">
      <alignment wrapText="1"/>
    </xf>
    <xf numFmtId="4" fontId="11" fillId="0" borderId="7" xfId="0" applyNumberFormat="1" applyFont="1" applyBorder="1"/>
    <xf numFmtId="4" fontId="11" fillId="0" borderId="0" xfId="0" applyNumberFormat="1" applyFont="1"/>
    <xf numFmtId="4" fontId="21" fillId="13" borderId="0" xfId="0" applyNumberFormat="1" applyFont="1" applyFill="1" applyAlignment="1">
      <alignment horizontal="right" vertical="center" wrapText="1" readingOrder="1"/>
    </xf>
    <xf numFmtId="4" fontId="13" fillId="0" borderId="0" xfId="1" applyNumberFormat="1" applyFont="1" applyFill="1" applyBorder="1"/>
    <xf numFmtId="43" fontId="9" fillId="0" borderId="0" xfId="3" applyFont="1" applyBorder="1" applyAlignment="1">
      <alignment horizontal="center"/>
    </xf>
    <xf numFmtId="10" fontId="10" fillId="0" borderId="0" xfId="7" applyNumberFormat="1" applyFont="1" applyBorder="1"/>
    <xf numFmtId="0" fontId="24" fillId="0" borderId="0" xfId="0" applyFont="1"/>
    <xf numFmtId="4" fontId="24" fillId="0" borderId="7" xfId="0" applyNumberFormat="1" applyFont="1" applyBorder="1"/>
    <xf numFmtId="4" fontId="24" fillId="0" borderId="0" xfId="0" applyNumberFormat="1" applyFont="1"/>
    <xf numFmtId="0" fontId="24" fillId="0" borderId="7" xfId="0" applyFont="1" applyBorder="1"/>
    <xf numFmtId="43" fontId="9" fillId="0" borderId="7" xfId="3" applyFont="1" applyFill="1" applyBorder="1"/>
    <xf numFmtId="0" fontId="9" fillId="0" borderId="7" xfId="0" applyFont="1" applyBorder="1"/>
    <xf numFmtId="0" fontId="3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43" fontId="3" fillId="0" borderId="0" xfId="0" applyNumberFormat="1" applyFont="1"/>
    <xf numFmtId="43" fontId="3" fillId="0" borderId="0" xfId="3" applyFont="1"/>
    <xf numFmtId="4" fontId="3" fillId="0" borderId="0" xfId="0" applyNumberFormat="1" applyFont="1"/>
    <xf numFmtId="0" fontId="27" fillId="0" borderId="0" xfId="0" applyFont="1"/>
    <xf numFmtId="43" fontId="10" fillId="0" borderId="0" xfId="3" applyFont="1" applyAlignment="1">
      <alignment horizontal="center"/>
    </xf>
    <xf numFmtId="43" fontId="28" fillId="0" borderId="0" xfId="3" applyFont="1" applyAlignment="1">
      <alignment horizontal="center"/>
    </xf>
    <xf numFmtId="43" fontId="29" fillId="0" borderId="0" xfId="3" applyFont="1" applyAlignment="1">
      <alignment horizontal="center"/>
    </xf>
    <xf numFmtId="44" fontId="10" fillId="0" borderId="7" xfId="1" applyFont="1" applyBorder="1" applyAlignment="1">
      <alignment horizontal="center"/>
    </xf>
    <xf numFmtId="0" fontId="9" fillId="0" borderId="10" xfId="0" applyFont="1" applyBorder="1"/>
    <xf numFmtId="10" fontId="10" fillId="0" borderId="0" xfId="7" applyNumberFormat="1" applyFont="1"/>
    <xf numFmtId="44" fontId="9" fillId="0" borderId="0" xfId="1" applyFont="1" applyAlignment="1">
      <alignment horizontal="left"/>
    </xf>
    <xf numFmtId="44" fontId="9" fillId="0" borderId="0" xfId="1" applyFont="1"/>
    <xf numFmtId="44" fontId="9" fillId="0" borderId="0" xfId="0" applyNumberFormat="1" applyFont="1"/>
    <xf numFmtId="0" fontId="25" fillId="0" borderId="0" xfId="0" applyFont="1"/>
    <xf numFmtId="0" fontId="22" fillId="0" borderId="0" xfId="0" applyFont="1"/>
    <xf numFmtId="44" fontId="22" fillId="0" borderId="0" xfId="0" applyNumberFormat="1" applyFont="1"/>
    <xf numFmtId="44" fontId="30" fillId="0" borderId="0" xfId="1" applyFont="1"/>
    <xf numFmtId="43" fontId="10" fillId="0" borderId="0" xfId="3" applyFont="1" applyBorder="1" applyAlignment="1">
      <alignment horizontal="center"/>
    </xf>
    <xf numFmtId="0" fontId="5" fillId="0" borderId="0" xfId="0" applyFont="1"/>
    <xf numFmtId="165" fontId="9" fillId="0" borderId="7" xfId="0" applyNumberFormat="1" applyFont="1" applyBorder="1"/>
    <xf numFmtId="0" fontId="3" fillId="0" borderId="0" xfId="0" applyFont="1" applyAlignment="1">
      <alignment horizontal="center"/>
    </xf>
    <xf numFmtId="10" fontId="7" fillId="15" borderId="7" xfId="0" applyNumberFormat="1" applyFont="1" applyFill="1" applyBorder="1"/>
    <xf numFmtId="43" fontId="24" fillId="0" borderId="0" xfId="3" applyFont="1"/>
    <xf numFmtId="43" fontId="24" fillId="0" borderId="0" xfId="0" applyNumberFormat="1" applyFont="1"/>
    <xf numFmtId="44" fontId="24" fillId="0" borderId="7" xfId="0" applyNumberFormat="1" applyFont="1" applyBorder="1"/>
    <xf numFmtId="43" fontId="32" fillId="13" borderId="7" xfId="3" applyFont="1" applyFill="1" applyBorder="1" applyAlignment="1">
      <alignment horizontal="right" vertical="center" wrapText="1" readingOrder="1"/>
    </xf>
    <xf numFmtId="43" fontId="24" fillId="0" borderId="7" xfId="3" applyFont="1" applyBorder="1"/>
    <xf numFmtId="43" fontId="23" fillId="0" borderId="7" xfId="3" applyFont="1" applyBorder="1"/>
    <xf numFmtId="0" fontId="23" fillId="0" borderId="0" xfId="0" applyFont="1"/>
    <xf numFmtId="10" fontId="24" fillId="0" borderId="0" xfId="2" applyNumberFormat="1" applyFont="1"/>
    <xf numFmtId="0" fontId="13" fillId="16" borderId="7" xfId="0" applyFont="1" applyFill="1" applyBorder="1" applyAlignment="1">
      <alignment horizontal="center" wrapText="1"/>
    </xf>
    <xf numFmtId="43" fontId="21" fillId="13" borderId="7" xfId="3" applyFont="1" applyFill="1" applyBorder="1" applyAlignment="1">
      <alignment horizontal="right" vertical="center" wrapText="1" readingOrder="1"/>
    </xf>
    <xf numFmtId="43" fontId="13" fillId="16" borderId="7" xfId="0" applyNumberFormat="1" applyFont="1" applyFill="1" applyBorder="1" applyAlignment="1">
      <alignment horizontal="center" wrapText="1"/>
    </xf>
    <xf numFmtId="10" fontId="11" fillId="0" borderId="0" xfId="2" applyNumberFormat="1" applyFont="1" applyBorder="1"/>
    <xf numFmtId="0" fontId="13" fillId="16" borderId="7" xfId="0" applyFont="1" applyFill="1" applyBorder="1" applyAlignment="1">
      <alignment wrapText="1"/>
    </xf>
    <xf numFmtId="0" fontId="33" fillId="16" borderId="19" xfId="0" applyFont="1" applyFill="1" applyBorder="1" applyAlignment="1">
      <alignment horizontal="center" vertical="center" wrapText="1"/>
    </xf>
    <xf numFmtId="0" fontId="33" fillId="16" borderId="25" xfId="0" applyFont="1" applyFill="1" applyBorder="1" applyAlignment="1">
      <alignment horizontal="center" vertical="center" wrapText="1"/>
    </xf>
    <xf numFmtId="0" fontId="19" fillId="0" borderId="7" xfId="0" applyFont="1" applyBorder="1"/>
    <xf numFmtId="44" fontId="19" fillId="0" borderId="7" xfId="1" applyFont="1" applyBorder="1"/>
    <xf numFmtId="44" fontId="11" fillId="0" borderId="7" xfId="0" applyNumberFormat="1" applyFont="1" applyBorder="1"/>
    <xf numFmtId="44" fontId="33" fillId="16" borderId="7" xfId="0" applyNumberFormat="1" applyFont="1" applyFill="1" applyBorder="1" applyAlignment="1">
      <alignment horizontal="center" vertical="center" wrapText="1"/>
    </xf>
    <xf numFmtId="0" fontId="11" fillId="16" borderId="7" xfId="0" applyFont="1" applyFill="1" applyBorder="1"/>
    <xf numFmtId="0" fontId="33" fillId="16" borderId="7" xfId="0" applyFont="1" applyFill="1" applyBorder="1" applyAlignment="1">
      <alignment horizontal="center" vertical="center"/>
    </xf>
    <xf numFmtId="44" fontId="19" fillId="0" borderId="7" xfId="1" applyFont="1" applyFill="1" applyBorder="1"/>
    <xf numFmtId="44" fontId="11" fillId="0" borderId="7" xfId="1" applyFont="1" applyFill="1" applyBorder="1"/>
    <xf numFmtId="44" fontId="11" fillId="0" borderId="0" xfId="0" applyNumberFormat="1" applyFont="1"/>
    <xf numFmtId="44" fontId="11" fillId="16" borderId="7" xfId="0" applyNumberFormat="1" applyFont="1" applyFill="1" applyBorder="1"/>
    <xf numFmtId="0" fontId="13" fillId="18" borderId="7" xfId="0" applyFont="1" applyFill="1" applyBorder="1"/>
    <xf numFmtId="10" fontId="13" fillId="18" borderId="7" xfId="2" applyNumberFormat="1" applyFont="1" applyFill="1" applyBorder="1"/>
    <xf numFmtId="44" fontId="2" fillId="0" borderId="7" xfId="1" applyFont="1" applyFill="1" applyBorder="1"/>
    <xf numFmtId="0" fontId="2" fillId="0" borderId="7" xfId="0" applyFont="1" applyBorder="1" applyAlignment="1">
      <alignment horizontal="left" indent="1"/>
    </xf>
    <xf numFmtId="0" fontId="2" fillId="5" borderId="19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3" fillId="5" borderId="15" xfId="0" applyFont="1" applyFill="1" applyBorder="1" applyAlignment="1">
      <alignment horizontal="center" vertical="center"/>
    </xf>
    <xf numFmtId="0" fontId="24" fillId="0" borderId="5" xfId="0" applyFont="1" applyBorder="1"/>
    <xf numFmtId="44" fontId="23" fillId="0" borderId="1" xfId="1" applyFont="1" applyBorder="1"/>
    <xf numFmtId="0" fontId="24" fillId="0" borderId="1" xfId="0" applyFont="1" applyBorder="1" applyAlignment="1">
      <alignment horizontal="left" indent="2"/>
    </xf>
    <xf numFmtId="44" fontId="24" fillId="0" borderId="1" xfId="1" applyFont="1" applyBorder="1"/>
    <xf numFmtId="0" fontId="23" fillId="0" borderId="1" xfId="0" applyFont="1" applyBorder="1"/>
    <xf numFmtId="44" fontId="23" fillId="0" borderId="15" xfId="1" applyFont="1" applyBorder="1"/>
    <xf numFmtId="0" fontId="36" fillId="0" borderId="15" xfId="0" applyFont="1" applyBorder="1"/>
    <xf numFmtId="0" fontId="4" fillId="7" borderId="17" xfId="0" applyFont="1" applyFill="1" applyBorder="1"/>
    <xf numFmtId="4" fontId="24" fillId="0" borderId="7" xfId="3" applyNumberFormat="1" applyFont="1" applyBorder="1" applyProtection="1">
      <protection locked="0"/>
    </xf>
    <xf numFmtId="4" fontId="8" fillId="0" borderId="0" xfId="3" applyNumberFormat="1" applyFont="1" applyBorder="1" applyAlignment="1" applyProtection="1">
      <alignment horizontal="center"/>
      <protection locked="0"/>
    </xf>
    <xf numFmtId="4" fontId="35" fillId="0" borderId="0" xfId="3" applyNumberFormat="1" applyFont="1" applyBorder="1" applyProtection="1">
      <protection locked="0"/>
    </xf>
    <xf numFmtId="4" fontId="8" fillId="0" borderId="0" xfId="3" applyNumberFormat="1" applyFont="1" applyFill="1" applyBorder="1" applyAlignment="1" applyProtection="1">
      <alignment horizontal="center"/>
      <protection locked="0"/>
    </xf>
    <xf numFmtId="4" fontId="8" fillId="0" borderId="0" xfId="3" applyNumberFormat="1" applyFont="1" applyFill="1" applyBorder="1" applyProtection="1">
      <protection locked="0"/>
    </xf>
    <xf numFmtId="44" fontId="8" fillId="0" borderId="0" xfId="1" applyFont="1" applyFill="1" applyBorder="1" applyProtection="1">
      <protection locked="0"/>
    </xf>
    <xf numFmtId="10" fontId="8" fillId="0" borderId="0" xfId="2" applyNumberFormat="1" applyFont="1" applyFill="1" applyBorder="1" applyProtection="1">
      <protection locked="0"/>
    </xf>
    <xf numFmtId="4" fontId="35" fillId="0" borderId="0" xfId="3" applyNumberFormat="1" applyFont="1" applyFill="1" applyBorder="1" applyProtection="1">
      <protection locked="0"/>
    </xf>
    <xf numFmtId="43" fontId="11" fillId="0" borderId="0" xfId="3" applyFont="1"/>
    <xf numFmtId="44" fontId="13" fillId="0" borderId="7" xfId="2" applyNumberFormat="1" applyFont="1" applyBorder="1"/>
    <xf numFmtId="4" fontId="14" fillId="0" borderId="7" xfId="3" applyNumberFormat="1" applyFont="1" applyBorder="1" applyProtection="1">
      <protection locked="0"/>
    </xf>
    <xf numFmtId="43" fontId="23" fillId="10" borderId="7" xfId="3" applyFont="1" applyFill="1" applyBorder="1"/>
    <xf numFmtId="43" fontId="24" fillId="0" borderId="7" xfId="3" applyFont="1" applyFill="1" applyBorder="1"/>
    <xf numFmtId="43" fontId="24" fillId="14" borderId="7" xfId="3" applyFont="1" applyFill="1" applyBorder="1"/>
    <xf numFmtId="43" fontId="20" fillId="13" borderId="7" xfId="3" applyFont="1" applyFill="1" applyBorder="1" applyAlignment="1">
      <alignment horizontal="right" vertical="center" wrapText="1" readingOrder="1"/>
    </xf>
    <xf numFmtId="0" fontId="13" fillId="16" borderId="9" xfId="0" applyFont="1" applyFill="1" applyBorder="1" applyAlignment="1">
      <alignment horizontal="center" wrapText="1"/>
    </xf>
    <xf numFmtId="0" fontId="13" fillId="16" borderId="8" xfId="0" applyFont="1" applyFill="1" applyBorder="1" applyAlignment="1">
      <alignment horizontal="center" wrapText="1"/>
    </xf>
    <xf numFmtId="0" fontId="13" fillId="16" borderId="10" xfId="0" applyFont="1" applyFill="1" applyBorder="1" applyAlignment="1">
      <alignment horizontal="center" vertical="center"/>
    </xf>
    <xf numFmtId="43" fontId="11" fillId="0" borderId="0" xfId="0" applyNumberFormat="1" applyFont="1"/>
    <xf numFmtId="43" fontId="11" fillId="0" borderId="7" xfId="3" applyFont="1" applyBorder="1"/>
    <xf numFmtId="43" fontId="13" fillId="0" borderId="7" xfId="0" applyNumberFormat="1" applyFont="1" applyBorder="1"/>
    <xf numFmtId="43" fontId="13" fillId="0" borderId="0" xfId="3" applyFont="1" applyBorder="1"/>
    <xf numFmtId="10" fontId="11" fillId="0" borderId="0" xfId="0" applyNumberFormat="1" applyFont="1"/>
    <xf numFmtId="0" fontId="13" fillId="16" borderId="7" xfId="0" applyFont="1" applyFill="1" applyBorder="1" applyAlignment="1">
      <alignment horizontal="center"/>
    </xf>
    <xf numFmtId="43" fontId="9" fillId="0" borderId="0" xfId="3" applyFont="1" applyFill="1" applyBorder="1"/>
    <xf numFmtId="17" fontId="9" fillId="0" borderId="0" xfId="3" applyNumberFormat="1" applyFont="1" applyFill="1" applyBorder="1"/>
    <xf numFmtId="43" fontId="0" fillId="0" borderId="0" xfId="3" applyFont="1"/>
    <xf numFmtId="4" fontId="13" fillId="16" borderId="7" xfId="0" applyNumberFormat="1" applyFont="1" applyFill="1" applyBorder="1" applyAlignment="1">
      <alignment horizontal="center"/>
    </xf>
    <xf numFmtId="10" fontId="11" fillId="0" borderId="0" xfId="2" applyNumberFormat="1" applyFont="1"/>
    <xf numFmtId="44" fontId="0" fillId="0" borderId="0" xfId="0" applyNumberFormat="1"/>
    <xf numFmtId="43" fontId="13" fillId="0" borderId="0" xfId="3" applyFont="1"/>
    <xf numFmtId="43" fontId="9" fillId="16" borderId="7" xfId="3" applyFont="1" applyFill="1" applyBorder="1"/>
    <xf numFmtId="8" fontId="9" fillId="16" borderId="7" xfId="3" applyNumberFormat="1" applyFont="1" applyFill="1" applyBorder="1"/>
    <xf numFmtId="43" fontId="13" fillId="0" borderId="7" xfId="3" applyFont="1" applyBorder="1"/>
    <xf numFmtId="43" fontId="13" fillId="0" borderId="7" xfId="3" applyFont="1" applyBorder="1" applyAlignment="1">
      <alignment vertical="center" wrapText="1"/>
    </xf>
    <xf numFmtId="43" fontId="11" fillId="0" borderId="10" xfId="3" applyFont="1" applyBorder="1" applyAlignment="1" applyProtection="1">
      <alignment vertical="center" wrapText="1"/>
      <protection locked="0"/>
    </xf>
    <xf numFmtId="43" fontId="11" fillId="0" borderId="7" xfId="3" applyFont="1" applyBorder="1" applyAlignment="1">
      <alignment vertical="center" wrapText="1"/>
    </xf>
    <xf numFmtId="0" fontId="13" fillId="0" borderId="7" xfId="0" applyFont="1" applyBorder="1" applyAlignment="1">
      <alignment horizontal="center" wrapText="1"/>
    </xf>
    <xf numFmtId="0" fontId="13" fillId="20" borderId="7" xfId="0" applyFont="1" applyFill="1" applyBorder="1" applyAlignment="1">
      <alignment horizontal="center" wrapText="1"/>
    </xf>
    <xf numFmtId="43" fontId="21" fillId="20" borderId="7" xfId="3" applyFont="1" applyFill="1" applyBorder="1" applyAlignment="1">
      <alignment horizontal="right" vertical="center" wrapText="1" readingOrder="1"/>
    </xf>
    <xf numFmtId="10" fontId="11" fillId="20" borderId="7" xfId="2" applyNumberFormat="1" applyFont="1" applyFill="1" applyBorder="1"/>
    <xf numFmtId="0" fontId="13" fillId="20" borderId="7" xfId="0" applyFont="1" applyFill="1" applyBorder="1" applyAlignment="1">
      <alignment wrapText="1"/>
    </xf>
    <xf numFmtId="10" fontId="13" fillId="20" borderId="7" xfId="2" applyNumberFormat="1" applyFont="1" applyFill="1" applyBorder="1"/>
    <xf numFmtId="44" fontId="13" fillId="0" borderId="7" xfId="0" applyNumberFormat="1" applyFont="1" applyBorder="1"/>
    <xf numFmtId="164" fontId="13" fillId="0" borderId="7" xfId="0" applyNumberFormat="1" applyFont="1" applyBorder="1"/>
    <xf numFmtId="4" fontId="13" fillId="0" borderId="7" xfId="0" applyNumberFormat="1" applyFont="1" applyBorder="1"/>
    <xf numFmtId="43" fontId="10" fillId="21" borderId="7" xfId="3" applyFont="1" applyFill="1" applyBorder="1"/>
    <xf numFmtId="4" fontId="7" fillId="5" borderId="3" xfId="3" applyNumberFormat="1" applyFont="1" applyFill="1" applyBorder="1" applyAlignment="1" applyProtection="1">
      <alignment horizontal="center" vertical="center" wrapText="1"/>
      <protection locked="0"/>
    </xf>
    <xf numFmtId="0" fontId="13" fillId="22" borderId="7" xfId="0" applyFont="1" applyFill="1" applyBorder="1" applyAlignment="1">
      <alignment horizontal="center"/>
    </xf>
    <xf numFmtId="0" fontId="39" fillId="23" borderId="28" xfId="0" applyFont="1" applyFill="1" applyBorder="1" applyAlignment="1">
      <alignment horizontal="center" vertical="center" wrapText="1" readingOrder="1"/>
    </xf>
    <xf numFmtId="0" fontId="40" fillId="24" borderId="29" xfId="0" applyFont="1" applyFill="1" applyBorder="1" applyAlignment="1">
      <alignment horizontal="left" vertical="center" wrapText="1" readingOrder="1"/>
    </xf>
    <xf numFmtId="4" fontId="40" fillId="24" borderId="29" xfId="0" applyNumberFormat="1" applyFont="1" applyFill="1" applyBorder="1" applyAlignment="1">
      <alignment horizontal="right" vertical="center" wrapText="1" readingOrder="1"/>
    </xf>
    <xf numFmtId="4" fontId="41" fillId="24" borderId="29" xfId="0" applyNumberFormat="1" applyFont="1" applyFill="1" applyBorder="1" applyAlignment="1">
      <alignment horizontal="right" vertical="center" wrapText="1" readingOrder="1"/>
    </xf>
    <xf numFmtId="0" fontId="40" fillId="25" borderId="30" xfId="0" applyFont="1" applyFill="1" applyBorder="1" applyAlignment="1">
      <alignment horizontal="left" vertical="center" wrapText="1" readingOrder="1"/>
    </xf>
    <xf numFmtId="4" fontId="40" fillId="25" borderId="30" xfId="0" applyNumberFormat="1" applyFont="1" applyFill="1" applyBorder="1" applyAlignment="1">
      <alignment horizontal="right" vertical="center" wrapText="1" readingOrder="1"/>
    </xf>
    <xf numFmtId="4" fontId="41" fillId="25" borderId="30" xfId="0" applyNumberFormat="1" applyFont="1" applyFill="1" applyBorder="1" applyAlignment="1">
      <alignment horizontal="right" vertical="center" wrapText="1" readingOrder="1"/>
    </xf>
    <xf numFmtId="0" fontId="40" fillId="24" borderId="30" xfId="0" applyFont="1" applyFill="1" applyBorder="1" applyAlignment="1">
      <alignment horizontal="left" vertical="center" wrapText="1" indent="1" readingOrder="1"/>
    </xf>
    <xf numFmtId="4" fontId="40" fillId="24" borderId="30" xfId="0" applyNumberFormat="1" applyFont="1" applyFill="1" applyBorder="1" applyAlignment="1">
      <alignment horizontal="right" vertical="center" wrapText="1" readingOrder="1"/>
    </xf>
    <xf numFmtId="4" fontId="41" fillId="24" borderId="30" xfId="0" applyNumberFormat="1" applyFont="1" applyFill="1" applyBorder="1" applyAlignment="1">
      <alignment horizontal="right" vertical="center" wrapText="1" readingOrder="1"/>
    </xf>
    <xf numFmtId="0" fontId="40" fillId="25" borderId="30" xfId="0" applyFont="1" applyFill="1" applyBorder="1" applyAlignment="1">
      <alignment horizontal="left" vertical="center" wrapText="1" indent="1" readingOrder="1"/>
    </xf>
    <xf numFmtId="0" fontId="40" fillId="24" borderId="30" xfId="0" applyFont="1" applyFill="1" applyBorder="1" applyAlignment="1">
      <alignment horizontal="left" vertical="center" wrapText="1" readingOrder="1"/>
    </xf>
    <xf numFmtId="0" fontId="38" fillId="25" borderId="30" xfId="0" applyFont="1" applyFill="1" applyBorder="1" applyAlignment="1">
      <alignment horizontal="left" vertical="center" wrapText="1" indent="1"/>
    </xf>
    <xf numFmtId="4" fontId="38" fillId="25" borderId="30" xfId="0" applyNumberFormat="1" applyFont="1" applyFill="1" applyBorder="1" applyAlignment="1">
      <alignment horizontal="right" vertical="center" wrapText="1"/>
    </xf>
    <xf numFmtId="43" fontId="24" fillId="0" borderId="7" xfId="3" applyFont="1" applyFill="1" applyBorder="1" applyAlignment="1">
      <alignment wrapText="1"/>
    </xf>
    <xf numFmtId="0" fontId="11" fillId="0" borderId="7" xfId="0" applyFont="1" applyBorder="1" applyAlignment="1">
      <alignment horizontal="center"/>
    </xf>
    <xf numFmtId="0" fontId="2" fillId="5" borderId="10" xfId="0" applyFont="1" applyFill="1" applyBorder="1" applyAlignment="1">
      <alignment horizontal="center" vertical="center"/>
    </xf>
    <xf numFmtId="164" fontId="11" fillId="0" borderId="0" xfId="0" applyNumberFormat="1" applyFont="1"/>
    <xf numFmtId="164" fontId="13" fillId="0" borderId="0" xfId="0" applyNumberFormat="1" applyFont="1"/>
    <xf numFmtId="44" fontId="13" fillId="0" borderId="0" xfId="0" applyNumberFormat="1" applyFont="1"/>
    <xf numFmtId="43" fontId="20" fillId="0" borderId="7" xfId="3" applyFont="1" applyFill="1" applyBorder="1" applyAlignment="1">
      <alignment horizontal="right" vertical="center" wrapText="1" readingOrder="1"/>
    </xf>
    <xf numFmtId="43" fontId="14" fillId="0" borderId="7" xfId="3" applyFont="1" applyFill="1" applyBorder="1"/>
    <xf numFmtId="10" fontId="11" fillId="0" borderId="7" xfId="2" applyNumberFormat="1" applyFont="1" applyFill="1" applyBorder="1"/>
    <xf numFmtId="0" fontId="44" fillId="23" borderId="28" xfId="0" applyFont="1" applyFill="1" applyBorder="1" applyAlignment="1">
      <alignment horizontal="center" vertical="center" wrapText="1" readingOrder="1"/>
    </xf>
    <xf numFmtId="0" fontId="45" fillId="24" borderId="29" xfId="0" applyFont="1" applyFill="1" applyBorder="1" applyAlignment="1">
      <alignment horizontal="left" vertical="center" wrapText="1" readingOrder="1"/>
    </xf>
    <xf numFmtId="4" fontId="45" fillId="24" borderId="29" xfId="0" applyNumberFormat="1" applyFont="1" applyFill="1" applyBorder="1" applyAlignment="1">
      <alignment horizontal="right" vertical="center" wrapText="1" indent="1" readingOrder="1"/>
    </xf>
    <xf numFmtId="0" fontId="45" fillId="25" borderId="30" xfId="0" applyFont="1" applyFill="1" applyBorder="1" applyAlignment="1">
      <alignment horizontal="left" vertical="center" wrapText="1" readingOrder="1"/>
    </xf>
    <xf numFmtId="4" fontId="45" fillId="25" borderId="30" xfId="0" applyNumberFormat="1" applyFont="1" applyFill="1" applyBorder="1" applyAlignment="1">
      <alignment horizontal="right" vertical="center" wrapText="1" indent="1" readingOrder="1"/>
    </xf>
    <xf numFmtId="0" fontId="45" fillId="24" borderId="30" xfId="0" applyFont="1" applyFill="1" applyBorder="1" applyAlignment="1">
      <alignment horizontal="left" vertical="center" wrapText="1" readingOrder="1"/>
    </xf>
    <xf numFmtId="4" fontId="45" fillId="24" borderId="30" xfId="0" applyNumberFormat="1" applyFont="1" applyFill="1" applyBorder="1" applyAlignment="1">
      <alignment horizontal="right" vertical="center" wrapText="1" indent="1" readingOrder="1"/>
    </xf>
    <xf numFmtId="0" fontId="41" fillId="24" borderId="30" xfId="0" applyFont="1" applyFill="1" applyBorder="1" applyAlignment="1">
      <alignment horizontal="center" vertical="center" wrapText="1" readingOrder="1"/>
    </xf>
    <xf numFmtId="43" fontId="0" fillId="0" borderId="0" xfId="0" applyNumberFormat="1"/>
    <xf numFmtId="4" fontId="46" fillId="25" borderId="30" xfId="0" applyNumberFormat="1" applyFont="1" applyFill="1" applyBorder="1" applyAlignment="1">
      <alignment horizontal="right" vertical="center" wrapText="1"/>
    </xf>
    <xf numFmtId="4" fontId="45" fillId="24" borderId="29" xfId="0" applyNumberFormat="1" applyFont="1" applyFill="1" applyBorder="1" applyAlignment="1">
      <alignment horizontal="right" vertical="center" wrapText="1" readingOrder="1"/>
    </xf>
    <xf numFmtId="4" fontId="47" fillId="24" borderId="29" xfId="0" applyNumberFormat="1" applyFont="1" applyFill="1" applyBorder="1" applyAlignment="1">
      <alignment horizontal="right" vertical="center" wrapText="1" readingOrder="1"/>
    </xf>
    <xf numFmtId="4" fontId="45" fillId="25" borderId="30" xfId="0" applyNumberFormat="1" applyFont="1" applyFill="1" applyBorder="1" applyAlignment="1">
      <alignment horizontal="right" vertical="center" wrapText="1" readingOrder="1"/>
    </xf>
    <xf numFmtId="4" fontId="47" fillId="25" borderId="30" xfId="0" applyNumberFormat="1" applyFont="1" applyFill="1" applyBorder="1" applyAlignment="1">
      <alignment horizontal="right" vertical="center" wrapText="1" readingOrder="1"/>
    </xf>
    <xf numFmtId="4" fontId="45" fillId="24" borderId="30" xfId="0" applyNumberFormat="1" applyFont="1" applyFill="1" applyBorder="1" applyAlignment="1">
      <alignment horizontal="right" vertical="center" wrapText="1" readingOrder="1"/>
    </xf>
    <xf numFmtId="4" fontId="47" fillId="24" borderId="30" xfId="0" applyNumberFormat="1" applyFont="1" applyFill="1" applyBorder="1" applyAlignment="1">
      <alignment horizontal="right" vertical="center" wrapText="1" readingOrder="1"/>
    </xf>
    <xf numFmtId="43" fontId="47" fillId="24" borderId="30" xfId="3" applyFont="1" applyFill="1" applyBorder="1" applyAlignment="1">
      <alignment horizontal="right" vertical="center" wrapText="1" readingOrder="1"/>
    </xf>
    <xf numFmtId="0" fontId="41" fillId="25" borderId="30" xfId="0" applyFont="1" applyFill="1" applyBorder="1" applyAlignment="1">
      <alignment horizontal="left" vertical="center" wrapText="1" readingOrder="1"/>
    </xf>
    <xf numFmtId="0" fontId="41" fillId="25" borderId="30" xfId="0" applyFont="1" applyFill="1" applyBorder="1" applyAlignment="1">
      <alignment horizontal="center" vertical="center" wrapText="1" readingOrder="1"/>
    </xf>
    <xf numFmtId="10" fontId="0" fillId="0" borderId="0" xfId="2" applyNumberFormat="1" applyFont="1"/>
    <xf numFmtId="0" fontId="41" fillId="24" borderId="29" xfId="0" applyFont="1" applyFill="1" applyBorder="1" applyAlignment="1">
      <alignment horizontal="center" vertical="center" wrapText="1" readingOrder="1"/>
    </xf>
    <xf numFmtId="0" fontId="41" fillId="24" borderId="29" xfId="0" applyFont="1" applyFill="1" applyBorder="1" applyAlignment="1">
      <alignment horizontal="left" vertical="center" wrapText="1" indent="2" readingOrder="1"/>
    </xf>
    <xf numFmtId="4" fontId="47" fillId="25" borderId="30" xfId="0" applyNumberFormat="1" applyFont="1" applyFill="1" applyBorder="1" applyAlignment="1">
      <alignment horizontal="center" vertical="center" wrapText="1" readingOrder="1"/>
    </xf>
    <xf numFmtId="4" fontId="47" fillId="24" borderId="30" xfId="0" applyNumberFormat="1" applyFont="1" applyFill="1" applyBorder="1" applyAlignment="1">
      <alignment horizontal="center" vertical="center" wrapText="1" readingOrder="1"/>
    </xf>
    <xf numFmtId="0" fontId="38" fillId="24" borderId="30" xfId="0" applyFont="1" applyFill="1" applyBorder="1" applyAlignment="1">
      <alignment horizontal="center" vertical="center" wrapText="1"/>
    </xf>
    <xf numFmtId="0" fontId="41" fillId="25" borderId="30" xfId="0" applyFont="1" applyFill="1" applyBorder="1" applyAlignment="1">
      <alignment horizontal="left" vertical="center" wrapText="1" indent="1" readingOrder="1"/>
    </xf>
    <xf numFmtId="10" fontId="41" fillId="25" borderId="30" xfId="0" applyNumberFormat="1" applyFont="1" applyFill="1" applyBorder="1" applyAlignment="1">
      <alignment horizontal="center" vertical="center" wrapText="1" readingOrder="1"/>
    </xf>
    <xf numFmtId="0" fontId="45" fillId="24" borderId="30" xfId="0" applyFont="1" applyFill="1" applyBorder="1" applyAlignment="1">
      <alignment horizontal="left" vertical="center" wrapText="1" indent="1" readingOrder="1"/>
    </xf>
    <xf numFmtId="10" fontId="40" fillId="24" borderId="30" xfId="0" applyNumberFormat="1" applyFont="1" applyFill="1" applyBorder="1" applyAlignment="1">
      <alignment horizontal="center" vertical="center" wrapText="1" readingOrder="1"/>
    </xf>
    <xf numFmtId="0" fontId="45" fillId="25" borderId="30" xfId="0" applyFont="1" applyFill="1" applyBorder="1" applyAlignment="1">
      <alignment horizontal="left" vertical="center" wrapText="1" indent="1" readingOrder="1"/>
    </xf>
    <xf numFmtId="10" fontId="40" fillId="25" borderId="30" xfId="0" applyNumberFormat="1" applyFont="1" applyFill="1" applyBorder="1" applyAlignment="1">
      <alignment horizontal="center" vertical="center" wrapText="1" readingOrder="1"/>
    </xf>
    <xf numFmtId="10" fontId="41" fillId="24" borderId="30" xfId="0" applyNumberFormat="1" applyFont="1" applyFill="1" applyBorder="1" applyAlignment="1">
      <alignment horizontal="center" vertical="center" wrapText="1" readingOrder="1"/>
    </xf>
    <xf numFmtId="0" fontId="50" fillId="24" borderId="30" xfId="0" applyFont="1" applyFill="1" applyBorder="1" applyAlignment="1">
      <alignment horizontal="left" vertical="center" wrapText="1" indent="1" readingOrder="1"/>
    </xf>
    <xf numFmtId="0" fontId="50" fillId="25" borderId="30" xfId="0" applyFont="1" applyFill="1" applyBorder="1" applyAlignment="1">
      <alignment horizontal="left" vertical="center" wrapText="1" indent="1" readingOrder="1"/>
    </xf>
    <xf numFmtId="0" fontId="47" fillId="24" borderId="30" xfId="0" applyFont="1" applyFill="1" applyBorder="1" applyAlignment="1">
      <alignment horizontal="center" vertical="center" wrapText="1" readingOrder="1"/>
    </xf>
    <xf numFmtId="0" fontId="23" fillId="5" borderId="1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left" vertical="top" wrapText="1"/>
    </xf>
    <xf numFmtId="43" fontId="23" fillId="0" borderId="7" xfId="3" applyFont="1" applyFill="1" applyBorder="1"/>
    <xf numFmtId="0" fontId="13" fillId="0" borderId="27" xfId="0" applyFont="1" applyBorder="1" applyAlignment="1">
      <alignment vertical="center"/>
    </xf>
    <xf numFmtId="43" fontId="11" fillId="0" borderId="7" xfId="3" applyFont="1" applyFill="1" applyBorder="1"/>
    <xf numFmtId="0" fontId="23" fillId="0" borderId="7" xfId="0" applyFont="1" applyBorder="1" applyAlignment="1">
      <alignment horizontal="center"/>
    </xf>
    <xf numFmtId="43" fontId="24" fillId="0" borderId="0" xfId="3" applyFont="1" applyFill="1"/>
    <xf numFmtId="0" fontId="14" fillId="10" borderId="7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3" fillId="10" borderId="7" xfId="0" applyFont="1" applyFill="1" applyBorder="1"/>
    <xf numFmtId="0" fontId="24" fillId="0" borderId="7" xfId="0" applyFont="1" applyBorder="1" applyAlignment="1">
      <alignment horizontal="left" vertical="top"/>
    </xf>
    <xf numFmtId="0" fontId="24" fillId="14" borderId="7" xfId="0" applyFont="1" applyFill="1" applyBorder="1"/>
    <xf numFmtId="0" fontId="23" fillId="15" borderId="7" xfId="0" applyFont="1" applyFill="1" applyBorder="1"/>
    <xf numFmtId="43" fontId="23" fillId="15" borderId="7" xfId="3" applyFont="1" applyFill="1" applyBorder="1"/>
    <xf numFmtId="43" fontId="23" fillId="19" borderId="7" xfId="3" applyFont="1" applyFill="1" applyBorder="1"/>
    <xf numFmtId="0" fontId="23" fillId="19" borderId="7" xfId="0" applyFont="1" applyFill="1" applyBorder="1"/>
    <xf numFmtId="43" fontId="23" fillId="19" borderId="7" xfId="0" applyNumberFormat="1" applyFont="1" applyFill="1" applyBorder="1"/>
    <xf numFmtId="0" fontId="23" fillId="0" borderId="7" xfId="0" applyFont="1" applyBorder="1" applyAlignment="1">
      <alignment wrapText="1"/>
    </xf>
    <xf numFmtId="0" fontId="24" fillId="0" borderId="7" xfId="0" applyFont="1" applyBorder="1" applyAlignment="1">
      <alignment wrapText="1"/>
    </xf>
    <xf numFmtId="43" fontId="13" fillId="0" borderId="7" xfId="3" applyFont="1" applyFill="1" applyBorder="1"/>
    <xf numFmtId="43" fontId="13" fillId="20" borderId="7" xfId="3" applyFont="1" applyFill="1" applyBorder="1"/>
    <xf numFmtId="43" fontId="20" fillId="0" borderId="7" xfId="3" applyFont="1" applyBorder="1" applyAlignment="1">
      <alignment horizontal="right" vertical="center" wrapText="1" readingOrder="1"/>
    </xf>
    <xf numFmtId="43" fontId="21" fillId="13" borderId="0" xfId="3" applyFont="1" applyFill="1" applyAlignment="1">
      <alignment horizontal="right" vertical="center" wrapText="1" readingOrder="1"/>
    </xf>
    <xf numFmtId="43" fontId="13" fillId="0" borderId="11" xfId="3" applyFont="1" applyFill="1" applyBorder="1"/>
    <xf numFmtId="4" fontId="13" fillId="0" borderId="0" xfId="0" applyNumberFormat="1" applyFont="1"/>
    <xf numFmtId="0" fontId="13" fillId="0" borderId="0" xfId="0" applyFont="1" applyAlignment="1">
      <alignment horizontal="center"/>
    </xf>
    <xf numFmtId="10" fontId="2" fillId="7" borderId="18" xfId="2" applyNumberFormat="1" applyFont="1" applyFill="1" applyBorder="1"/>
    <xf numFmtId="164" fontId="0" fillId="0" borderId="0" xfId="0" applyNumberFormat="1"/>
    <xf numFmtId="4" fontId="0" fillId="26" borderId="7" xfId="0" applyNumberFormat="1" applyFill="1" applyBorder="1"/>
    <xf numFmtId="17" fontId="10" fillId="3" borderId="7" xfId="0" applyNumberFormat="1" applyFont="1" applyFill="1" applyBorder="1" applyAlignment="1">
      <alignment horizontal="center"/>
    </xf>
    <xf numFmtId="43" fontId="9" fillId="7" borderId="7" xfId="3" applyFont="1" applyFill="1" applyBorder="1"/>
    <xf numFmtId="43" fontId="9" fillId="16" borderId="7" xfId="3" applyFont="1" applyFill="1" applyBorder="1" applyAlignment="1">
      <alignment horizontal="center"/>
    </xf>
    <xf numFmtId="0" fontId="3" fillId="0" borderId="7" xfId="0" applyFont="1" applyBorder="1"/>
    <xf numFmtId="4" fontId="8" fillId="7" borderId="22" xfId="3" applyNumberFormat="1" applyFont="1" applyFill="1" applyBorder="1" applyAlignment="1" applyProtection="1">
      <alignment vertical="center" wrapText="1"/>
      <protection locked="0"/>
    </xf>
    <xf numFmtId="4" fontId="8" fillId="7" borderId="0" xfId="3" applyNumberFormat="1" applyFont="1" applyFill="1" applyBorder="1" applyAlignment="1" applyProtection="1">
      <alignment vertical="center" wrapText="1"/>
      <protection locked="0"/>
    </xf>
    <xf numFmtId="4" fontId="10" fillId="0" borderId="0" xfId="3" applyNumberFormat="1" applyFont="1" applyFill="1" applyBorder="1" applyAlignment="1" applyProtection="1">
      <alignment horizontal="center" vertical="center"/>
      <protection locked="0"/>
    </xf>
    <xf numFmtId="0" fontId="24" fillId="0" borderId="7" xfId="0" applyFont="1" applyBorder="1" applyAlignment="1">
      <alignment horizontal="left" indent="1"/>
    </xf>
    <xf numFmtId="43" fontId="24" fillId="0" borderId="7" xfId="3" applyFont="1" applyBorder="1" applyAlignment="1">
      <alignment horizontal="center"/>
    </xf>
    <xf numFmtId="44" fontId="24" fillId="0" borderId="7" xfId="1" applyFont="1" applyBorder="1"/>
    <xf numFmtId="10" fontId="24" fillId="0" borderId="7" xfId="0" applyNumberFormat="1" applyFont="1" applyBorder="1" applyAlignment="1">
      <alignment horizontal="center"/>
    </xf>
    <xf numFmtId="0" fontId="2" fillId="0" borderId="19" xfId="0" applyFont="1" applyBorder="1"/>
    <xf numFmtId="164" fontId="2" fillId="0" borderId="25" xfId="0" applyNumberFormat="1" applyFont="1" applyBorder="1"/>
    <xf numFmtId="0" fontId="0" fillId="0" borderId="7" xfId="0" applyBorder="1"/>
    <xf numFmtId="10" fontId="0" fillId="0" borderId="7" xfId="2" applyNumberFormat="1" applyFont="1" applyBorder="1"/>
    <xf numFmtId="0" fontId="13" fillId="5" borderId="8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43" fontId="24" fillId="0" borderId="7" xfId="3" applyFont="1" applyBorder="1" applyAlignment="1"/>
    <xf numFmtId="44" fontId="24" fillId="0" borderId="7" xfId="1" applyFont="1" applyBorder="1" applyAlignment="1">
      <alignment horizontal="center"/>
    </xf>
    <xf numFmtId="43" fontId="52" fillId="23" borderId="28" xfId="3" applyFont="1" applyFill="1" applyBorder="1" applyAlignment="1">
      <alignment horizontal="right" vertical="center" wrapText="1" indent="1" readingOrder="1"/>
    </xf>
    <xf numFmtId="43" fontId="2" fillId="0" borderId="7" xfId="3" applyFont="1" applyBorder="1"/>
    <xf numFmtId="4" fontId="0" fillId="0" borderId="7" xfId="0" applyNumberFormat="1" applyBorder="1"/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2" fillId="0" borderId="0" xfId="3" applyFont="1" applyBorder="1"/>
    <xf numFmtId="0" fontId="0" fillId="0" borderId="7" xfId="0" applyBorder="1" applyAlignment="1">
      <alignment wrapText="1"/>
    </xf>
    <xf numFmtId="0" fontId="53" fillId="25" borderId="30" xfId="0" applyFont="1" applyFill="1" applyBorder="1" applyAlignment="1">
      <alignment horizontal="left" vertical="center" wrapText="1" indent="1"/>
    </xf>
    <xf numFmtId="9" fontId="41" fillId="25" borderId="30" xfId="0" applyNumberFormat="1" applyFont="1" applyFill="1" applyBorder="1" applyAlignment="1">
      <alignment horizontal="center" vertical="center" wrapText="1" readingOrder="1"/>
    </xf>
    <xf numFmtId="9" fontId="41" fillId="24" borderId="30" xfId="0" applyNumberFormat="1" applyFont="1" applyFill="1" applyBorder="1" applyAlignment="1">
      <alignment horizontal="center" vertical="center" wrapText="1" readingOrder="1"/>
    </xf>
    <xf numFmtId="0" fontId="41" fillId="0" borderId="0" xfId="0" applyFont="1" applyAlignment="1">
      <alignment horizontal="left" vertical="center" wrapText="1" indent="1" readingOrder="1"/>
    </xf>
    <xf numFmtId="4" fontId="47" fillId="0" borderId="0" xfId="0" applyNumberFormat="1" applyFont="1" applyAlignment="1">
      <alignment horizontal="center" vertical="center" wrapText="1" readingOrder="1"/>
    </xf>
    <xf numFmtId="10" fontId="41" fillId="0" borderId="0" xfId="0" applyNumberFormat="1" applyFont="1" applyAlignment="1">
      <alignment horizontal="center" vertical="center" wrapText="1" readingOrder="1"/>
    </xf>
    <xf numFmtId="0" fontId="8" fillId="0" borderId="7" xfId="0" applyFont="1" applyBorder="1" applyAlignment="1">
      <alignment horizontal="center" vertical="center" wrapText="1"/>
    </xf>
    <xf numFmtId="9" fontId="8" fillId="0" borderId="7" xfId="2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3" fontId="14" fillId="0" borderId="0" xfId="3" applyFont="1" applyFill="1" applyBorder="1" applyAlignment="1">
      <alignment horizontal="right" vertical="center"/>
    </xf>
    <xf numFmtId="43" fontId="14" fillId="0" borderId="7" xfId="3" applyFont="1" applyFill="1" applyBorder="1" applyAlignment="1">
      <alignment horizontal="right" vertical="center"/>
    </xf>
    <xf numFmtId="9" fontId="14" fillId="0" borderId="7" xfId="2" applyFont="1" applyFill="1" applyBorder="1" applyAlignment="1">
      <alignment horizontal="center" vertical="center"/>
    </xf>
    <xf numFmtId="0" fontId="14" fillId="0" borderId="7" xfId="0" applyFont="1" applyBorder="1"/>
    <xf numFmtId="0" fontId="14" fillId="0" borderId="0" xfId="0" applyFont="1"/>
    <xf numFmtId="1" fontId="14" fillId="0" borderId="7" xfId="0" applyNumberFormat="1" applyFont="1" applyBorder="1" applyAlignment="1">
      <alignment horizontal="right" vertical="top" shrinkToFit="1"/>
    </xf>
    <xf numFmtId="43" fontId="14" fillId="0" borderId="7" xfId="3" applyFont="1" applyFill="1" applyBorder="1" applyAlignment="1">
      <alignment horizontal="right" vertical="center" wrapText="1"/>
    </xf>
    <xf numFmtId="43" fontId="57" fillId="0" borderId="7" xfId="3" applyFont="1" applyFill="1" applyBorder="1" applyAlignment="1">
      <alignment horizontal="right" vertical="center" shrinkToFit="1"/>
    </xf>
    <xf numFmtId="9" fontId="4" fillId="28" borderId="7" xfId="14" applyNumberFormat="1" applyFont="1" applyBorder="1" applyAlignment="1">
      <alignment horizontal="center" vertical="center" wrapText="1"/>
    </xf>
    <xf numFmtId="43" fontId="14" fillId="0" borderId="7" xfId="0" applyNumberFormat="1" applyFont="1" applyBorder="1" applyAlignment="1">
      <alignment vertical="center"/>
    </xf>
    <xf numFmtId="4" fontId="14" fillId="0" borderId="7" xfId="0" applyNumberFormat="1" applyFont="1" applyBorder="1"/>
    <xf numFmtId="43" fontId="8" fillId="0" borderId="7" xfId="3" applyFont="1" applyFill="1" applyBorder="1" applyAlignment="1">
      <alignment horizontal="right" vertical="center"/>
    </xf>
    <xf numFmtId="43" fontId="8" fillId="0" borderId="7" xfId="3" applyFont="1" applyFill="1" applyBorder="1"/>
    <xf numFmtId="9" fontId="56" fillId="28" borderId="7" xfId="14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top" wrapText="1"/>
    </xf>
    <xf numFmtId="0" fontId="8" fillId="0" borderId="0" xfId="0" applyFont="1"/>
    <xf numFmtId="43" fontId="8" fillId="0" borderId="7" xfId="0" applyNumberFormat="1" applyFont="1" applyBorder="1" applyAlignment="1">
      <alignment vertical="center"/>
    </xf>
    <xf numFmtId="43" fontId="14" fillId="0" borderId="7" xfId="3" applyFont="1" applyFill="1" applyBorder="1" applyAlignment="1">
      <alignment horizontal="right" vertical="center" shrinkToFit="1"/>
    </xf>
    <xf numFmtId="9" fontId="14" fillId="0" borderId="0" xfId="2" applyFont="1" applyFill="1" applyBorder="1" applyAlignment="1">
      <alignment horizontal="center" vertical="center"/>
    </xf>
    <xf numFmtId="9" fontId="56" fillId="27" borderId="48" xfId="13" applyNumberFormat="1" applyFont="1" applyAlignment="1">
      <alignment horizontal="center" vertical="center" wrapText="1"/>
    </xf>
    <xf numFmtId="9" fontId="56" fillId="27" borderId="48" xfId="13" applyNumberFormat="1" applyFont="1" applyAlignment="1">
      <alignment horizontal="center" vertical="center"/>
    </xf>
    <xf numFmtId="9" fontId="4" fillId="27" borderId="48" xfId="13" applyNumberFormat="1" applyFont="1" applyAlignment="1">
      <alignment horizontal="center" vertical="center"/>
    </xf>
    <xf numFmtId="43" fontId="8" fillId="0" borderId="7" xfId="3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9" fontId="56" fillId="0" borderId="48" xfId="13" applyNumberFormat="1" applyFont="1" applyFill="1" applyAlignment="1">
      <alignment horizontal="center" vertical="center"/>
    </xf>
    <xf numFmtId="9" fontId="56" fillId="0" borderId="7" xfId="14" applyNumberFormat="1" applyFont="1" applyFill="1" applyBorder="1" applyAlignment="1">
      <alignment horizontal="center" vertical="center" wrapText="1"/>
    </xf>
    <xf numFmtId="9" fontId="14" fillId="0" borderId="0" xfId="3" applyNumberFormat="1" applyFont="1" applyFill="1" applyBorder="1" applyAlignment="1">
      <alignment horizontal="right" vertical="center"/>
    </xf>
    <xf numFmtId="0" fontId="45" fillId="0" borderId="30" xfId="0" applyFont="1" applyBorder="1" applyAlignment="1">
      <alignment horizontal="left" vertical="center" wrapText="1" readingOrder="1"/>
    </xf>
    <xf numFmtId="4" fontId="45" fillId="0" borderId="30" xfId="0" applyNumberFormat="1" applyFont="1" applyBorder="1" applyAlignment="1">
      <alignment horizontal="right" vertical="center" wrapText="1" indent="1" readingOrder="1"/>
    </xf>
    <xf numFmtId="43" fontId="14" fillId="0" borderId="0" xfId="3" applyFont="1"/>
    <xf numFmtId="43" fontId="14" fillId="0" borderId="0" xfId="0" applyNumberFormat="1" applyFont="1"/>
    <xf numFmtId="10" fontId="7" fillId="0" borderId="7" xfId="0" applyNumberFormat="1" applyFont="1" applyBorder="1"/>
    <xf numFmtId="10" fontId="3" fillId="0" borderId="0" xfId="2" applyNumberFormat="1" applyFont="1"/>
    <xf numFmtId="4" fontId="58" fillId="0" borderId="7" xfId="0" applyNumberFormat="1" applyFont="1" applyBorder="1"/>
    <xf numFmtId="43" fontId="10" fillId="21" borderId="7" xfId="3" applyFont="1" applyFill="1" applyBorder="1" applyAlignment="1">
      <alignment horizontal="center"/>
    </xf>
    <xf numFmtId="10" fontId="14" fillId="0" borderId="7" xfId="2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43" fontId="2" fillId="0" borderId="7" xfId="3" applyFont="1" applyBorder="1" applyAlignment="1">
      <alignment horizontal="center" vertical="center" wrapText="1"/>
    </xf>
    <xf numFmtId="43" fontId="0" fillId="0" borderId="0" xfId="3" applyFont="1" applyBorder="1"/>
    <xf numFmtId="43" fontId="2" fillId="0" borderId="7" xfId="3" applyFont="1" applyFill="1" applyBorder="1" applyAlignment="1">
      <alignment horizontal="center" vertical="center" wrapText="1"/>
    </xf>
    <xf numFmtId="0" fontId="0" fillId="0" borderId="10" xfId="0" applyBorder="1"/>
    <xf numFmtId="43" fontId="0" fillId="0" borderId="10" xfId="3" applyFont="1" applyBorder="1"/>
    <xf numFmtId="0" fontId="0" fillId="0" borderId="11" xfId="0" applyBorder="1"/>
    <xf numFmtId="43" fontId="0" fillId="0" borderId="33" xfId="3" applyFont="1" applyBorder="1"/>
    <xf numFmtId="43" fontId="5" fillId="0" borderId="7" xfId="3" applyFont="1" applyFill="1" applyBorder="1" applyAlignment="1">
      <alignment horizontal="center" vertical="center" wrapText="1"/>
    </xf>
    <xf numFmtId="43" fontId="5" fillId="0" borderId="0" xfId="3" applyFont="1"/>
    <xf numFmtId="0" fontId="2" fillId="5" borderId="7" xfId="0" applyFont="1" applyFill="1" applyBorder="1"/>
    <xf numFmtId="4" fontId="2" fillId="5" borderId="7" xfId="0" applyNumberFormat="1" applyFont="1" applyFill="1" applyBorder="1"/>
    <xf numFmtId="43" fontId="1" fillId="5" borderId="7" xfId="3" applyFont="1" applyFill="1" applyBorder="1"/>
    <xf numFmtId="43" fontId="5" fillId="5" borderId="7" xfId="3" applyFont="1" applyFill="1" applyBorder="1"/>
    <xf numFmtId="43" fontId="0" fillId="5" borderId="7" xfId="3" applyFont="1" applyFill="1" applyBorder="1"/>
    <xf numFmtId="0" fontId="5" fillId="5" borderId="7" xfId="0" applyFont="1" applyFill="1" applyBorder="1" applyAlignment="1">
      <alignment horizontal="center" vertical="center"/>
    </xf>
    <xf numFmtId="4" fontId="5" fillId="5" borderId="7" xfId="0" applyNumberFormat="1" applyFont="1" applyFill="1" applyBorder="1"/>
    <xf numFmtId="43" fontId="3" fillId="5" borderId="7" xfId="3" applyFont="1" applyFill="1" applyBorder="1"/>
    <xf numFmtId="0" fontId="3" fillId="0" borderId="10" xfId="0" applyFont="1" applyBorder="1"/>
    <xf numFmtId="4" fontId="3" fillId="0" borderId="7" xfId="0" applyNumberFormat="1" applyFont="1" applyBorder="1"/>
    <xf numFmtId="43" fontId="3" fillId="0" borderId="50" xfId="3" applyFont="1" applyBorder="1" applyAlignment="1"/>
    <xf numFmtId="43" fontId="3" fillId="0" borderId="0" xfId="3" applyFont="1" applyBorder="1" applyAlignment="1"/>
    <xf numFmtId="43" fontId="3" fillId="0" borderId="24" xfId="3" applyFont="1" applyBorder="1" applyAlignment="1"/>
    <xf numFmtId="0" fontId="3" fillId="0" borderId="11" xfId="0" applyFont="1" applyBorder="1"/>
    <xf numFmtId="0" fontId="5" fillId="5" borderId="7" xfId="0" applyFont="1" applyFill="1" applyBorder="1"/>
    <xf numFmtId="43" fontId="5" fillId="5" borderId="9" xfId="3" applyFont="1" applyFill="1" applyBorder="1" applyAlignment="1"/>
    <xf numFmtId="43" fontId="60" fillId="0" borderId="0" xfId="3" applyFont="1"/>
    <xf numFmtId="43" fontId="60" fillId="0" borderId="52" xfId="3" applyFont="1" applyBorder="1" applyAlignment="1"/>
    <xf numFmtId="43" fontId="60" fillId="0" borderId="53" xfId="3" applyFont="1" applyBorder="1" applyAlignment="1"/>
    <xf numFmtId="43" fontId="60" fillId="0" borderId="55" xfId="3" applyFont="1" applyBorder="1" applyAlignment="1"/>
    <xf numFmtId="43" fontId="59" fillId="5" borderId="7" xfId="3" applyFont="1" applyFill="1" applyBorder="1"/>
    <xf numFmtId="43" fontId="59" fillId="0" borderId="0" xfId="3" applyFont="1"/>
    <xf numFmtId="0" fontId="60" fillId="0" borderId="0" xfId="0" applyFont="1"/>
    <xf numFmtId="0" fontId="59" fillId="5" borderId="7" xfId="0" applyFont="1" applyFill="1" applyBorder="1" applyAlignment="1">
      <alignment horizontal="center" vertical="center"/>
    </xf>
    <xf numFmtId="4" fontId="59" fillId="5" borderId="7" xfId="0" applyNumberFormat="1" applyFont="1" applyFill="1" applyBorder="1"/>
    <xf numFmtId="43" fontId="59" fillId="5" borderId="7" xfId="3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vertical="center" wrapText="1"/>
    </xf>
    <xf numFmtId="43" fontId="5" fillId="5" borderId="7" xfId="3" applyFont="1" applyFill="1" applyBorder="1" applyAlignment="1">
      <alignment horizontal="center" vertical="center" wrapText="1"/>
    </xf>
    <xf numFmtId="43" fontId="59" fillId="5" borderId="7" xfId="3" applyFont="1" applyFill="1" applyBorder="1" applyAlignment="1">
      <alignment horizontal="center" vertical="center" wrapText="1"/>
    </xf>
    <xf numFmtId="17" fontId="10" fillId="15" borderId="7" xfId="0" applyNumberFormat="1" applyFont="1" applyFill="1" applyBorder="1" applyAlignment="1">
      <alignment horizontal="center"/>
    </xf>
    <xf numFmtId="0" fontId="61" fillId="25" borderId="56" xfId="0" applyFont="1" applyFill="1" applyBorder="1" applyAlignment="1">
      <alignment horizontal="left" vertical="center" wrapText="1" readingOrder="1"/>
    </xf>
    <xf numFmtId="0" fontId="61" fillId="25" borderId="30" xfId="0" applyFont="1" applyFill="1" applyBorder="1" applyAlignment="1">
      <alignment horizontal="left" vertical="center" wrapText="1" readingOrder="1"/>
    </xf>
    <xf numFmtId="0" fontId="62" fillId="24" borderId="30" xfId="0" applyFont="1" applyFill="1" applyBorder="1" applyAlignment="1">
      <alignment horizontal="center" vertical="center" wrapText="1" readingOrder="1"/>
    </xf>
    <xf numFmtId="167" fontId="24" fillId="0" borderId="7" xfId="0" applyNumberFormat="1" applyFont="1" applyBorder="1" applyAlignment="1">
      <alignment horizontal="center"/>
    </xf>
    <xf numFmtId="167" fontId="24" fillId="0" borderId="7" xfId="2" applyNumberFormat="1" applyFont="1" applyBorder="1" applyAlignment="1">
      <alignment horizontal="center"/>
    </xf>
    <xf numFmtId="167" fontId="58" fillId="0" borderId="7" xfId="2" applyNumberFormat="1" applyFont="1" applyFill="1" applyBorder="1" applyAlignment="1">
      <alignment horizontal="center"/>
    </xf>
    <xf numFmtId="167" fontId="14" fillId="0" borderId="7" xfId="2" applyNumberFormat="1" applyFont="1" applyFill="1" applyBorder="1" applyAlignment="1">
      <alignment horizontal="center"/>
    </xf>
    <xf numFmtId="167" fontId="58" fillId="0" borderId="7" xfId="0" applyNumberFormat="1" applyFont="1" applyBorder="1" applyAlignment="1">
      <alignment horizontal="center"/>
    </xf>
    <xf numFmtId="167" fontId="58" fillId="0" borderId="7" xfId="2" applyNumberFormat="1" applyFont="1" applyBorder="1" applyAlignment="1">
      <alignment horizontal="center"/>
    </xf>
    <xf numFmtId="43" fontId="9" fillId="29" borderId="7" xfId="3" applyFont="1" applyFill="1" applyBorder="1" applyAlignment="1">
      <alignment horizontal="center"/>
    </xf>
    <xf numFmtId="44" fontId="24" fillId="0" borderId="7" xfId="0" applyNumberFormat="1" applyFont="1" applyBorder="1" applyAlignment="1">
      <alignment horizontal="center" vertical="center"/>
    </xf>
    <xf numFmtId="43" fontId="58" fillId="0" borderId="7" xfId="3" applyFont="1" applyBorder="1" applyAlignment="1">
      <alignment horizontal="center" vertical="center"/>
    </xf>
    <xf numFmtId="43" fontId="58" fillId="0" borderId="7" xfId="3" applyFont="1" applyBorder="1" applyAlignment="1">
      <alignment horizontal="right"/>
    </xf>
    <xf numFmtId="0" fontId="24" fillId="0" borderId="8" xfId="0" applyFont="1" applyBorder="1" applyAlignment="1">
      <alignment horizontal="left" vertical="center"/>
    </xf>
    <xf numFmtId="4" fontId="19" fillId="0" borderId="0" xfId="0" applyNumberFormat="1" applyFont="1"/>
    <xf numFmtId="43" fontId="24" fillId="30" borderId="7" xfId="3" applyFont="1" applyFill="1" applyBorder="1"/>
    <xf numFmtId="44" fontId="24" fillId="0" borderId="0" xfId="0" applyNumberFormat="1" applyFont="1"/>
    <xf numFmtId="9" fontId="3" fillId="0" borderId="0" xfId="2" applyFont="1"/>
    <xf numFmtId="43" fontId="24" fillId="31" borderId="7" xfId="3" applyFont="1" applyFill="1" applyBorder="1"/>
    <xf numFmtId="0" fontId="11" fillId="0" borderId="7" xfId="0" applyFont="1" applyBorder="1" applyAlignment="1">
      <alignment horizontal="center"/>
    </xf>
    <xf numFmtId="0" fontId="13" fillId="16" borderId="8" xfId="0" applyFont="1" applyFill="1" applyBorder="1" applyAlignment="1">
      <alignment horizontal="center" wrapText="1"/>
    </xf>
    <xf numFmtId="0" fontId="13" fillId="16" borderId="9" xfId="0" applyFont="1" applyFill="1" applyBorder="1" applyAlignment="1">
      <alignment horizontal="center" wrapText="1"/>
    </xf>
    <xf numFmtId="0" fontId="13" fillId="22" borderId="7" xfId="0" applyFont="1" applyFill="1" applyBorder="1" applyAlignment="1">
      <alignment horizontal="center"/>
    </xf>
    <xf numFmtId="43" fontId="9" fillId="0" borderId="0" xfId="3" applyFont="1" applyAlignment="1">
      <alignment horizontal="center"/>
    </xf>
    <xf numFmtId="43" fontId="13" fillId="0" borderId="7" xfId="1" applyNumberFormat="1" applyFont="1" applyBorder="1" applyAlignment="1">
      <alignment vertical="center" wrapText="1"/>
    </xf>
    <xf numFmtId="44" fontId="13" fillId="0" borderId="10" xfId="1" quotePrefix="1" applyFont="1" applyBorder="1"/>
    <xf numFmtId="43" fontId="13" fillId="0" borderId="7" xfId="1" applyNumberFormat="1" applyFont="1" applyBorder="1"/>
    <xf numFmtId="43" fontId="11" fillId="0" borderId="7" xfId="0" applyNumberFormat="1" applyFont="1" applyBorder="1"/>
    <xf numFmtId="0" fontId="13" fillId="16" borderId="8" xfId="0" applyFont="1" applyFill="1" applyBorder="1" applyAlignment="1">
      <alignment horizontal="center" wrapText="1"/>
    </xf>
    <xf numFmtId="0" fontId="13" fillId="16" borderId="12" xfId="0" applyFont="1" applyFill="1" applyBorder="1" applyAlignment="1">
      <alignment horizontal="center" wrapText="1"/>
    </xf>
    <xf numFmtId="0" fontId="13" fillId="16" borderId="9" xfId="0" applyFont="1" applyFill="1" applyBorder="1" applyAlignment="1">
      <alignment horizontal="center" wrapText="1"/>
    </xf>
    <xf numFmtId="0" fontId="13" fillId="22" borderId="8" xfId="0" applyFont="1" applyFill="1" applyBorder="1" applyAlignment="1">
      <alignment horizontal="center"/>
    </xf>
    <xf numFmtId="0" fontId="13" fillId="22" borderId="9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1" fillId="0" borderId="8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4" fontId="11" fillId="0" borderId="10" xfId="0" applyNumberFormat="1" applyFont="1" applyBorder="1" applyAlignment="1">
      <alignment horizontal="center" vertical="center"/>
    </xf>
    <xf numFmtId="4" fontId="11" fillId="0" borderId="33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43" fontId="9" fillId="0" borderId="0" xfId="3" applyFont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0" fontId="37" fillId="15" borderId="8" xfId="0" applyFont="1" applyFill="1" applyBorder="1" applyAlignment="1">
      <alignment horizontal="center"/>
    </xf>
    <xf numFmtId="0" fontId="37" fillId="15" borderId="12" xfId="0" applyFont="1" applyFill="1" applyBorder="1" applyAlignment="1">
      <alignment horizontal="center"/>
    </xf>
    <xf numFmtId="0" fontId="37" fillId="15" borderId="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7" fillId="15" borderId="50" xfId="0" applyFont="1" applyFill="1" applyBorder="1" applyAlignment="1">
      <alignment horizontal="center" wrapText="1"/>
    </xf>
    <xf numFmtId="0" fontId="37" fillId="15" borderId="0" xfId="0" applyFont="1" applyFill="1" applyBorder="1" applyAlignment="1">
      <alignment horizontal="center" wrapText="1"/>
    </xf>
    <xf numFmtId="43" fontId="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51" fillId="9" borderId="7" xfId="0" applyFont="1" applyFill="1" applyBorder="1" applyAlignment="1">
      <alignment horizontal="center"/>
    </xf>
    <xf numFmtId="0" fontId="13" fillId="4" borderId="13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34" fillId="17" borderId="23" xfId="0" applyFont="1" applyFill="1" applyBorder="1" applyAlignment="1">
      <alignment horizontal="center" vertical="center"/>
    </xf>
    <xf numFmtId="0" fontId="34" fillId="17" borderId="20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0" fontId="33" fillId="18" borderId="3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1" fillId="5" borderId="13" xfId="0" applyFont="1" applyFill="1" applyBorder="1" applyAlignment="1">
      <alignment horizontal="center" vertical="center"/>
    </xf>
    <xf numFmtId="0" fontId="31" fillId="5" borderId="14" xfId="0" applyFont="1" applyFill="1" applyBorder="1" applyAlignment="1">
      <alignment horizontal="center" vertical="center"/>
    </xf>
    <xf numFmtId="0" fontId="13" fillId="22" borderId="7" xfId="0" applyFont="1" applyFill="1" applyBorder="1" applyAlignment="1">
      <alignment horizontal="center"/>
    </xf>
    <xf numFmtId="0" fontId="24" fillId="0" borderId="7" xfId="0" applyFont="1" applyBorder="1" applyAlignment="1">
      <alignment horizontal="left"/>
    </xf>
    <xf numFmtId="0" fontId="24" fillId="0" borderId="8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24" fillId="0" borderId="8" xfId="0" applyFont="1" applyBorder="1" applyAlignment="1">
      <alignment horizontal="left" wrapText="1"/>
    </xf>
    <xf numFmtId="0" fontId="24" fillId="0" borderId="9" xfId="0" applyFont="1" applyBorder="1" applyAlignment="1">
      <alignment horizontal="left" wrapText="1"/>
    </xf>
    <xf numFmtId="0" fontId="13" fillId="5" borderId="7" xfId="0" applyFont="1" applyFill="1" applyBorder="1" applyAlignment="1">
      <alignment horizontal="center" vertical="center"/>
    </xf>
    <xf numFmtId="10" fontId="64" fillId="0" borderId="10" xfId="0" applyNumberFormat="1" applyFont="1" applyBorder="1" applyAlignment="1">
      <alignment horizontal="center" vertical="center"/>
    </xf>
    <xf numFmtId="10" fontId="64" fillId="0" borderId="33" xfId="0" applyNumberFormat="1" applyFont="1" applyBorder="1" applyAlignment="1">
      <alignment horizontal="center" vertical="center"/>
    </xf>
    <xf numFmtId="10" fontId="64" fillId="0" borderId="11" xfId="0" applyNumberFormat="1" applyFont="1" applyBorder="1" applyAlignment="1">
      <alignment horizontal="center" vertical="center"/>
    </xf>
    <xf numFmtId="4" fontId="7" fillId="5" borderId="6" xfId="3" applyNumberFormat="1" applyFont="1" applyFill="1" applyBorder="1" applyAlignment="1" applyProtection="1">
      <alignment horizontal="center" vertical="center" wrapText="1"/>
      <protection locked="0"/>
    </xf>
    <xf numFmtId="4" fontId="7" fillId="5" borderId="4" xfId="3" applyNumberFormat="1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4" fontId="10" fillId="5" borderId="19" xfId="3" applyNumberFormat="1" applyFont="1" applyFill="1" applyBorder="1" applyAlignment="1" applyProtection="1">
      <alignment horizontal="center" vertical="center"/>
      <protection locked="0"/>
    </xf>
    <xf numFmtId="4" fontId="10" fillId="5" borderId="21" xfId="3" applyNumberFormat="1" applyFont="1" applyFill="1" applyBorder="1" applyAlignment="1" applyProtection="1">
      <alignment horizontal="center" vertical="center"/>
      <protection locked="0"/>
    </xf>
    <xf numFmtId="44" fontId="14" fillId="7" borderId="7" xfId="1" applyFont="1" applyFill="1" applyBorder="1" applyAlignment="1" applyProtection="1">
      <alignment horizontal="center" vertical="center"/>
      <protection locked="0"/>
    </xf>
    <xf numFmtId="44" fontId="24" fillId="0" borderId="7" xfId="1" applyFont="1" applyBorder="1" applyAlignment="1" applyProtection="1">
      <alignment horizontal="center"/>
      <protection locked="0"/>
    </xf>
    <xf numFmtId="44" fontId="14" fillId="0" borderId="7" xfId="1" applyFont="1" applyBorder="1" applyAlignment="1" applyProtection="1">
      <alignment horizontal="center"/>
      <protection locked="0"/>
    </xf>
    <xf numFmtId="4" fontId="10" fillId="5" borderId="7" xfId="3" applyNumberFormat="1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6" fontId="10" fillId="5" borderId="44" xfId="0" applyNumberFormat="1" applyFont="1" applyFill="1" applyBorder="1" applyAlignment="1" applyProtection="1">
      <alignment horizontal="center" vertical="center"/>
      <protection locked="0"/>
    </xf>
    <xf numFmtId="166" fontId="10" fillId="5" borderId="45" xfId="0" applyNumberFormat="1" applyFont="1" applyFill="1" applyBorder="1" applyAlignment="1" applyProtection="1">
      <alignment horizontal="center" vertical="center"/>
      <protection locked="0"/>
    </xf>
    <xf numFmtId="0" fontId="10" fillId="5" borderId="46" xfId="0" applyFont="1" applyFill="1" applyBorder="1" applyAlignment="1" applyProtection="1">
      <alignment horizontal="center" vertical="center"/>
      <protection locked="0"/>
    </xf>
    <xf numFmtId="0" fontId="10" fillId="5" borderId="47" xfId="0" applyFont="1" applyFill="1" applyBorder="1" applyAlignment="1" applyProtection="1">
      <alignment horizontal="center" vertical="center"/>
      <protection locked="0"/>
    </xf>
    <xf numFmtId="43" fontId="11" fillId="0" borderId="0" xfId="3" applyFont="1" applyBorder="1" applyAlignment="1">
      <alignment horizontal="center"/>
    </xf>
    <xf numFmtId="0" fontId="13" fillId="6" borderId="3" xfId="0" applyFont="1" applyFill="1" applyBorder="1" applyAlignment="1">
      <alignment horizontal="center" vertical="center"/>
    </xf>
    <xf numFmtId="0" fontId="13" fillId="6" borderId="4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16" borderId="8" xfId="0" applyFont="1" applyFill="1" applyBorder="1" applyAlignment="1">
      <alignment horizontal="center"/>
    </xf>
    <xf numFmtId="0" fontId="13" fillId="16" borderId="9" xfId="0" applyFont="1" applyFill="1" applyBorder="1" applyAlignment="1">
      <alignment horizontal="center"/>
    </xf>
    <xf numFmtId="43" fontId="26" fillId="0" borderId="24" xfId="3" applyFont="1" applyBorder="1" applyAlignment="1">
      <alignment horizontal="center"/>
    </xf>
    <xf numFmtId="0" fontId="37" fillId="15" borderId="7" xfId="0" applyFont="1" applyFill="1" applyBorder="1" applyAlignment="1">
      <alignment horizontal="center"/>
    </xf>
    <xf numFmtId="0" fontId="37" fillId="15" borderId="0" xfId="0" applyFont="1" applyFill="1" applyAlignment="1">
      <alignment horizontal="center" wrapText="1"/>
    </xf>
    <xf numFmtId="9" fontId="56" fillId="27" borderId="48" xfId="13" applyNumberFormat="1" applyFont="1" applyAlignment="1">
      <alignment horizontal="center" vertical="center" wrapText="1"/>
    </xf>
    <xf numFmtId="9" fontId="56" fillId="27" borderId="48" xfId="13" applyNumberFormat="1" applyFont="1" applyAlignment="1">
      <alignment horizontal="center" vertical="center"/>
    </xf>
    <xf numFmtId="43" fontId="14" fillId="0" borderId="7" xfId="0" applyNumberFormat="1" applyFont="1" applyBorder="1" applyAlignment="1">
      <alignment horizontal="center" vertical="center"/>
    </xf>
    <xf numFmtId="43" fontId="14" fillId="0" borderId="7" xfId="3" applyFont="1" applyFill="1" applyBorder="1" applyAlignment="1">
      <alignment horizontal="center" vertical="center"/>
    </xf>
    <xf numFmtId="43" fontId="14" fillId="0" borderId="7" xfId="3" applyFont="1" applyFill="1" applyBorder="1" applyAlignment="1">
      <alignment horizontal="right" vertical="center" wrapText="1"/>
    </xf>
    <xf numFmtId="43" fontId="57" fillId="0" borderId="7" xfId="3" applyFont="1" applyFill="1" applyBorder="1" applyAlignment="1">
      <alignment horizontal="right" vertical="center" shrinkToFit="1"/>
    </xf>
    <xf numFmtId="9" fontId="56" fillId="28" borderId="10" xfId="14" applyNumberFormat="1" applyFont="1" applyBorder="1" applyAlignment="1">
      <alignment horizontal="center" vertical="center" wrapText="1"/>
    </xf>
    <xf numFmtId="9" fontId="56" fillId="28" borderId="33" xfId="14" applyNumberFormat="1" applyFont="1" applyBorder="1" applyAlignment="1">
      <alignment horizontal="center" vertical="center" wrapText="1"/>
    </xf>
    <xf numFmtId="9" fontId="56" fillId="28" borderId="11" xfId="14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43" fontId="14" fillId="0" borderId="7" xfId="3" applyFont="1" applyFill="1" applyBorder="1" applyAlignment="1">
      <alignment horizontal="right" vertical="center"/>
    </xf>
    <xf numFmtId="43" fontId="56" fillId="0" borderId="7" xfId="3" applyFont="1" applyBorder="1" applyAlignment="1">
      <alignment horizontal="right" vertical="center"/>
    </xf>
    <xf numFmtId="4" fontId="62" fillId="24" borderId="31" xfId="0" applyNumberFormat="1" applyFont="1" applyFill="1" applyBorder="1" applyAlignment="1">
      <alignment horizontal="center" vertical="center" wrapText="1" readingOrder="1"/>
    </xf>
    <xf numFmtId="4" fontId="62" fillId="24" borderId="32" xfId="0" applyNumberFormat="1" applyFont="1" applyFill="1" applyBorder="1" applyAlignment="1">
      <alignment horizontal="center" vertical="center" wrapText="1" readingOrder="1"/>
    </xf>
    <xf numFmtId="0" fontId="48" fillId="23" borderId="34" xfId="0" applyFont="1" applyFill="1" applyBorder="1" applyAlignment="1">
      <alignment horizontal="center" wrapText="1" readingOrder="1"/>
    </xf>
    <xf numFmtId="0" fontId="48" fillId="23" borderId="35" xfId="0" applyFont="1" applyFill="1" applyBorder="1" applyAlignment="1">
      <alignment horizontal="center" wrapText="1" readingOrder="1"/>
    </xf>
    <xf numFmtId="0" fontId="48" fillId="23" borderId="36" xfId="0" applyFont="1" applyFill="1" applyBorder="1" applyAlignment="1">
      <alignment horizontal="center" wrapText="1" readingOrder="1"/>
    </xf>
    <xf numFmtId="0" fontId="49" fillId="23" borderId="37" xfId="0" applyFont="1" applyFill="1" applyBorder="1" applyAlignment="1">
      <alignment horizontal="center" wrapText="1" readingOrder="1"/>
    </xf>
    <xf numFmtId="0" fontId="49" fillId="23" borderId="39" xfId="0" applyFont="1" applyFill="1" applyBorder="1" applyAlignment="1">
      <alignment horizontal="center" wrapText="1" readingOrder="1"/>
    </xf>
    <xf numFmtId="0" fontId="49" fillId="23" borderId="38" xfId="0" applyFont="1" applyFill="1" applyBorder="1" applyAlignment="1">
      <alignment horizontal="center" wrapText="1" readingOrder="1"/>
    </xf>
    <xf numFmtId="0" fontId="49" fillId="23" borderId="40" xfId="0" applyFont="1" applyFill="1" applyBorder="1" applyAlignment="1">
      <alignment horizontal="center" wrapText="1" readingOrder="1"/>
    </xf>
    <xf numFmtId="0" fontId="49" fillId="23" borderId="41" xfId="0" applyFont="1" applyFill="1" applyBorder="1" applyAlignment="1">
      <alignment horizontal="center" wrapText="1" readingOrder="1"/>
    </xf>
    <xf numFmtId="0" fontId="49" fillId="23" borderId="42" xfId="0" applyFont="1" applyFill="1" applyBorder="1" applyAlignment="1">
      <alignment horizontal="center" wrapText="1" readingOrder="1"/>
    </xf>
    <xf numFmtId="4" fontId="61" fillId="25" borderId="31" xfId="0" applyNumberFormat="1" applyFont="1" applyFill="1" applyBorder="1" applyAlignment="1">
      <alignment horizontal="center" vertical="center" wrapText="1" readingOrder="1"/>
    </xf>
    <xf numFmtId="4" fontId="61" fillId="25" borderId="32" xfId="0" applyNumberFormat="1" applyFont="1" applyFill="1" applyBorder="1" applyAlignment="1">
      <alignment horizontal="center" vertical="center" wrapText="1" readingOrder="1"/>
    </xf>
    <xf numFmtId="0" fontId="39" fillId="23" borderId="34" xfId="0" applyFont="1" applyFill="1" applyBorder="1" applyAlignment="1">
      <alignment horizontal="center" vertical="center" wrapText="1" readingOrder="1"/>
    </xf>
    <xf numFmtId="0" fontId="39" fillId="23" borderId="35" xfId="0" applyFont="1" applyFill="1" applyBorder="1" applyAlignment="1">
      <alignment horizontal="center" vertical="center" wrapText="1" readingOrder="1"/>
    </xf>
    <xf numFmtId="0" fontId="39" fillId="23" borderId="36" xfId="0" applyFont="1" applyFill="1" applyBorder="1" applyAlignment="1">
      <alignment horizontal="center" vertical="center" wrapText="1" readingOrder="1"/>
    </xf>
    <xf numFmtId="4" fontId="53" fillId="25" borderId="31" xfId="0" applyNumberFormat="1" applyFont="1" applyFill="1" applyBorder="1" applyAlignment="1">
      <alignment horizontal="center" vertical="center" wrapText="1"/>
    </xf>
    <xf numFmtId="4" fontId="53" fillId="25" borderId="32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 readingOrder="1"/>
    </xf>
    <xf numFmtId="4" fontId="42" fillId="24" borderId="31" xfId="0" applyNumberFormat="1" applyFont="1" applyFill="1" applyBorder="1" applyAlignment="1">
      <alignment horizontal="center" vertical="center" wrapText="1" readingOrder="1"/>
    </xf>
    <xf numFmtId="4" fontId="42" fillId="24" borderId="32" xfId="0" applyNumberFormat="1" applyFont="1" applyFill="1" applyBorder="1" applyAlignment="1">
      <alignment horizontal="center" vertical="center" wrapText="1" readingOrder="1"/>
    </xf>
    <xf numFmtId="4" fontId="61" fillId="25" borderId="57" xfId="0" applyNumberFormat="1" applyFont="1" applyFill="1" applyBorder="1" applyAlignment="1">
      <alignment horizontal="center" vertical="center" wrapText="1" readingOrder="1"/>
    </xf>
    <xf numFmtId="4" fontId="61" fillId="25" borderId="58" xfId="0" applyNumberFormat="1" applyFont="1" applyFill="1" applyBorder="1" applyAlignment="1">
      <alignment horizontal="center" vertical="center" wrapText="1" readingOrder="1"/>
    </xf>
    <xf numFmtId="0" fontId="0" fillId="0" borderId="24" xfId="0" applyBorder="1" applyAlignment="1">
      <alignment horizontal="center"/>
    </xf>
    <xf numFmtId="43" fontId="5" fillId="5" borderId="7" xfId="3" applyFont="1" applyFill="1" applyBorder="1" applyAlignment="1">
      <alignment horizontal="center"/>
    </xf>
    <xf numFmtId="43" fontId="2" fillId="5" borderId="8" xfId="3" applyFont="1" applyFill="1" applyBorder="1" applyAlignment="1">
      <alignment horizontal="center"/>
    </xf>
    <xf numFmtId="43" fontId="2" fillId="5" borderId="12" xfId="3" applyFont="1" applyFill="1" applyBorder="1" applyAlignment="1">
      <alignment horizontal="center"/>
    </xf>
    <xf numFmtId="43" fontId="2" fillId="5" borderId="9" xfId="3" applyFont="1" applyFill="1" applyBorder="1" applyAlignment="1">
      <alignment horizontal="center"/>
    </xf>
    <xf numFmtId="43" fontId="0" fillId="0" borderId="51" xfId="3" applyFont="1" applyBorder="1" applyAlignment="1">
      <alignment horizontal="center"/>
    </xf>
    <xf numFmtId="43" fontId="0" fillId="0" borderId="50" xfId="3" applyFont="1" applyBorder="1" applyAlignment="1">
      <alignment horizontal="center"/>
    </xf>
    <xf numFmtId="43" fontId="0" fillId="0" borderId="52" xfId="3" applyFont="1" applyBorder="1" applyAlignment="1">
      <alignment horizontal="center"/>
    </xf>
    <xf numFmtId="43" fontId="0" fillId="0" borderId="22" xfId="3" applyFont="1" applyBorder="1" applyAlignment="1">
      <alignment horizontal="center"/>
    </xf>
    <xf numFmtId="43" fontId="0" fillId="0" borderId="0" xfId="3" applyFont="1" applyBorder="1" applyAlignment="1">
      <alignment horizontal="center"/>
    </xf>
    <xf numFmtId="43" fontId="0" fillId="0" borderId="53" xfId="3" applyFont="1" applyBorder="1" applyAlignment="1">
      <alignment horizontal="center"/>
    </xf>
    <xf numFmtId="43" fontId="0" fillId="0" borderId="54" xfId="3" applyFont="1" applyBorder="1" applyAlignment="1">
      <alignment horizontal="center"/>
    </xf>
    <xf numFmtId="43" fontId="0" fillId="0" borderId="24" xfId="3" applyFont="1" applyBorder="1" applyAlignment="1">
      <alignment horizontal="center"/>
    </xf>
    <xf numFmtId="43" fontId="0" fillId="0" borderId="55" xfId="3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5">
    <cellStyle name="Célula de Verificação" xfId="14" builtinId="23"/>
    <cellStyle name="Entrada" xfId="13" builtinId="20"/>
    <cellStyle name="Hiperlink" xfId="4" builtinId="8"/>
    <cellStyle name="Moeda" xfId="1" builtinId="4"/>
    <cellStyle name="Normal" xfId="0" builtinId="0"/>
    <cellStyle name="Normal 2" xfId="5" xr:uid="{00000000-0005-0000-0000-000003000000}"/>
    <cellStyle name="Normal 3" xfId="11" xr:uid="{FEA4D435-4B88-49A6-AB8E-401CFE0EF770}"/>
    <cellStyle name="Porcentagem" xfId="2" builtinId="5"/>
    <cellStyle name="Porcentagem 2" xfId="7" xr:uid="{00000000-0005-0000-0000-000005000000}"/>
    <cellStyle name="Porcentagem 3" xfId="6" xr:uid="{00000000-0005-0000-0000-000006000000}"/>
    <cellStyle name="Vírgula" xfId="3" builtinId="3"/>
    <cellStyle name="Vírgula 2" xfId="9" xr:uid="{00000000-0005-0000-0000-000008000000}"/>
    <cellStyle name="Vírgula 3" xfId="8" xr:uid="{00000000-0005-0000-0000-000009000000}"/>
    <cellStyle name="Vírgula 4" xfId="10" xr:uid="{00000000-0005-0000-0000-00000A000000}"/>
    <cellStyle name="Vírgula 5" xfId="12" xr:uid="{7AA433E1-C8EE-409C-81EF-75D2B217C053}"/>
  </cellStyles>
  <dxfs count="10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79998168889431442"/>
        </patternFill>
      </fill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006600"/>
      <color rgb="FFCCFF33"/>
      <color rgb="FF00CC99"/>
      <color rgb="FFEF01EF"/>
      <color rgb="FFEA1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2266950</xdr:colOff>
      <xdr:row>45</xdr:row>
      <xdr:rowOff>76200</xdr:rowOff>
    </xdr:from>
    <xdr:to>
      <xdr:col>0</xdr:col>
      <xdr:colOff>3483817</xdr:colOff>
      <xdr:row>55</xdr:row>
      <xdr:rowOff>28575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4D7EB400-9F63-4CA2-866B-221741A57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7505700"/>
          <a:ext cx="1216867" cy="1619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609600</xdr:colOff>
      <xdr:row>0</xdr:row>
      <xdr:rowOff>38100</xdr:rowOff>
    </xdr:from>
    <xdr:to>
      <xdr:col>2</xdr:col>
      <xdr:colOff>581026</xdr:colOff>
      <xdr:row>0</xdr:row>
      <xdr:rowOff>669833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2149C9B-69F0-4047-8F33-33F25BCF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38100"/>
          <a:ext cx="1552576" cy="6317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1137309</xdr:colOff>
      <xdr:row>0</xdr:row>
      <xdr:rowOff>184816</xdr:rowOff>
    </xdr:from>
    <xdr:to>
      <xdr:col>12</xdr:col>
      <xdr:colOff>1165080</xdr:colOff>
      <xdr:row>0</xdr:row>
      <xdr:rowOff>1475372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746CD5-EEA0-4DD8-9A36-6E2447429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8540" y="184816"/>
          <a:ext cx="3171731" cy="1290556"/>
        </a:xfrm>
        <a:prstGeom prst="rect">
          <a:avLst/>
        </a:prstGeom>
      </xdr:spPr>
    </xdr:pic>
    <xdr:clientData/>
  </xdr:twoCellAnchor>
  <xdr:twoCellAnchor editAs="oneCell">
    <xdr:from>
      <xdr:col>0</xdr:col>
      <xdr:colOff>85296</xdr:colOff>
      <xdr:row>0</xdr:row>
      <xdr:rowOff>99515</xdr:rowOff>
    </xdr:from>
    <xdr:to>
      <xdr:col>1</xdr:col>
      <xdr:colOff>426963</xdr:colOff>
      <xdr:row>0</xdr:row>
      <xdr:rowOff>1450075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2BCD8D7-6113-4C02-AD47-91D6B67BDE36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871" t="36043" r="17637" b="37398"/>
        <a:stretch/>
      </xdr:blipFill>
      <xdr:spPr bwMode="auto">
        <a:xfrm>
          <a:off x="85296" y="99515"/>
          <a:ext cx="4620335" cy="135056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javascript:WebForm_DoPostBackWithOptions(new%20WebForm_PostBackOptions(%22ctl00$ContentPlaceHolder1$gdvLicitacao$ctl04$lbkProcessoLicitatorio%22,%20%22%22,%20true,%20%22%22,%20%22%22,%20false,%20true))" TargetMode="External"/><Relationship Id="rId2" Type="http://schemas.openxmlformats.org/officeDocument/2006/relationships/hyperlink" Target="javascript:WebForm_DoPostBackWithOptions(new%20WebForm_PostBackOptions(%22ctl00$ContentPlaceHolder1$gdvLicitacao$ctl03$lbkProcessoLicitatorio%22,%20%22%22,%20true,%20%22%22,%20%22%22,%20false,%20true))" TargetMode="External"/><Relationship Id="rId1" Type="http://schemas.openxmlformats.org/officeDocument/2006/relationships/hyperlink" Target="javascript:WebForm_DoPostBackWithOptions(new%20WebForm_PostBackOptions(%22ctl00$ContentPlaceHolder1$gdvLicitacao$ctl02$lbkProcessoLicitatorio%22,%20%22%22,%20true,%20%22%22,%20%22%22,%20false,%20true))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javascript:WebForm_DoPostBackWithOptions(new%20WebForm_PostBackOptions(%22ctl00$ContentPlaceHolder1$gdvLicitacao$ctl06$lbkProcessoLicitatorio%22,%20%22%22,%20true,%20%22%22,%20%22%22,%20false,%20true))" TargetMode="External"/><Relationship Id="rId4" Type="http://schemas.openxmlformats.org/officeDocument/2006/relationships/hyperlink" Target="javascript:WebForm_DoPostBackWithOptions(new%20WebForm_PostBackOptions(%22ctl00$ContentPlaceHolder1$gdvLicitacao$ctl05$lbkProcessoLicitatorio%22,%20%22%22,%20true,%20%22%22,%20%22%22,%20false,%20true)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774-998B-43F5-B1A5-0DF2949B6D07}">
  <dimension ref="A1:P82"/>
  <sheetViews>
    <sheetView topLeftCell="A51" zoomScale="55" zoomScaleNormal="55" workbookViewId="0">
      <selection activeCell="D70" sqref="D70"/>
    </sheetView>
  </sheetViews>
  <sheetFormatPr defaultRowHeight="15"/>
  <cols>
    <col min="1" max="1" width="80" customWidth="1"/>
    <col min="2" max="16" width="30.7109375" customWidth="1"/>
  </cols>
  <sheetData>
    <row r="1" spans="1:16" ht="47.25">
      <c r="A1" s="419" t="s">
        <v>142</v>
      </c>
      <c r="B1" s="420"/>
      <c r="C1" s="420"/>
      <c r="D1" s="420"/>
      <c r="E1" s="420"/>
      <c r="F1" s="420"/>
      <c r="G1" s="420"/>
      <c r="H1" s="420"/>
      <c r="I1" s="420"/>
      <c r="J1" s="421"/>
      <c r="K1" s="412"/>
      <c r="L1" s="412"/>
      <c r="M1" s="412"/>
      <c r="N1" s="412"/>
      <c r="O1" s="114" t="s">
        <v>108</v>
      </c>
      <c r="P1" s="114" t="s">
        <v>7</v>
      </c>
    </row>
    <row r="2" spans="1:16" ht="15.75">
      <c r="A2" s="411"/>
      <c r="B2" s="159" t="s">
        <v>29</v>
      </c>
      <c r="C2" s="159" t="s">
        <v>30</v>
      </c>
      <c r="D2" s="159" t="s">
        <v>31</v>
      </c>
      <c r="E2" s="159" t="s">
        <v>32</v>
      </c>
      <c r="F2" s="159" t="s">
        <v>33</v>
      </c>
      <c r="G2" s="159" t="s">
        <v>34</v>
      </c>
      <c r="H2" s="159" t="s">
        <v>35</v>
      </c>
      <c r="I2" s="159" t="s">
        <v>36</v>
      </c>
      <c r="J2" s="159" t="s">
        <v>37</v>
      </c>
      <c r="K2" s="159" t="s">
        <v>38</v>
      </c>
      <c r="L2" s="159" t="s">
        <v>39</v>
      </c>
      <c r="M2" s="159" t="s">
        <v>40</v>
      </c>
      <c r="N2" s="114"/>
      <c r="O2" s="114"/>
      <c r="P2" s="49"/>
    </row>
    <row r="3" spans="1:16" ht="15.75">
      <c r="A3" s="110" t="s">
        <v>153</v>
      </c>
      <c r="B3" s="112">
        <f t="shared" ref="B3:N3" si="0">B4+B17</f>
        <v>0</v>
      </c>
      <c r="C3" s="112">
        <f t="shared" si="0"/>
        <v>0</v>
      </c>
      <c r="D3" s="112">
        <f t="shared" si="0"/>
        <v>0</v>
      </c>
      <c r="E3" s="112">
        <f t="shared" si="0"/>
        <v>0</v>
      </c>
      <c r="F3" s="112">
        <f t="shared" si="0"/>
        <v>0</v>
      </c>
      <c r="G3" s="112">
        <f t="shared" si="0"/>
        <v>0</v>
      </c>
      <c r="H3" s="112">
        <f t="shared" si="0"/>
        <v>0</v>
      </c>
      <c r="I3" s="112">
        <f>I4+I17</f>
        <v>0</v>
      </c>
      <c r="J3" s="112">
        <f t="shared" si="0"/>
        <v>19168136.789999999</v>
      </c>
      <c r="K3" s="112">
        <f t="shared" si="0"/>
        <v>3424190.48</v>
      </c>
      <c r="L3" s="112">
        <f t="shared" si="0"/>
        <v>2615717.83</v>
      </c>
      <c r="M3" s="112">
        <f t="shared" si="0"/>
        <v>3781243.02</v>
      </c>
      <c r="N3" s="112">
        <f t="shared" si="0"/>
        <v>28989288.119999997</v>
      </c>
      <c r="O3" s="110"/>
      <c r="P3" s="49"/>
    </row>
    <row r="4" spans="1:16" ht="15.75">
      <c r="A4" s="179" t="s">
        <v>246</v>
      </c>
      <c r="B4" s="111">
        <f>B5+B10</f>
        <v>0</v>
      </c>
      <c r="C4" s="111">
        <f t="shared" ref="C4:M4" si="1">C5+C10</f>
        <v>0</v>
      </c>
      <c r="D4" s="111">
        <f t="shared" si="1"/>
        <v>0</v>
      </c>
      <c r="E4" s="111">
        <f t="shared" si="1"/>
        <v>0</v>
      </c>
      <c r="F4" s="111">
        <f t="shared" si="1"/>
        <v>0</v>
      </c>
      <c r="G4" s="111">
        <f t="shared" si="1"/>
        <v>0</v>
      </c>
      <c r="H4" s="111">
        <f t="shared" si="1"/>
        <v>0</v>
      </c>
      <c r="I4" s="111">
        <f t="shared" si="1"/>
        <v>0</v>
      </c>
      <c r="J4" s="111">
        <f t="shared" si="1"/>
        <v>19168136.789999999</v>
      </c>
      <c r="K4" s="111">
        <f t="shared" si="1"/>
        <v>2151900.06</v>
      </c>
      <c r="L4" s="111">
        <f t="shared" si="1"/>
        <v>1464406.8399999999</v>
      </c>
      <c r="M4" s="111">
        <f t="shared" si="1"/>
        <v>1801240.3200000003</v>
      </c>
      <c r="N4" s="269">
        <f>SUM(B4:M4)</f>
        <v>24585684.009999998</v>
      </c>
      <c r="O4" s="57"/>
      <c r="P4" s="49"/>
    </row>
    <row r="5" spans="1:16" ht="15.75">
      <c r="A5" s="180" t="s">
        <v>392</v>
      </c>
      <c r="B5" s="181">
        <f>SUM(B6:B9)</f>
        <v>0</v>
      </c>
      <c r="C5" s="181">
        <f t="shared" ref="C5:M5" si="2">SUM(C6:C9)</f>
        <v>0</v>
      </c>
      <c r="D5" s="181">
        <f t="shared" si="2"/>
        <v>0</v>
      </c>
      <c r="E5" s="181">
        <f t="shared" si="2"/>
        <v>0</v>
      </c>
      <c r="F5" s="181">
        <f t="shared" si="2"/>
        <v>0</v>
      </c>
      <c r="G5" s="181">
        <f t="shared" si="2"/>
        <v>0</v>
      </c>
      <c r="H5" s="181">
        <f t="shared" si="2"/>
        <v>0</v>
      </c>
      <c r="I5" s="181">
        <f t="shared" si="2"/>
        <v>0</v>
      </c>
      <c r="J5" s="181">
        <f t="shared" si="2"/>
        <v>15797302.27</v>
      </c>
      <c r="K5" s="181">
        <f t="shared" si="2"/>
        <v>1750039.47</v>
      </c>
      <c r="L5" s="181">
        <f t="shared" si="2"/>
        <v>1046157.0199999999</v>
      </c>
      <c r="M5" s="181">
        <f t="shared" si="2"/>
        <v>984214.89000000013</v>
      </c>
      <c r="N5" s="270">
        <f>SUM(B5:M5)</f>
        <v>19577713.649999999</v>
      </c>
      <c r="O5" s="184" t="e">
        <f>N5/#REF!</f>
        <v>#REF!</v>
      </c>
      <c r="P5" s="38"/>
    </row>
    <row r="6" spans="1:16" ht="15.75">
      <c r="A6" s="63" t="s">
        <v>237</v>
      </c>
      <c r="B6" s="156"/>
      <c r="C6" s="156"/>
      <c r="D6" s="161"/>
      <c r="E6" s="156"/>
      <c r="F6" s="156"/>
      <c r="G6" s="156"/>
      <c r="H6" s="156"/>
      <c r="I6" s="156"/>
      <c r="J6" s="156">
        <v>9751920.3000000007</v>
      </c>
      <c r="K6" s="211">
        <v>1313021.33</v>
      </c>
      <c r="L6" s="156">
        <f>122678.35+869433.25</f>
        <v>992111.6</v>
      </c>
      <c r="M6" s="271">
        <v>729597.15</v>
      </c>
      <c r="N6" s="270">
        <f t="shared" ref="N6:N15" si="3">SUM(B6:M6)</f>
        <v>12786650.380000001</v>
      </c>
      <c r="O6" s="43"/>
      <c r="P6" s="38"/>
    </row>
    <row r="7" spans="1:16" ht="15.75">
      <c r="A7" s="63" t="s">
        <v>238</v>
      </c>
      <c r="B7" s="156"/>
      <c r="C7" s="156"/>
      <c r="D7" s="161"/>
      <c r="E7" s="156"/>
      <c r="F7" s="156"/>
      <c r="G7" s="156"/>
      <c r="H7" s="156"/>
      <c r="I7" s="156"/>
      <c r="J7" s="156">
        <v>2706846.63</v>
      </c>
      <c r="K7" s="211">
        <v>15884.15</v>
      </c>
      <c r="L7" s="156">
        <v>14552.34</v>
      </c>
      <c r="M7" s="271">
        <v>14105.43</v>
      </c>
      <c r="N7" s="270">
        <f t="shared" si="3"/>
        <v>2751388.55</v>
      </c>
      <c r="O7" s="43"/>
      <c r="P7" s="38"/>
    </row>
    <row r="8" spans="1:16" ht="15.75">
      <c r="A8" s="63" t="s">
        <v>239</v>
      </c>
      <c r="B8" s="156"/>
      <c r="C8" s="156"/>
      <c r="D8" s="161"/>
      <c r="E8" s="156">
        <v>0</v>
      </c>
      <c r="F8" s="156"/>
      <c r="G8" s="156"/>
      <c r="H8" s="156"/>
      <c r="I8" s="156"/>
      <c r="J8" s="156">
        <v>0</v>
      </c>
      <c r="K8" s="156"/>
      <c r="L8" s="156"/>
      <c r="M8" s="271"/>
      <c r="N8" s="270">
        <f t="shared" si="3"/>
        <v>0</v>
      </c>
      <c r="O8" s="43"/>
      <c r="P8" s="38"/>
    </row>
    <row r="9" spans="1:16" ht="15.75">
      <c r="A9" s="63" t="s">
        <v>247</v>
      </c>
      <c r="B9" s="156"/>
      <c r="C9" s="156"/>
      <c r="D9" s="161"/>
      <c r="E9" s="156"/>
      <c r="F9" s="156"/>
      <c r="G9" s="156"/>
      <c r="H9" s="156"/>
      <c r="I9" s="156"/>
      <c r="J9" s="156">
        <v>3338535.34</v>
      </c>
      <c r="K9" s="211">
        <v>421133.99</v>
      </c>
      <c r="L9" s="156">
        <f>39493.08</f>
        <v>39493.08</v>
      </c>
      <c r="M9" s="271">
        <v>240512.31</v>
      </c>
      <c r="N9" s="270">
        <f t="shared" si="3"/>
        <v>4039674.72</v>
      </c>
      <c r="O9" s="43"/>
      <c r="P9" s="38"/>
    </row>
    <row r="10" spans="1:16" ht="15.75">
      <c r="A10" s="180" t="s">
        <v>393</v>
      </c>
      <c r="B10" s="181">
        <f>SUM(B11:B15)</f>
        <v>0</v>
      </c>
      <c r="C10" s="181">
        <f t="shared" ref="C10:M10" si="4">SUM(C11:C15)</f>
        <v>0</v>
      </c>
      <c r="D10" s="181">
        <f t="shared" si="4"/>
        <v>0</v>
      </c>
      <c r="E10" s="181">
        <f t="shared" si="4"/>
        <v>0</v>
      </c>
      <c r="F10" s="181">
        <f t="shared" si="4"/>
        <v>0</v>
      </c>
      <c r="G10" s="181">
        <f t="shared" si="4"/>
        <v>0</v>
      </c>
      <c r="H10" s="181">
        <f t="shared" si="4"/>
        <v>0</v>
      </c>
      <c r="I10" s="181">
        <f t="shared" si="4"/>
        <v>0</v>
      </c>
      <c r="J10" s="181">
        <f t="shared" si="4"/>
        <v>3370834.5200000005</v>
      </c>
      <c r="K10" s="181">
        <f t="shared" si="4"/>
        <v>401860.59</v>
      </c>
      <c r="L10" s="181">
        <f t="shared" si="4"/>
        <v>418249.81999999995</v>
      </c>
      <c r="M10" s="181">
        <f t="shared" si="4"/>
        <v>817025.43</v>
      </c>
      <c r="N10" s="270">
        <f t="shared" si="3"/>
        <v>5007970.3600000003</v>
      </c>
      <c r="O10" s="182" t="e">
        <f>N10/#REF!</f>
        <v>#REF!</v>
      </c>
      <c r="P10" s="38"/>
    </row>
    <row r="11" spans="1:16" ht="15.75">
      <c r="A11" s="63" t="s">
        <v>240</v>
      </c>
      <c r="B11" s="156"/>
      <c r="C11" s="156"/>
      <c r="D11" s="161"/>
      <c r="E11" s="156"/>
      <c r="F11" s="156"/>
      <c r="G11" s="156"/>
      <c r="H11" s="156"/>
      <c r="I11" s="211"/>
      <c r="J11" s="211">
        <v>1547899.21</v>
      </c>
      <c r="K11" s="211">
        <v>43213.89</v>
      </c>
      <c r="L11" s="156">
        <v>41418.44</v>
      </c>
      <c r="M11" s="271">
        <v>41620.1</v>
      </c>
      <c r="N11" s="270">
        <f t="shared" si="3"/>
        <v>1674151.64</v>
      </c>
      <c r="O11" s="43"/>
      <c r="P11" s="38"/>
    </row>
    <row r="12" spans="1:16" ht="15.75">
      <c r="A12" s="63" t="s">
        <v>241</v>
      </c>
      <c r="B12" s="156"/>
      <c r="C12" s="156"/>
      <c r="D12" s="161"/>
      <c r="E12" s="156"/>
      <c r="F12" s="156"/>
      <c r="G12" s="156"/>
      <c r="H12" s="156"/>
      <c r="I12" s="211"/>
      <c r="J12" s="211">
        <v>1190770.45</v>
      </c>
      <c r="K12" s="211">
        <f>175847.91+165472.34</f>
        <v>341320.25</v>
      </c>
      <c r="L12" s="156">
        <v>166974.60999999999</v>
      </c>
      <c r="M12" s="271">
        <v>164049.75</v>
      </c>
      <c r="N12" s="270">
        <f t="shared" si="3"/>
        <v>1863115.06</v>
      </c>
      <c r="O12" s="43"/>
      <c r="P12" s="38"/>
    </row>
    <row r="13" spans="1:16" ht="15.75">
      <c r="A13" s="63" t="s">
        <v>244</v>
      </c>
      <c r="B13" s="156">
        <v>0</v>
      </c>
      <c r="C13" s="156">
        <v>0</v>
      </c>
      <c r="D13" s="161">
        <v>0</v>
      </c>
      <c r="E13" s="156">
        <v>0</v>
      </c>
      <c r="F13" s="156">
        <v>0</v>
      </c>
      <c r="G13" s="156">
        <v>0</v>
      </c>
      <c r="H13" s="156">
        <v>0</v>
      </c>
      <c r="I13" s="156">
        <v>0</v>
      </c>
      <c r="J13" s="156">
        <f>502768.84+35992.69</f>
        <v>538761.53</v>
      </c>
      <c r="K13" s="156">
        <v>17326.45</v>
      </c>
      <c r="L13" s="156"/>
      <c r="M13" s="271"/>
      <c r="N13" s="270">
        <f t="shared" si="3"/>
        <v>556087.98</v>
      </c>
      <c r="O13" s="43"/>
      <c r="P13" s="38"/>
    </row>
    <row r="14" spans="1:16" ht="15.75">
      <c r="A14" s="63" t="s">
        <v>243</v>
      </c>
      <c r="B14" s="156">
        <v>0</v>
      </c>
      <c r="C14" s="156">
        <v>0</v>
      </c>
      <c r="D14" s="161">
        <v>0</v>
      </c>
      <c r="E14" s="156"/>
      <c r="F14" s="156">
        <v>0</v>
      </c>
      <c r="G14" s="156">
        <v>0</v>
      </c>
      <c r="H14" s="156">
        <v>0</v>
      </c>
      <c r="I14" s="156">
        <v>0</v>
      </c>
      <c r="J14" s="156">
        <v>49754.84</v>
      </c>
      <c r="K14" s="156">
        <v>0</v>
      </c>
      <c r="L14" s="156"/>
      <c r="M14" s="271"/>
      <c r="N14" s="270">
        <f t="shared" si="3"/>
        <v>49754.84</v>
      </c>
      <c r="O14" s="43"/>
      <c r="P14" s="38"/>
    </row>
    <row r="15" spans="1:16" ht="15.75">
      <c r="A15" s="63" t="s">
        <v>242</v>
      </c>
      <c r="B15" s="156">
        <v>0</v>
      </c>
      <c r="C15" s="156">
        <v>0</v>
      </c>
      <c r="D15" s="161">
        <v>0</v>
      </c>
      <c r="E15" s="156">
        <v>0</v>
      </c>
      <c r="F15" s="156">
        <v>0</v>
      </c>
      <c r="G15" s="211">
        <v>0</v>
      </c>
      <c r="H15" s="156">
        <v>0</v>
      </c>
      <c r="I15" s="156">
        <v>0</v>
      </c>
      <c r="J15" s="156">
        <f>28993.01+14655.48</f>
        <v>43648.49</v>
      </c>
      <c r="K15" s="156">
        <v>0</v>
      </c>
      <c r="L15" s="271">
        <v>209856.77</v>
      </c>
      <c r="M15" s="211">
        <f>406355.58+205000</f>
        <v>611355.58000000007</v>
      </c>
      <c r="N15" s="270">
        <f t="shared" si="3"/>
        <v>864860.84000000008</v>
      </c>
      <c r="O15" s="43" t="e">
        <f>N15/#REF!</f>
        <v>#REF!</v>
      </c>
      <c r="P15" s="38"/>
    </row>
    <row r="16" spans="1:16" ht="15.75">
      <c r="A16" s="52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3"/>
      <c r="O16" s="58"/>
      <c r="P16" s="49"/>
    </row>
    <row r="17" spans="1:16" ht="15.75">
      <c r="A17" s="183" t="s">
        <v>143</v>
      </c>
      <c r="B17" s="181">
        <f>B18</f>
        <v>0</v>
      </c>
      <c r="C17" s="181">
        <f t="shared" ref="C17:M17" si="5">C18</f>
        <v>0</v>
      </c>
      <c r="D17" s="181">
        <f t="shared" si="5"/>
        <v>0</v>
      </c>
      <c r="E17" s="181">
        <f t="shared" si="5"/>
        <v>0</v>
      </c>
      <c r="F17" s="181">
        <f t="shared" si="5"/>
        <v>0</v>
      </c>
      <c r="G17" s="181">
        <f t="shared" si="5"/>
        <v>0</v>
      </c>
      <c r="H17" s="181">
        <f t="shared" si="5"/>
        <v>0</v>
      </c>
      <c r="I17" s="181">
        <f t="shared" si="5"/>
        <v>0</v>
      </c>
      <c r="J17" s="181">
        <f t="shared" si="5"/>
        <v>0</v>
      </c>
      <c r="K17" s="181">
        <f t="shared" si="5"/>
        <v>1272290.42</v>
      </c>
      <c r="L17" s="181">
        <f t="shared" si="5"/>
        <v>1151310.99</v>
      </c>
      <c r="M17" s="181">
        <f t="shared" si="5"/>
        <v>1980002.6999999997</v>
      </c>
      <c r="N17" s="270">
        <f>SUM(B17:M17)</f>
        <v>4403604.1099999994</v>
      </c>
      <c r="O17" s="184"/>
      <c r="P17" s="49"/>
    </row>
    <row r="18" spans="1:16" ht="15.75">
      <c r="A18" s="63" t="s">
        <v>245</v>
      </c>
      <c r="B18" s="156"/>
      <c r="C18" s="156"/>
      <c r="D18" s="161"/>
      <c r="E18" s="156"/>
      <c r="F18" s="156"/>
      <c r="G18" s="271"/>
      <c r="H18" s="271"/>
      <c r="I18" s="211"/>
      <c r="J18" s="271"/>
      <c r="K18" s="271">
        <v>1272290.42</v>
      </c>
      <c r="L18" s="271">
        <v>1151310.99</v>
      </c>
      <c r="M18" s="271">
        <f>58780+878824.07+195000+571398.63+162000+114000</f>
        <v>1980002.6999999997</v>
      </c>
      <c r="N18" s="269">
        <f>SUM(B18:M18)</f>
        <v>4403604.1099999994</v>
      </c>
      <c r="O18" s="57" t="e">
        <f>#REF!</f>
        <v>#REF!</v>
      </c>
      <c r="P18" s="210" t="e">
        <f>#REF!-K18</f>
        <v>#REF!</v>
      </c>
    </row>
    <row r="19" spans="1:16" ht="15.7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49"/>
      <c r="P19" s="38"/>
    </row>
    <row r="20" spans="1:16" ht="15.75">
      <c r="A20" s="422" t="s">
        <v>255</v>
      </c>
      <c r="B20" s="423"/>
      <c r="C20" s="275"/>
      <c r="D20" s="275"/>
      <c r="E20" s="275"/>
      <c r="F20" s="38"/>
      <c r="G20" s="38"/>
      <c r="H20" s="38"/>
      <c r="I20" s="38"/>
      <c r="J20" s="38"/>
      <c r="K20" s="424" t="s">
        <v>252</v>
      </c>
      <c r="L20" s="425"/>
      <c r="M20" s="425"/>
      <c r="N20" s="426"/>
      <c r="O20" s="57" t="e">
        <f>#REF!/#REF!</f>
        <v>#REF!</v>
      </c>
      <c r="P20" s="38"/>
    </row>
    <row r="21" spans="1:16" ht="15.7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49"/>
      <c r="P21" s="38"/>
    </row>
    <row r="22" spans="1:16" ht="15.75">
      <c r="A22" s="62" t="s">
        <v>193</v>
      </c>
      <c r="B22" s="161" t="e">
        <f>#REF!</f>
        <v>#REF!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49"/>
      <c r="P22" s="38"/>
    </row>
    <row r="23" spans="1:16" ht="15.75">
      <c r="A23" s="62" t="s">
        <v>188</v>
      </c>
      <c r="B23" s="161" t="e">
        <f>B22*15%</f>
        <v>#REF!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49"/>
      <c r="P23" s="38"/>
    </row>
    <row r="24" spans="1:16" ht="15.75">
      <c r="A24" s="62" t="s">
        <v>189</v>
      </c>
      <c r="B24" s="161">
        <f>N15</f>
        <v>864860.84000000008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49"/>
      <c r="P24" s="38"/>
    </row>
    <row r="25" spans="1:16" ht="15.75">
      <c r="A25" s="62" t="s">
        <v>190</v>
      </c>
      <c r="B25" s="43" t="e">
        <f>B24/B22</f>
        <v>#REF!</v>
      </c>
      <c r="C25" s="38"/>
      <c r="D25" s="38"/>
      <c r="E25" s="38"/>
      <c r="F25" s="38"/>
      <c r="G25" s="38"/>
      <c r="H25" s="38"/>
      <c r="I25" s="38"/>
      <c r="J25" s="38"/>
      <c r="K25" s="427" t="s">
        <v>275</v>
      </c>
      <c r="L25" s="428"/>
      <c r="M25" s="428"/>
      <c r="N25" s="429"/>
      <c r="O25" s="49"/>
      <c r="P25" s="38"/>
    </row>
    <row r="26" spans="1:16" ht="15.75">
      <c r="A26" s="46" t="s">
        <v>191</v>
      </c>
      <c r="B26" s="175" t="e">
        <f>B23-B24</f>
        <v>#REF!</v>
      </c>
      <c r="C26" s="38"/>
      <c r="D26" s="38"/>
      <c r="E26" s="38"/>
      <c r="F26" s="38"/>
      <c r="G26" s="38"/>
      <c r="H26" s="38"/>
      <c r="I26" s="38"/>
      <c r="J26" s="38"/>
      <c r="K26" s="430" t="s">
        <v>370</v>
      </c>
      <c r="L26" s="431"/>
      <c r="M26" s="432"/>
      <c r="N26" s="185" t="e">
        <f>(#REF!/4)-#REF!</f>
        <v>#REF!</v>
      </c>
      <c r="O26" s="210"/>
      <c r="P26" s="38"/>
    </row>
    <row r="27" spans="1:16" ht="15.7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424" t="s">
        <v>170</v>
      </c>
      <c r="L27" s="425"/>
      <c r="M27" s="426"/>
      <c r="N27" s="186">
        <f>N17</f>
        <v>4403604.1099999994</v>
      </c>
      <c r="O27" s="210"/>
      <c r="P27" s="38"/>
    </row>
    <row r="28" spans="1:16" ht="15.75">
      <c r="A28" s="62" t="s">
        <v>452</v>
      </c>
      <c r="B28" s="161">
        <v>5769222.8799999999</v>
      </c>
      <c r="C28" s="38"/>
      <c r="D28" s="38"/>
      <c r="E28" s="38"/>
      <c r="F28" s="38"/>
      <c r="G28" s="38"/>
      <c r="H28" s="38"/>
      <c r="I28" s="38"/>
      <c r="J28" s="38"/>
      <c r="K28" s="424" t="s">
        <v>276</v>
      </c>
      <c r="L28" s="425"/>
      <c r="M28" s="426"/>
      <c r="N28" s="151" t="e">
        <f>N26-N27</f>
        <v>#REF!</v>
      </c>
      <c r="O28" s="49"/>
      <c r="P28" s="38"/>
    </row>
    <row r="29" spans="1:16" ht="15.75">
      <c r="A29" s="62" t="s">
        <v>192</v>
      </c>
      <c r="B29" s="161">
        <f>B28*15%</f>
        <v>865383.43199999991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65"/>
      <c r="O29" s="49"/>
      <c r="P29" s="38"/>
    </row>
    <row r="30" spans="1:16" ht="15.75">
      <c r="A30" s="46" t="s">
        <v>254</v>
      </c>
      <c r="B30" s="162">
        <f>B29-B24</f>
        <v>522.59199999982957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49"/>
      <c r="P30" s="38"/>
    </row>
    <row r="31" spans="1:16" ht="16.5" thickBo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65"/>
      <c r="O31" s="170"/>
      <c r="P31" s="38"/>
    </row>
    <row r="32" spans="1:16">
      <c r="A32" s="131" t="s">
        <v>24</v>
      </c>
      <c r="B32" s="250" t="s">
        <v>9</v>
      </c>
      <c r="E32" s="3"/>
    </row>
    <row r="33" spans="1:14" ht="15.75" thickBot="1">
      <c r="A33" s="132" t="s">
        <v>25</v>
      </c>
      <c r="B33" s="207" t="s">
        <v>2</v>
      </c>
      <c r="E33" s="3"/>
    </row>
    <row r="34" spans="1:14">
      <c r="A34" s="1" t="s">
        <v>3</v>
      </c>
      <c r="B34" s="278">
        <v>9713896.2100000009</v>
      </c>
    </row>
    <row r="35" spans="1:14">
      <c r="A35" s="2" t="s">
        <v>4</v>
      </c>
      <c r="B35" s="278">
        <v>0</v>
      </c>
    </row>
    <row r="36" spans="1:14">
      <c r="A36" s="130" t="s">
        <v>265</v>
      </c>
      <c r="B36" s="129">
        <f>SUM(B34:B35)</f>
        <v>9713896.2100000009</v>
      </c>
      <c r="E36" s="168"/>
    </row>
    <row r="37" spans="1:14" ht="15.75" thickBot="1">
      <c r="E37" s="168"/>
    </row>
    <row r="38" spans="1:14" ht="15.75" thickBot="1">
      <c r="A38" s="141" t="s">
        <v>257</v>
      </c>
      <c r="B38" s="276">
        <f>B36/RECEITAS!H167</f>
        <v>0.19075633674961218</v>
      </c>
      <c r="E38" s="168"/>
    </row>
    <row r="39" spans="1:14" ht="15.75" thickBot="1">
      <c r="B39" t="s">
        <v>28</v>
      </c>
      <c r="E39" s="171"/>
    </row>
    <row r="40" spans="1:14">
      <c r="A40" s="290" t="s">
        <v>267</v>
      </c>
      <c r="B40" s="291">
        <f>(B36-(RECEITAS!H167*15%))</f>
        <v>2075437.3450000035</v>
      </c>
    </row>
    <row r="41" spans="1:14">
      <c r="A41" s="292" t="s">
        <v>268</v>
      </c>
      <c r="B41" s="293">
        <f>B40/RECEITAS!H167</f>
        <v>4.0756336749612203E-2</v>
      </c>
    </row>
    <row r="43" spans="1:14" ht="15.75">
      <c r="A43" s="437" t="s">
        <v>155</v>
      </c>
      <c r="B43" s="438"/>
      <c r="C43" s="438"/>
      <c r="D43" s="438"/>
      <c r="E43" s="438"/>
      <c r="F43" s="438"/>
      <c r="G43" s="438"/>
      <c r="H43" s="438"/>
      <c r="I43" s="438"/>
      <c r="J43" s="438"/>
      <c r="K43" s="438"/>
      <c r="L43" s="438"/>
      <c r="M43" s="438"/>
      <c r="N43" s="439"/>
    </row>
    <row r="44" spans="1:14" ht="15.75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</row>
    <row r="45" spans="1:14" ht="15.75">
      <c r="A45" s="79" t="s">
        <v>134</v>
      </c>
      <c r="B45" s="279">
        <v>45292</v>
      </c>
      <c r="C45" s="279">
        <v>45323</v>
      </c>
      <c r="D45" s="279">
        <v>45352</v>
      </c>
      <c r="E45" s="279">
        <v>45383</v>
      </c>
      <c r="F45" s="390">
        <v>45047</v>
      </c>
      <c r="G45" s="390">
        <v>45078</v>
      </c>
      <c r="H45" s="390">
        <v>45108</v>
      </c>
      <c r="I45" s="390">
        <v>45139</v>
      </c>
      <c r="J45" s="390">
        <v>45170</v>
      </c>
      <c r="K45" s="390">
        <v>45200</v>
      </c>
      <c r="L45" s="390">
        <v>45231</v>
      </c>
      <c r="M45" s="390">
        <v>45261</v>
      </c>
      <c r="N45" s="9" t="s">
        <v>1</v>
      </c>
    </row>
    <row r="46" spans="1:14" ht="15.75">
      <c r="A46" s="75" t="s">
        <v>121</v>
      </c>
      <c r="B46" s="11">
        <v>3596984.06</v>
      </c>
      <c r="C46" s="11">
        <v>3434339.07</v>
      </c>
      <c r="D46" s="11">
        <v>3333936.77</v>
      </c>
      <c r="E46" s="11">
        <v>3366105.97</v>
      </c>
      <c r="F46" s="11">
        <v>3502787.56</v>
      </c>
      <c r="G46" s="11">
        <v>4993627.8600000003</v>
      </c>
      <c r="H46" s="11">
        <v>6325367.9299999997</v>
      </c>
      <c r="I46" s="11">
        <v>3550104.44</v>
      </c>
      <c r="J46" s="11">
        <v>3599257.34</v>
      </c>
      <c r="K46" s="11">
        <v>3546554.64</v>
      </c>
      <c r="L46" s="11">
        <v>3430168.06</v>
      </c>
      <c r="M46" s="11"/>
      <c r="N46" s="12">
        <f>SUM(B46:M46)</f>
        <v>42679233.700000003</v>
      </c>
    </row>
    <row r="47" spans="1:14" ht="15.75">
      <c r="A47" s="75" t="s">
        <v>122</v>
      </c>
      <c r="B47" s="11">
        <v>0</v>
      </c>
      <c r="C47" s="11">
        <v>276500.47999999998</v>
      </c>
      <c r="D47" s="11">
        <v>219153.73</v>
      </c>
      <c r="E47" s="11">
        <v>255119.91</v>
      </c>
      <c r="F47" s="11">
        <v>249447.7</v>
      </c>
      <c r="G47" s="11">
        <v>632362.81000000006</v>
      </c>
      <c r="H47" s="11">
        <v>673418.59</v>
      </c>
      <c r="I47" s="11">
        <v>511204.98</v>
      </c>
      <c r="J47" s="11">
        <v>371661.52</v>
      </c>
      <c r="K47" s="11">
        <v>227698.65</v>
      </c>
      <c r="L47" s="11">
        <v>219407.27</v>
      </c>
      <c r="M47" s="11"/>
      <c r="N47" s="12">
        <f t="shared" ref="N47:N49" si="6">SUM(B47:M47)</f>
        <v>3635975.64</v>
      </c>
    </row>
    <row r="48" spans="1:14" ht="15.75">
      <c r="A48" s="75" t="s">
        <v>125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80"/>
      <c r="N48" s="12">
        <f>SUM(B48:M48)</f>
        <v>0</v>
      </c>
    </row>
    <row r="49" spans="1:14" ht="15.75">
      <c r="A49" s="75" t="s">
        <v>123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>
        <f t="shared" si="6"/>
        <v>0</v>
      </c>
    </row>
    <row r="50" spans="1:14" ht="15.75">
      <c r="A50" s="75" t="s">
        <v>127</v>
      </c>
      <c r="B50" s="11">
        <v>0</v>
      </c>
      <c r="C50" s="11">
        <v>11219.64</v>
      </c>
      <c r="D50" s="11">
        <v>11219.64</v>
      </c>
      <c r="E50" s="11">
        <v>11219.64</v>
      </c>
      <c r="F50" s="400">
        <v>11219.64</v>
      </c>
      <c r="G50" s="400">
        <v>11219.64</v>
      </c>
      <c r="H50" s="400">
        <v>11219.64</v>
      </c>
      <c r="I50" s="400">
        <v>11219.64</v>
      </c>
      <c r="J50" s="400">
        <v>11219.64</v>
      </c>
      <c r="K50" s="11"/>
      <c r="L50" s="11"/>
      <c r="M50" s="11"/>
      <c r="N50" s="12">
        <f>SUM(B50:M50)</f>
        <v>89757.119999999995</v>
      </c>
    </row>
    <row r="51" spans="1:14" ht="15.75">
      <c r="A51" s="75" t="s">
        <v>124</v>
      </c>
      <c r="B51" s="11">
        <f>150000+70000+32060</f>
        <v>252060</v>
      </c>
      <c r="C51" s="11">
        <f>250000+8000+20670</f>
        <v>278670</v>
      </c>
      <c r="D51" s="11">
        <f>150000+138700+70116</f>
        <v>358816</v>
      </c>
      <c r="E51" s="11">
        <f t="shared" ref="E51" si="7">150000+41400+55984</f>
        <v>247384</v>
      </c>
      <c r="F51" s="400">
        <v>252860</v>
      </c>
      <c r="G51" s="400">
        <v>244250</v>
      </c>
      <c r="H51" s="400">
        <v>246680</v>
      </c>
      <c r="I51" s="400">
        <v>267600</v>
      </c>
      <c r="J51" s="400">
        <f>165000+41400+55984</f>
        <v>262384</v>
      </c>
      <c r="K51" s="11">
        <v>248750</v>
      </c>
      <c r="L51" s="11">
        <v>254600</v>
      </c>
      <c r="M51" s="11">
        <v>318400</v>
      </c>
      <c r="N51" s="12">
        <f>SUM(B51:M51)</f>
        <v>3232454</v>
      </c>
    </row>
    <row r="52" spans="1:14" ht="15.7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ht="15.75">
      <c r="A53" s="10" t="s">
        <v>126</v>
      </c>
      <c r="B53" s="12">
        <f>SUM(B46:B51)</f>
        <v>3849044.06</v>
      </c>
      <c r="C53" s="12">
        <f>SUM(C46:C51)</f>
        <v>4000729.19</v>
      </c>
      <c r="D53" s="12">
        <f>SUM(D46:D51)</f>
        <v>3923126.14</v>
      </c>
      <c r="E53" s="12">
        <f>SUM(E46:E51)</f>
        <v>3879829.5200000005</v>
      </c>
      <c r="F53" s="12">
        <f t="shared" ref="F53:L53" si="8">SUM(F46:F51)</f>
        <v>4016314.9000000004</v>
      </c>
      <c r="G53" s="12">
        <f t="shared" si="8"/>
        <v>5881460.3099999996</v>
      </c>
      <c r="H53" s="12">
        <f t="shared" si="8"/>
        <v>7256686.1599999992</v>
      </c>
      <c r="I53" s="12">
        <f>SUM(I46:I51)</f>
        <v>4340129.0600000005</v>
      </c>
      <c r="J53" s="12">
        <f t="shared" si="8"/>
        <v>4244522.5</v>
      </c>
      <c r="K53" s="12">
        <f t="shared" si="8"/>
        <v>4023003.29</v>
      </c>
      <c r="L53" s="12">
        <f t="shared" si="8"/>
        <v>3904175.33</v>
      </c>
      <c r="M53" s="12">
        <f>SUM(M46:M51)</f>
        <v>318400</v>
      </c>
      <c r="N53" s="12">
        <f>SUM(N46:N51)</f>
        <v>49637420.460000001</v>
      </c>
    </row>
    <row r="54" spans="1:14" ht="15.7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</row>
    <row r="55" spans="1:14" ht="15.75">
      <c r="A55" s="21" t="s">
        <v>62</v>
      </c>
      <c r="B55" s="74">
        <v>0</v>
      </c>
      <c r="C55" s="74">
        <v>0</v>
      </c>
      <c r="D55" s="74">
        <v>0</v>
      </c>
      <c r="E55" s="74">
        <v>0</v>
      </c>
      <c r="F55" s="22"/>
      <c r="G55" s="22"/>
      <c r="H55" s="22">
        <v>2704954.38</v>
      </c>
      <c r="I55" s="22"/>
      <c r="J55" s="22"/>
      <c r="K55" s="22"/>
      <c r="L55" s="22"/>
      <c r="M55" s="22"/>
      <c r="N55" s="12">
        <f>SUM(B55:M55)</f>
        <v>2704954.38</v>
      </c>
    </row>
    <row r="56" spans="1:14" ht="15.75">
      <c r="A56" s="21"/>
      <c r="B56" s="74"/>
      <c r="C56" s="74"/>
      <c r="D56" s="74"/>
      <c r="E56" s="74"/>
      <c r="F56" s="22"/>
      <c r="G56" s="22"/>
      <c r="H56" s="22"/>
      <c r="I56" s="22"/>
      <c r="J56" s="22"/>
      <c r="K56" s="22"/>
      <c r="L56" s="22"/>
      <c r="M56" s="22"/>
      <c r="N56" s="12"/>
    </row>
    <row r="57" spans="1:14" ht="15.75">
      <c r="A57" s="173" t="s">
        <v>427</v>
      </c>
      <c r="B57" s="173">
        <f>B53-B55</f>
        <v>3849044.06</v>
      </c>
      <c r="C57" s="174">
        <f t="shared" ref="C57:H57" si="9">C53-C55</f>
        <v>4000729.19</v>
      </c>
      <c r="D57" s="174">
        <f t="shared" si="9"/>
        <v>3923126.14</v>
      </c>
      <c r="E57" s="173">
        <f>E53-E55</f>
        <v>3879829.5200000005</v>
      </c>
      <c r="F57" s="173">
        <f>F53-F55</f>
        <v>4016314.9000000004</v>
      </c>
      <c r="G57" s="174">
        <f t="shared" si="9"/>
        <v>5881460.3099999996</v>
      </c>
      <c r="H57" s="174">
        <f t="shared" si="9"/>
        <v>4551731.7799999993</v>
      </c>
      <c r="I57" s="174">
        <f>I53-I55</f>
        <v>4340129.0600000005</v>
      </c>
      <c r="J57" s="174">
        <f t="shared" ref="J57:M57" si="10">J53-J55</f>
        <v>4244522.5</v>
      </c>
      <c r="K57" s="174">
        <f t="shared" si="10"/>
        <v>4023003.29</v>
      </c>
      <c r="L57" s="174">
        <f t="shared" si="10"/>
        <v>3904175.33</v>
      </c>
      <c r="M57" s="174">
        <f t="shared" si="10"/>
        <v>318400</v>
      </c>
      <c r="N57" s="11">
        <f>SUM(B57:M57)</f>
        <v>46932466.079999998</v>
      </c>
    </row>
    <row r="58" spans="1:14" ht="15.75">
      <c r="A58" s="21"/>
      <c r="B58" s="74"/>
      <c r="C58" s="74"/>
      <c r="D58" s="74"/>
      <c r="E58" s="74"/>
      <c r="F58" s="22"/>
      <c r="G58" s="22"/>
      <c r="H58" s="22"/>
      <c r="I58" s="22"/>
      <c r="J58" s="22"/>
      <c r="K58" s="22"/>
      <c r="L58" s="22"/>
      <c r="M58" s="22"/>
      <c r="N58" s="12">
        <f t="shared" ref="N58:N60" si="11">SUM(B58:M58)</f>
        <v>0</v>
      </c>
    </row>
    <row r="59" spans="1:14" ht="15.75">
      <c r="A59" s="15" t="s">
        <v>258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>
        <v>4858322.8899999997</v>
      </c>
      <c r="N59" s="12">
        <f>SUM(B59:M59)</f>
        <v>4858322.8899999997</v>
      </c>
    </row>
    <row r="60" spans="1:14" ht="15.7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2">
        <f t="shared" si="11"/>
        <v>0</v>
      </c>
    </row>
    <row r="61" spans="1:14" ht="15.75">
      <c r="A61" s="188" t="s">
        <v>171</v>
      </c>
      <c r="B61" s="188">
        <f t="shared" ref="B61:L61" si="12">SUM(B57:B60)</f>
        <v>3849044.06</v>
      </c>
      <c r="C61" s="188">
        <f t="shared" si="12"/>
        <v>4000729.19</v>
      </c>
      <c r="D61" s="188">
        <f t="shared" si="12"/>
        <v>3923126.14</v>
      </c>
      <c r="E61" s="188">
        <f t="shared" si="12"/>
        <v>3879829.5200000005</v>
      </c>
      <c r="F61" s="188">
        <f t="shared" si="12"/>
        <v>4016314.9000000004</v>
      </c>
      <c r="G61" s="188">
        <f t="shared" si="12"/>
        <v>5881460.3099999996</v>
      </c>
      <c r="H61" s="188">
        <f t="shared" si="12"/>
        <v>4551731.7799999993</v>
      </c>
      <c r="I61" s="188">
        <f t="shared" si="12"/>
        <v>4340129.0600000005</v>
      </c>
      <c r="J61" s="188">
        <f t="shared" si="12"/>
        <v>4244522.5</v>
      </c>
      <c r="K61" s="188">
        <f t="shared" si="12"/>
        <v>4023003.29</v>
      </c>
      <c r="L61" s="188">
        <f t="shared" si="12"/>
        <v>3904175.33</v>
      </c>
      <c r="M61" s="188">
        <f>SUM(M57:M60)</f>
        <v>5176722.8899999997</v>
      </c>
      <c r="N61" s="349">
        <f>SUM(B61:M61)</f>
        <v>51790788.969999999</v>
      </c>
    </row>
    <row r="62" spans="1:14" ht="15.7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2"/>
    </row>
    <row r="63" spans="1:14" ht="15.75">
      <c r="A63" s="14" t="s">
        <v>47</v>
      </c>
      <c r="B63" s="19" t="e">
        <f>B61/#REF!</f>
        <v>#REF!</v>
      </c>
      <c r="C63" s="19" t="e">
        <f>C61/#REF!</f>
        <v>#REF!</v>
      </c>
      <c r="D63" s="19" t="e">
        <f>D61/#REF!</f>
        <v>#REF!</v>
      </c>
      <c r="E63" s="19" t="e">
        <f>E61/#REF!</f>
        <v>#REF!</v>
      </c>
      <c r="F63" s="19" t="e">
        <f>F61/#REF!</f>
        <v>#REF!</v>
      </c>
      <c r="G63" s="19" t="e">
        <f>G61/#REF!</f>
        <v>#REF!</v>
      </c>
      <c r="H63" s="19" t="e">
        <f>H61/#REF!</f>
        <v>#REF!</v>
      </c>
      <c r="I63" s="19" t="e">
        <f>I61/#REF!</f>
        <v>#REF!</v>
      </c>
      <c r="J63" s="19" t="e">
        <f>J61/#REF!</f>
        <v>#REF!</v>
      </c>
      <c r="K63" s="19" t="e">
        <f>K61/#REF!</f>
        <v>#REF!</v>
      </c>
      <c r="L63" s="19" t="e">
        <f>L61/#REF!</f>
        <v>#REF!</v>
      </c>
      <c r="M63" s="19" t="e">
        <f>M61/#REF!</f>
        <v>#REF!</v>
      </c>
      <c r="N63" s="19" t="e">
        <f>N61/#REF!</f>
        <v>#REF!</v>
      </c>
    </row>
    <row r="64" spans="1:14" ht="15.75">
      <c r="A64" s="76"/>
      <c r="B64" s="76"/>
      <c r="C64" s="76"/>
      <c r="D64" s="69"/>
      <c r="E64" s="76"/>
      <c r="F64" s="76"/>
      <c r="G64" s="76"/>
      <c r="H64" s="76"/>
      <c r="I64" s="76"/>
      <c r="J64" s="76"/>
      <c r="K64" s="76"/>
      <c r="L64" s="76"/>
      <c r="M64" s="81"/>
      <c r="N64" s="76"/>
    </row>
    <row r="65" spans="1:14" ht="20.25">
      <c r="A65" s="282" t="s">
        <v>262</v>
      </c>
      <c r="B65" s="21">
        <v>38905920.25</v>
      </c>
      <c r="C65" s="81"/>
      <c r="D65" s="81">
        <v>14021867.640000001</v>
      </c>
      <c r="E65" s="81">
        <v>6467486.4000000004</v>
      </c>
      <c r="F65" s="76"/>
      <c r="G65" s="76"/>
      <c r="H65" s="76"/>
      <c r="I65" s="76"/>
      <c r="J65" s="76"/>
      <c r="K65" s="440" t="s">
        <v>385</v>
      </c>
      <c r="L65" s="441"/>
      <c r="M65" s="442"/>
      <c r="N65" s="101" t="e">
        <f>N63</f>
        <v>#REF!</v>
      </c>
    </row>
    <row r="66" spans="1:14" ht="15.75">
      <c r="A66" s="282" t="s">
        <v>263</v>
      </c>
      <c r="B66" s="21">
        <f>B65/12</f>
        <v>3242160.0208333335</v>
      </c>
      <c r="C66" s="167"/>
      <c r="D66" s="166" t="e">
        <f>#REF!-D65</f>
        <v>#REF!</v>
      </c>
      <c r="E66" s="166" t="e">
        <f>#REF!-E65</f>
        <v>#REF!</v>
      </c>
      <c r="F66" s="167"/>
      <c r="G66" s="167"/>
      <c r="H66" s="167"/>
      <c r="I66" s="166"/>
      <c r="J66" s="17"/>
      <c r="K66" s="82"/>
      <c r="L66" s="17"/>
      <c r="M66" s="17"/>
      <c r="N66" s="17"/>
    </row>
    <row r="67" spans="1:14" ht="15.75">
      <c r="A67" s="76"/>
      <c r="B67" s="166"/>
      <c r="C67" s="82"/>
      <c r="D67" s="166"/>
      <c r="E67" s="166"/>
      <c r="F67" s="166"/>
      <c r="G67" s="166"/>
      <c r="H67" s="166"/>
      <c r="I67" s="166"/>
      <c r="J67" s="17"/>
      <c r="K67" s="82"/>
      <c r="L67" s="82"/>
      <c r="M67" s="82"/>
      <c r="N67" s="82"/>
    </row>
    <row r="68" spans="1:14" ht="20.25">
      <c r="A68" s="413" t="s">
        <v>177</v>
      </c>
      <c r="B68" s="413" t="s">
        <v>178</v>
      </c>
      <c r="C68" s="413" t="s">
        <v>179</v>
      </c>
      <c r="D68" s="413" t="s">
        <v>253</v>
      </c>
      <c r="E68" s="413" t="s">
        <v>180</v>
      </c>
      <c r="F68" s="17"/>
      <c r="G68" s="6"/>
      <c r="H68" s="77"/>
      <c r="I68" s="76"/>
      <c r="J68" s="76"/>
      <c r="K68" s="444" t="s">
        <v>386</v>
      </c>
      <c r="L68" s="444"/>
      <c r="M68" s="444"/>
      <c r="N68" s="346"/>
    </row>
    <row r="69" spans="1:14" ht="15.75">
      <c r="A69" s="38"/>
      <c r="B69" s="38"/>
      <c r="C69" s="38"/>
      <c r="D69" s="38"/>
      <c r="E69" s="38"/>
      <c r="F69" s="83"/>
      <c r="G69" s="77"/>
      <c r="H69" s="77"/>
      <c r="I69" s="76"/>
      <c r="J69" s="76"/>
      <c r="K69" s="445"/>
      <c r="L69" s="445"/>
      <c r="M69" s="445"/>
      <c r="N69" s="76"/>
    </row>
    <row r="70" spans="1:14" ht="15.75">
      <c r="A70" s="62" t="str">
        <f>A34</f>
        <v>DESPESAS CORRENTES</v>
      </c>
      <c r="B70" s="64">
        <f>N34</f>
        <v>0</v>
      </c>
      <c r="C70" s="64">
        <f>N52+N57</f>
        <v>46932466.079999998</v>
      </c>
      <c r="D70" s="43" t="e">
        <f>C70/B70</f>
        <v>#DIV/0!</v>
      </c>
      <c r="E70" s="64">
        <f>B70-C70</f>
        <v>-46932466.079999998</v>
      </c>
      <c r="F70" s="6"/>
      <c r="G70" s="78"/>
      <c r="H70" s="78"/>
      <c r="I70" s="76"/>
      <c r="J70" s="76"/>
      <c r="K70" s="446" t="str">
        <f>A57</f>
        <v>2024 DESPESA LÍQUIDA COM PESSOAL</v>
      </c>
      <c r="L70" s="446"/>
      <c r="M70" s="80">
        <f>RECEITAS!T169</f>
        <v>97368890.480000004</v>
      </c>
      <c r="N70" s="76"/>
    </row>
    <row r="71" spans="1:14" ht="15.75">
      <c r="A71" s="38"/>
      <c r="B71" s="38"/>
      <c r="C71" s="38"/>
      <c r="D71" s="113"/>
      <c r="E71" s="65"/>
      <c r="F71" s="414"/>
      <c r="G71" s="414"/>
      <c r="H71" s="414"/>
      <c r="I71" s="414"/>
      <c r="J71" s="414"/>
      <c r="K71" s="436" t="str">
        <f>A59</f>
        <v>2023 DESPESA LÍQUIDA COM PESSOAL</v>
      </c>
      <c r="L71" s="436"/>
      <c r="M71" s="414">
        <f>RECEITAS!T171</f>
        <v>9174126.2599999998</v>
      </c>
      <c r="N71" s="84"/>
    </row>
    <row r="72" spans="1:14" ht="15.75">
      <c r="A72" s="62">
        <f>A37</f>
        <v>0</v>
      </c>
      <c r="B72" s="64">
        <f>N37</f>
        <v>0</v>
      </c>
      <c r="C72" s="64">
        <f>N53+N58</f>
        <v>49637420.460000001</v>
      </c>
      <c r="D72" s="43" t="e">
        <f>C72/B72</f>
        <v>#DIV/0!</v>
      </c>
      <c r="E72" s="64">
        <f>B72-C72</f>
        <v>-49637420.460000001</v>
      </c>
      <c r="F72" s="414"/>
      <c r="G72" s="414"/>
      <c r="H72" s="414"/>
      <c r="I72" s="414"/>
      <c r="J72" s="414"/>
      <c r="K72" s="436" t="s">
        <v>438</v>
      </c>
      <c r="L72" s="436"/>
      <c r="M72" s="414"/>
      <c r="N72" s="84"/>
    </row>
    <row r="73" spans="1:14" ht="15.75">
      <c r="A73" s="38"/>
      <c r="B73" s="38"/>
      <c r="C73" s="38"/>
      <c r="D73" s="113"/>
      <c r="E73" s="65"/>
      <c r="F73" s="414"/>
      <c r="G73" s="414"/>
      <c r="H73" s="17"/>
      <c r="I73" s="414"/>
      <c r="J73" s="414"/>
      <c r="K73" s="436" t="s">
        <v>439</v>
      </c>
      <c r="L73" s="436"/>
      <c r="M73" s="414">
        <f>RECEITAS!D24+RECEITAS!D32</f>
        <v>8276841.3699999992</v>
      </c>
      <c r="N73" s="84"/>
    </row>
    <row r="74" spans="1:14" ht="15.75">
      <c r="A74" s="62" t="str">
        <f>A40</f>
        <v>VALOR EXCEDENTE AO LIMITE MÍNIMO CONSTITUCIONAL</v>
      </c>
      <c r="B74" s="433">
        <f>N40</f>
        <v>0</v>
      </c>
      <c r="C74" s="64">
        <f>N54+N59</f>
        <v>4858322.8899999997</v>
      </c>
      <c r="D74" s="43" t="e">
        <f>C74/B74</f>
        <v>#DIV/0!</v>
      </c>
      <c r="E74" s="433">
        <f>B74-SUM(C74:C76)</f>
        <v>-59354066.239999995</v>
      </c>
      <c r="F74" s="414"/>
      <c r="G74" s="414"/>
      <c r="H74" s="414"/>
      <c r="I74" s="414"/>
      <c r="J74" s="414"/>
      <c r="K74" s="436" t="s">
        <v>387</v>
      </c>
      <c r="L74" s="436"/>
      <c r="M74" s="414">
        <f>M70+M71-M72-M73</f>
        <v>98266175.370000005</v>
      </c>
      <c r="N74" s="84"/>
    </row>
    <row r="75" spans="1:14" ht="15.75">
      <c r="A75" s="62" t="s">
        <v>198</v>
      </c>
      <c r="B75" s="434"/>
      <c r="C75" s="64">
        <f>N55+N60</f>
        <v>2704954.38</v>
      </c>
      <c r="D75" s="43" t="e">
        <f>C75/B74</f>
        <v>#DIV/0!</v>
      </c>
      <c r="E75" s="434"/>
      <c r="F75" s="414"/>
      <c r="G75" s="414"/>
      <c r="H75" s="17"/>
      <c r="I75" s="414"/>
      <c r="J75" s="414"/>
      <c r="K75" s="414"/>
      <c r="L75" s="414"/>
      <c r="M75" s="414"/>
      <c r="N75" s="84"/>
    </row>
    <row r="76" spans="1:14" ht="15.75">
      <c r="A76" s="62" t="s">
        <v>199</v>
      </c>
      <c r="B76" s="435"/>
      <c r="C76" s="64">
        <f>N61</f>
        <v>51790788.969999999</v>
      </c>
      <c r="D76" s="43" t="e">
        <f>C76/B74</f>
        <v>#DIV/0!</v>
      </c>
      <c r="E76" s="435"/>
      <c r="F76" s="84"/>
      <c r="G76" s="84"/>
      <c r="H76" s="84"/>
      <c r="I76" s="84"/>
      <c r="J76" s="84"/>
      <c r="K76" s="436" t="str">
        <f>A57</f>
        <v>2024 DESPESA LÍQUIDA COM PESSOAL</v>
      </c>
      <c r="L76" s="436"/>
      <c r="M76" s="414">
        <f>N57</f>
        <v>46932466.079999998</v>
      </c>
      <c r="N76" s="84"/>
    </row>
    <row r="77" spans="1:14" ht="15.75">
      <c r="A77" s="38"/>
      <c r="B77" s="38"/>
      <c r="C77" s="38"/>
      <c r="D77" s="113"/>
      <c r="E77" s="38"/>
      <c r="F77" s="17"/>
      <c r="G77" s="17"/>
      <c r="H77" s="17"/>
      <c r="I77" s="17"/>
      <c r="J77" s="17"/>
      <c r="K77" s="436" t="str">
        <f>A59</f>
        <v>2023 DESPESA LÍQUIDA COM PESSOAL</v>
      </c>
      <c r="L77" s="436"/>
      <c r="M77" s="17">
        <f>N59</f>
        <v>4858322.8899999997</v>
      </c>
      <c r="N77" s="84"/>
    </row>
    <row r="78" spans="1:14" ht="15.75">
      <c r="A78" s="410" t="s">
        <v>187</v>
      </c>
      <c r="B78" s="64">
        <f>SUM(B70:B76)</f>
        <v>0</v>
      </c>
      <c r="C78" s="64">
        <f>SUM(C70:C76)</f>
        <v>155923952.77999997</v>
      </c>
      <c r="D78" s="213" t="e">
        <f>C78/B78</f>
        <v>#DIV/0!</v>
      </c>
      <c r="E78" s="64">
        <f>B78-C78</f>
        <v>-155923952.77999997</v>
      </c>
      <c r="F78" s="76"/>
      <c r="G78" s="76"/>
      <c r="H78" s="76"/>
      <c r="I78" s="76"/>
      <c r="J78" s="76"/>
      <c r="K78" s="443" t="s">
        <v>388</v>
      </c>
      <c r="L78" s="443"/>
      <c r="M78" s="80">
        <f>M76+M77</f>
        <v>51790788.969999999</v>
      </c>
      <c r="N78" s="76"/>
    </row>
    <row r="79" spans="1:14" ht="15.75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</row>
    <row r="80" spans="1:14" ht="15.75" customHeight="1">
      <c r="A80" s="76"/>
      <c r="B80" s="76"/>
      <c r="C80" s="76"/>
      <c r="D80" s="76"/>
      <c r="E80" s="76"/>
      <c r="F80" s="76"/>
      <c r="G80" s="443" t="s">
        <v>391</v>
      </c>
      <c r="H80" s="443"/>
      <c r="I80" s="347">
        <f>M78/M74</f>
        <v>0.52704594205476096</v>
      </c>
      <c r="J80" s="76"/>
    </row>
    <row r="81" ht="15" customHeight="1"/>
    <row r="82" ht="15" customHeight="1"/>
  </sheetData>
  <mergeCells count="21">
    <mergeCell ref="K77:L77"/>
    <mergeCell ref="K78:L78"/>
    <mergeCell ref="G80:H80"/>
    <mergeCell ref="K68:M69"/>
    <mergeCell ref="K70:L70"/>
    <mergeCell ref="K71:L71"/>
    <mergeCell ref="K72:L72"/>
    <mergeCell ref="K73:L73"/>
    <mergeCell ref="B74:B76"/>
    <mergeCell ref="E74:E76"/>
    <mergeCell ref="K74:L74"/>
    <mergeCell ref="K76:L76"/>
    <mergeCell ref="K27:M27"/>
    <mergeCell ref="K28:M28"/>
    <mergeCell ref="A43:N43"/>
    <mergeCell ref="K65:M65"/>
    <mergeCell ref="A1:J1"/>
    <mergeCell ref="A20:B20"/>
    <mergeCell ref="K20:N20"/>
    <mergeCell ref="K25:N25"/>
    <mergeCell ref="K26:M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D2C-A0FF-42D7-BB7F-0945B6CC7C07}">
  <dimension ref="A1:O37"/>
  <sheetViews>
    <sheetView zoomScaleNormal="100" workbookViewId="0">
      <selection activeCell="E1" sqref="E1"/>
    </sheetView>
  </sheetViews>
  <sheetFormatPr defaultRowHeight="18.75"/>
  <cols>
    <col min="1" max="1" width="36.42578125" bestFit="1" customWidth="1"/>
    <col min="2" max="2" width="14.5703125" customWidth="1"/>
    <col min="3" max="3" width="14.5703125" bestFit="1" customWidth="1"/>
    <col min="4" max="4" width="16.28515625" bestFit="1" customWidth="1"/>
    <col min="5" max="6" width="14.5703125" style="168" bestFit="1" customWidth="1"/>
    <col min="7" max="7" width="12.7109375" style="168" bestFit="1" customWidth="1"/>
    <col min="8" max="8" width="15.85546875" style="81" bestFit="1" customWidth="1"/>
    <col min="9" max="9" width="4.5703125" customWidth="1"/>
    <col min="10" max="10" width="42.85546875" bestFit="1" customWidth="1"/>
    <col min="11" max="11" width="20.42578125" style="168" customWidth="1"/>
    <col min="12" max="12" width="17.42578125" customWidth="1"/>
    <col min="13" max="13" width="16.42578125" bestFit="1" customWidth="1"/>
    <col min="14" max="14" width="16" bestFit="1" customWidth="1"/>
    <col min="15" max="15" width="18.28515625" style="383" bestFit="1" customWidth="1"/>
  </cols>
  <sheetData>
    <row r="1" spans="1:15" ht="47.25">
      <c r="A1" s="351" t="s">
        <v>409</v>
      </c>
      <c r="B1" s="351" t="s">
        <v>421</v>
      </c>
      <c r="C1" s="351" t="s">
        <v>410</v>
      </c>
      <c r="D1" s="351" t="s">
        <v>411</v>
      </c>
      <c r="E1" s="352" t="s">
        <v>417</v>
      </c>
      <c r="F1" s="352" t="s">
        <v>422</v>
      </c>
      <c r="G1" s="354" t="s">
        <v>425</v>
      </c>
      <c r="H1" s="359" t="s">
        <v>187</v>
      </c>
      <c r="J1" s="387" t="s">
        <v>409</v>
      </c>
      <c r="K1" s="387" t="s">
        <v>421</v>
      </c>
      <c r="L1" s="387" t="s">
        <v>410</v>
      </c>
      <c r="M1" s="387" t="s">
        <v>411</v>
      </c>
      <c r="N1" s="388" t="s">
        <v>426</v>
      </c>
      <c r="O1" s="389" t="s">
        <v>187</v>
      </c>
    </row>
    <row r="2" spans="1:15" ht="5.0999999999999996" customHeight="1">
      <c r="A2" s="355"/>
      <c r="B2" s="355"/>
      <c r="C2" s="355"/>
      <c r="D2" s="355"/>
      <c r="E2" s="356"/>
      <c r="F2" s="353"/>
      <c r="J2" s="369"/>
      <c r="K2" s="369"/>
      <c r="L2" s="369"/>
      <c r="M2" s="369"/>
      <c r="N2" s="81"/>
      <c r="O2" s="377"/>
    </row>
    <row r="3" spans="1:15">
      <c r="A3" s="292" t="s">
        <v>418</v>
      </c>
      <c r="B3" s="300">
        <v>2718650.61</v>
      </c>
      <c r="C3" s="300">
        <v>2702740.61</v>
      </c>
      <c r="D3" s="300">
        <f>B3-C3</f>
        <v>15910</v>
      </c>
      <c r="E3" s="541"/>
      <c r="F3" s="542"/>
      <c r="G3" s="542"/>
      <c r="H3" s="543"/>
      <c r="J3" s="282" t="s">
        <v>418</v>
      </c>
      <c r="K3" s="370">
        <v>2718650.61</v>
      </c>
      <c r="L3" s="370">
        <v>2702740.61</v>
      </c>
      <c r="M3" s="370">
        <f>K3-L3</f>
        <v>15910</v>
      </c>
      <c r="N3" s="371"/>
      <c r="O3" s="378"/>
    </row>
    <row r="4" spans="1:15">
      <c r="A4" s="292" t="s">
        <v>294</v>
      </c>
      <c r="B4" s="300">
        <v>6187238.7000000002</v>
      </c>
      <c r="C4" s="300">
        <v>5728126.1200000001</v>
      </c>
      <c r="D4" s="300">
        <f t="shared" ref="D4:D10" si="0">B4-C4</f>
        <v>459112.58000000007</v>
      </c>
      <c r="E4" s="544"/>
      <c r="F4" s="545"/>
      <c r="G4" s="545"/>
      <c r="H4" s="546"/>
      <c r="J4" s="282" t="s">
        <v>294</v>
      </c>
      <c r="K4" s="370">
        <v>6187238.7000000002</v>
      </c>
      <c r="L4" s="370">
        <v>5728126.1200000001</v>
      </c>
      <c r="M4" s="370">
        <f t="shared" ref="M4:M10" si="1">K4-L4</f>
        <v>459112.58000000007</v>
      </c>
      <c r="N4" s="372"/>
      <c r="O4" s="379"/>
    </row>
    <row r="5" spans="1:15">
      <c r="A5" s="292" t="s">
        <v>295</v>
      </c>
      <c r="B5" s="300">
        <v>3235935.06</v>
      </c>
      <c r="C5" s="300">
        <v>3091551.61</v>
      </c>
      <c r="D5" s="300">
        <f t="shared" si="0"/>
        <v>144383.45000000019</v>
      </c>
      <c r="E5" s="544"/>
      <c r="F5" s="545"/>
      <c r="G5" s="545"/>
      <c r="H5" s="546"/>
      <c r="J5" s="282" t="s">
        <v>295</v>
      </c>
      <c r="K5" s="370">
        <v>3235935.06</v>
      </c>
      <c r="L5" s="370">
        <v>3091551.61</v>
      </c>
      <c r="M5" s="370">
        <f t="shared" si="1"/>
        <v>144383.45000000019</v>
      </c>
      <c r="N5" s="372"/>
      <c r="O5" s="379"/>
    </row>
    <row r="6" spans="1:15">
      <c r="A6" s="292" t="s">
        <v>419</v>
      </c>
      <c r="B6" s="300">
        <v>263836.37</v>
      </c>
      <c r="C6" s="300">
        <v>250865.14</v>
      </c>
      <c r="D6" s="300">
        <f t="shared" si="0"/>
        <v>12971.229999999981</v>
      </c>
      <c r="E6" s="544"/>
      <c r="F6" s="545"/>
      <c r="G6" s="545"/>
      <c r="H6" s="546"/>
      <c r="J6" s="282" t="s">
        <v>419</v>
      </c>
      <c r="K6" s="370">
        <v>263836.37</v>
      </c>
      <c r="L6" s="370">
        <v>250865.14</v>
      </c>
      <c r="M6" s="370">
        <f t="shared" si="1"/>
        <v>12971.229999999981</v>
      </c>
      <c r="N6" s="372"/>
      <c r="O6" s="379"/>
    </row>
    <row r="7" spans="1:15">
      <c r="A7" s="292" t="s">
        <v>420</v>
      </c>
      <c r="B7" s="300">
        <v>364296.88</v>
      </c>
      <c r="C7" s="300">
        <v>364296.88</v>
      </c>
      <c r="D7" s="300">
        <f t="shared" si="0"/>
        <v>0</v>
      </c>
      <c r="E7" s="544"/>
      <c r="F7" s="545"/>
      <c r="G7" s="545"/>
      <c r="H7" s="546"/>
      <c r="J7" s="282" t="s">
        <v>420</v>
      </c>
      <c r="K7" s="370">
        <v>364296.88</v>
      </c>
      <c r="L7" s="370">
        <v>364296.88</v>
      </c>
      <c r="M7" s="370">
        <f t="shared" si="1"/>
        <v>0</v>
      </c>
      <c r="N7" s="372"/>
      <c r="O7" s="379"/>
    </row>
    <row r="8" spans="1:15">
      <c r="A8" s="292" t="s">
        <v>298</v>
      </c>
      <c r="B8" s="300">
        <v>8930552.6799999997</v>
      </c>
      <c r="C8" s="300">
        <v>8357372.0499999998</v>
      </c>
      <c r="D8" s="300">
        <f t="shared" si="0"/>
        <v>573180.62999999989</v>
      </c>
      <c r="E8" s="544"/>
      <c r="F8" s="545"/>
      <c r="G8" s="545"/>
      <c r="H8" s="546"/>
      <c r="J8" s="282" t="s">
        <v>298</v>
      </c>
      <c r="K8" s="370">
        <v>8930552.6799999997</v>
      </c>
      <c r="L8" s="370">
        <v>8357372.0499999998</v>
      </c>
      <c r="M8" s="370">
        <f t="shared" si="1"/>
        <v>573180.62999999989</v>
      </c>
      <c r="N8" s="372"/>
      <c r="O8" s="379"/>
    </row>
    <row r="9" spans="1:15">
      <c r="A9" s="292" t="s">
        <v>299</v>
      </c>
      <c r="B9" s="300">
        <v>3037481.74</v>
      </c>
      <c r="C9" s="300">
        <v>2920017.16</v>
      </c>
      <c r="D9" s="300">
        <f t="shared" si="0"/>
        <v>117464.58000000007</v>
      </c>
      <c r="E9" s="544"/>
      <c r="F9" s="545"/>
      <c r="G9" s="545"/>
      <c r="H9" s="546"/>
      <c r="J9" s="282" t="s">
        <v>299</v>
      </c>
      <c r="K9" s="370">
        <v>3037481.74</v>
      </c>
      <c r="L9" s="370">
        <v>2920017.16</v>
      </c>
      <c r="M9" s="370">
        <f t="shared" si="1"/>
        <v>117464.58000000007</v>
      </c>
      <c r="N9" s="372"/>
      <c r="O9" s="379"/>
    </row>
    <row r="10" spans="1:15">
      <c r="A10" s="292" t="s">
        <v>423</v>
      </c>
      <c r="B10" s="300">
        <v>3883220.05</v>
      </c>
      <c r="C10" s="300">
        <v>3833415.84</v>
      </c>
      <c r="D10" s="300">
        <f t="shared" si="0"/>
        <v>49804.209999999963</v>
      </c>
      <c r="E10" s="547"/>
      <c r="F10" s="548"/>
      <c r="G10" s="548"/>
      <c r="H10" s="549"/>
      <c r="J10" s="282" t="s">
        <v>423</v>
      </c>
      <c r="K10" s="370">
        <v>3883220.05</v>
      </c>
      <c r="L10" s="370">
        <v>3833415.84</v>
      </c>
      <c r="M10" s="370">
        <f t="shared" si="1"/>
        <v>49804.209999999963</v>
      </c>
      <c r="N10" s="373"/>
      <c r="O10" s="380"/>
    </row>
    <row r="11" spans="1:15" ht="5.0999999999999996" customHeight="1">
      <c r="A11" s="357"/>
      <c r="B11" s="357"/>
      <c r="C11" s="357"/>
      <c r="D11" s="357"/>
      <c r="E11" s="358"/>
      <c r="F11" s="353"/>
      <c r="J11" s="374"/>
      <c r="K11" s="374"/>
      <c r="L11" s="374"/>
      <c r="M11" s="374"/>
      <c r="N11" s="81"/>
      <c r="O11" s="377"/>
    </row>
    <row r="12" spans="1:15">
      <c r="A12" s="361" t="s">
        <v>412</v>
      </c>
      <c r="B12" s="362">
        <f>SUM(B3:B11)</f>
        <v>28621212.09</v>
      </c>
      <c r="C12" s="362">
        <f t="shared" ref="C12" si="2">SUM(C3:C11)</f>
        <v>27248385.41</v>
      </c>
      <c r="D12" s="362">
        <f>SUM(D3:D11)</f>
        <v>1372826.6800000002</v>
      </c>
      <c r="E12" s="363">
        <v>356484.48</v>
      </c>
      <c r="F12" s="363">
        <v>813314.11</v>
      </c>
      <c r="G12" s="363">
        <f>75887.7+7304.58+5006.04+450</f>
        <v>88648.319999999992</v>
      </c>
      <c r="H12" s="364">
        <f>SUM(D12:G12)</f>
        <v>2631273.59</v>
      </c>
      <c r="J12" s="375" t="s">
        <v>412</v>
      </c>
      <c r="K12" s="367">
        <f>SUM(K3:K11)</f>
        <v>28621212.09</v>
      </c>
      <c r="L12" s="367">
        <f t="shared" ref="L12" si="3">SUM(L3:L11)</f>
        <v>27248385.41</v>
      </c>
      <c r="M12" s="367">
        <f>SUM(M3:M11)</f>
        <v>1372826.6800000002</v>
      </c>
      <c r="N12" s="368">
        <f>75887.7+7304.58+5006.04+450</f>
        <v>88648.319999999992</v>
      </c>
      <c r="O12" s="381">
        <f>SUM(M12:N12)</f>
        <v>1461475.0000000002</v>
      </c>
    </row>
    <row r="13" spans="1:15">
      <c r="A13" s="361" t="s">
        <v>424</v>
      </c>
      <c r="B13" s="362">
        <f>B12</f>
        <v>28621212.09</v>
      </c>
      <c r="C13" s="362">
        <v>22292492.350000001</v>
      </c>
      <c r="D13" s="362">
        <f>B13-C13</f>
        <v>6328719.7399999984</v>
      </c>
      <c r="E13" s="538"/>
      <c r="F13" s="539"/>
      <c r="G13" s="540"/>
      <c r="H13" s="364">
        <f>D13+E12+F12+G12</f>
        <v>7587166.6499999994</v>
      </c>
      <c r="J13" s="375" t="s">
        <v>424</v>
      </c>
      <c r="K13" s="367">
        <f>K12</f>
        <v>28621212.09</v>
      </c>
      <c r="L13" s="367">
        <v>22292492.350000001</v>
      </c>
      <c r="M13" s="367">
        <f>K13-L13</f>
        <v>6328719.7399999984</v>
      </c>
      <c r="N13" s="376"/>
      <c r="O13" s="381">
        <f>M13+N12</f>
        <v>6417368.0599999987</v>
      </c>
    </row>
    <row r="14" spans="1:15">
      <c r="H14" s="360"/>
      <c r="J14" s="76"/>
      <c r="K14" s="76"/>
      <c r="L14" s="76"/>
      <c r="M14" s="76"/>
      <c r="N14" s="81"/>
      <c r="O14" s="382"/>
    </row>
    <row r="15" spans="1:15">
      <c r="A15" s="361" t="s">
        <v>413</v>
      </c>
      <c r="B15" s="362">
        <v>19956253.210000001</v>
      </c>
      <c r="C15" s="362">
        <v>18533154.199999999</v>
      </c>
      <c r="D15" s="362">
        <f>B15-C15</f>
        <v>1423099.0100000016</v>
      </c>
      <c r="E15" s="363">
        <v>482945.56</v>
      </c>
      <c r="F15" s="363">
        <v>1065389.5</v>
      </c>
      <c r="G15" s="365">
        <f>3767.84+22761.51+93901.26</f>
        <v>120430.60999999999</v>
      </c>
      <c r="H15" s="364">
        <f>SUM(D15:G15)</f>
        <v>3091864.6800000016</v>
      </c>
      <c r="J15" s="375" t="s">
        <v>413</v>
      </c>
      <c r="K15" s="367">
        <v>19956253.210000001</v>
      </c>
      <c r="L15" s="367">
        <v>18533154.199999999</v>
      </c>
      <c r="M15" s="367">
        <f>K15-L15</f>
        <v>1423099.0100000016</v>
      </c>
      <c r="N15" s="368">
        <f>3767.84+22761.51+93901.26</f>
        <v>120430.60999999999</v>
      </c>
      <c r="O15" s="381">
        <f>SUM(M15:N15)</f>
        <v>1543529.6200000015</v>
      </c>
    </row>
    <row r="16" spans="1:15">
      <c r="A16" s="361" t="s">
        <v>424</v>
      </c>
      <c r="B16" s="362">
        <f>B15</f>
        <v>19956253.210000001</v>
      </c>
      <c r="C16" s="362">
        <v>18096264</v>
      </c>
      <c r="D16" s="362">
        <f>B16-C16</f>
        <v>1859989.2100000009</v>
      </c>
      <c r="E16" s="538"/>
      <c r="F16" s="539"/>
      <c r="G16" s="540"/>
      <c r="H16" s="364">
        <f>D16+E15+F15+G15</f>
        <v>3528754.8800000008</v>
      </c>
      <c r="J16" s="375" t="s">
        <v>424</v>
      </c>
      <c r="K16" s="367">
        <f>K15</f>
        <v>19956253.210000001</v>
      </c>
      <c r="L16" s="367">
        <v>18096264</v>
      </c>
      <c r="M16" s="367">
        <f>K16-L16</f>
        <v>1859989.2100000009</v>
      </c>
      <c r="N16" s="376"/>
      <c r="O16" s="381">
        <f>M16+N15</f>
        <v>1980419.8200000008</v>
      </c>
    </row>
    <row r="17" spans="1:15">
      <c r="H17" s="360"/>
      <c r="J17" s="76"/>
      <c r="K17" s="76"/>
      <c r="L17" s="76"/>
      <c r="M17" s="76"/>
      <c r="N17" s="81"/>
      <c r="O17" s="382"/>
    </row>
    <row r="18" spans="1:15">
      <c r="A18" s="361" t="s">
        <v>414</v>
      </c>
      <c r="B18" s="362">
        <v>2192813.7599999998</v>
      </c>
      <c r="C18" s="362">
        <v>2023614.89</v>
      </c>
      <c r="D18" s="362">
        <f>B18-C18</f>
        <v>169198.86999999988</v>
      </c>
      <c r="E18" s="363">
        <v>31276.28</v>
      </c>
      <c r="F18" s="363">
        <v>63628.97</v>
      </c>
      <c r="G18" s="365">
        <f>1422.25+1964.63</f>
        <v>3386.88</v>
      </c>
      <c r="H18" s="364">
        <f>SUM(D18:G18)</f>
        <v>267490.99999999988</v>
      </c>
      <c r="J18" s="375" t="s">
        <v>414</v>
      </c>
      <c r="K18" s="367">
        <v>2192813.7599999998</v>
      </c>
      <c r="L18" s="367">
        <v>2023614.89</v>
      </c>
      <c r="M18" s="367">
        <f>K18-L18</f>
        <v>169198.86999999988</v>
      </c>
      <c r="N18" s="368">
        <f>1422.25+1964.63</f>
        <v>3386.88</v>
      </c>
      <c r="O18" s="381">
        <f>SUM(M18:N18)</f>
        <v>172585.74999999988</v>
      </c>
    </row>
    <row r="19" spans="1:15">
      <c r="A19" s="361" t="s">
        <v>424</v>
      </c>
      <c r="B19" s="362">
        <f>B18</f>
        <v>2192813.7599999998</v>
      </c>
      <c r="C19" s="362">
        <f>C18-306187.74</f>
        <v>1717427.15</v>
      </c>
      <c r="D19" s="362">
        <f>B19-C19</f>
        <v>475386.60999999987</v>
      </c>
      <c r="E19" s="538"/>
      <c r="F19" s="539"/>
      <c r="G19" s="540"/>
      <c r="H19" s="364">
        <f>D19+E18+F18+G18</f>
        <v>573678.73999999987</v>
      </c>
      <c r="J19" s="375" t="s">
        <v>424</v>
      </c>
      <c r="K19" s="367">
        <f>K18</f>
        <v>2192813.7599999998</v>
      </c>
      <c r="L19" s="367">
        <f>L18-306187.74</f>
        <v>1717427.15</v>
      </c>
      <c r="M19" s="367">
        <f>K19-L19</f>
        <v>475386.60999999987</v>
      </c>
      <c r="N19" s="376"/>
      <c r="O19" s="381">
        <f>M19+N18</f>
        <v>478773.48999999987</v>
      </c>
    </row>
    <row r="20" spans="1:15">
      <c r="H20" s="360"/>
      <c r="J20" s="76"/>
      <c r="K20" s="76"/>
      <c r="L20" s="76"/>
      <c r="M20" s="76"/>
      <c r="N20" s="81"/>
      <c r="O20" s="382"/>
    </row>
    <row r="21" spans="1:15">
      <c r="A21" s="361" t="s">
        <v>415</v>
      </c>
      <c r="B21" s="362">
        <v>26844118.190000001</v>
      </c>
      <c r="C21" s="362">
        <v>26310561.780000001</v>
      </c>
      <c r="D21" s="362">
        <f>B21-C21</f>
        <v>533556.41000000015</v>
      </c>
      <c r="E21" s="363">
        <v>677887.96</v>
      </c>
      <c r="F21" s="363">
        <v>1263854.43</v>
      </c>
      <c r="G21" s="365">
        <f>3209.76+46974.87+183126.42+7008.81</f>
        <v>240319.86000000002</v>
      </c>
      <c r="H21" s="364">
        <f>SUM(D21:G21)</f>
        <v>2715618.6599999997</v>
      </c>
      <c r="J21" s="375" t="s">
        <v>415</v>
      </c>
      <c r="K21" s="367">
        <v>26844118.190000001</v>
      </c>
      <c r="L21" s="367">
        <v>26310561.780000001</v>
      </c>
      <c r="M21" s="367">
        <f>K21-L21</f>
        <v>533556.41000000015</v>
      </c>
      <c r="N21" s="368">
        <f>3209.76+46974.87+183126.42+7008.81</f>
        <v>240319.86000000002</v>
      </c>
      <c r="O21" s="381">
        <f>SUM(M21:N21)</f>
        <v>773876.27000000014</v>
      </c>
    </row>
    <row r="22" spans="1:15">
      <c r="A22" s="361" t="s">
        <v>424</v>
      </c>
      <c r="B22" s="362">
        <f>B21</f>
        <v>26844118.190000001</v>
      </c>
      <c r="C22" s="362">
        <f>C21-542237.01</f>
        <v>25768324.77</v>
      </c>
      <c r="D22" s="362">
        <f>B22-C22</f>
        <v>1075793.4200000018</v>
      </c>
      <c r="E22" s="538"/>
      <c r="F22" s="539"/>
      <c r="G22" s="540"/>
      <c r="H22" s="364">
        <f>D22+E21+F21+G21</f>
        <v>3257855.6700000013</v>
      </c>
      <c r="J22" s="375" t="s">
        <v>424</v>
      </c>
      <c r="K22" s="367">
        <f>K21</f>
        <v>26844118.190000001</v>
      </c>
      <c r="L22" s="367">
        <f>L21-542237.01</f>
        <v>25768324.77</v>
      </c>
      <c r="M22" s="367">
        <f>K22-L22</f>
        <v>1075793.4200000018</v>
      </c>
      <c r="N22" s="376"/>
      <c r="O22" s="381">
        <f>M22+N21</f>
        <v>1316113.2800000019</v>
      </c>
    </row>
    <row r="23" spans="1:15">
      <c r="H23" s="360"/>
      <c r="J23" s="76"/>
      <c r="K23" s="76"/>
      <c r="L23" s="76"/>
      <c r="M23" s="76"/>
      <c r="N23" s="81"/>
      <c r="O23" s="382"/>
    </row>
    <row r="24" spans="1:15">
      <c r="A24" s="366" t="s">
        <v>1</v>
      </c>
      <c r="B24" s="367">
        <f>B12+B15+B18+B21</f>
        <v>77614397.25</v>
      </c>
      <c r="C24" s="367">
        <f>C12+C15+C18+C21</f>
        <v>74115716.280000001</v>
      </c>
      <c r="D24" s="367">
        <f>B24-C24</f>
        <v>3498680.9699999988</v>
      </c>
      <c r="E24" s="364">
        <f>SUM(E12:E22)</f>
        <v>1548594.28</v>
      </c>
      <c r="F24" s="364">
        <f t="shared" ref="F24:G24" si="4">SUM(F12:F22)</f>
        <v>3206187.01</v>
      </c>
      <c r="G24" s="364">
        <f t="shared" si="4"/>
        <v>452785.67000000004</v>
      </c>
      <c r="H24" s="364">
        <f>H12+H15+H18+H21</f>
        <v>8706247.9300000016</v>
      </c>
      <c r="J24" s="384" t="s">
        <v>1</v>
      </c>
      <c r="K24" s="385">
        <f>K12+K15+K18+K21</f>
        <v>77614397.25</v>
      </c>
      <c r="L24" s="385">
        <f>L12+L15+L18+L21</f>
        <v>74115716.280000001</v>
      </c>
      <c r="M24" s="385">
        <f>K24-L24</f>
        <v>3498680.9699999988</v>
      </c>
      <c r="N24" s="381">
        <f t="shared" ref="N24" si="5">SUM(N12:N22)</f>
        <v>452785.67000000004</v>
      </c>
      <c r="O24" s="381">
        <f>O12+O15+O18+O21</f>
        <v>3951466.640000002</v>
      </c>
    </row>
    <row r="25" spans="1:15">
      <c r="A25" s="366" t="s">
        <v>416</v>
      </c>
      <c r="B25" s="367">
        <f>B24</f>
        <v>77614397.25</v>
      </c>
      <c r="C25" s="367">
        <f>C13+C16+C19+C22</f>
        <v>67874508.269999996</v>
      </c>
      <c r="D25" s="367">
        <f>B25-C25-249745.55</f>
        <v>9490143.4300000034</v>
      </c>
      <c r="E25" s="537"/>
      <c r="F25" s="537"/>
      <c r="G25" s="537"/>
      <c r="H25" s="364">
        <f>H24+5991462.46</f>
        <v>14697710.390000001</v>
      </c>
      <c r="J25" s="384" t="s">
        <v>416</v>
      </c>
      <c r="K25" s="385">
        <f>K24</f>
        <v>77614397.25</v>
      </c>
      <c r="L25" s="385">
        <f>L13+L16+L19+L22</f>
        <v>67874508.269999996</v>
      </c>
      <c r="M25" s="385">
        <f>K25-L25-249745.55</f>
        <v>9490143.4300000034</v>
      </c>
      <c r="N25" s="386"/>
      <c r="O25" s="381">
        <f>O24+5991462.46</f>
        <v>9942929.1000000015</v>
      </c>
    </row>
    <row r="27" spans="1:15">
      <c r="D27" s="168"/>
    </row>
    <row r="28" spans="1:15">
      <c r="D28" s="168"/>
    </row>
    <row r="29" spans="1:15">
      <c r="D29" s="222"/>
    </row>
    <row r="37" spans="6:6">
      <c r="F37" s="233"/>
    </row>
  </sheetData>
  <mergeCells count="6">
    <mergeCell ref="E25:G25"/>
    <mergeCell ref="E22:G22"/>
    <mergeCell ref="E19:G19"/>
    <mergeCell ref="E13:G13"/>
    <mergeCell ref="E3:H10"/>
    <mergeCell ref="E16:G16"/>
  </mergeCells>
  <pageMargins left="0.511811024" right="0.511811024" top="0.78740157499999996" bottom="0.78740157499999996" header="0.31496062000000002" footer="0.31496062000000002"/>
  <pageSetup paperSize="9" scale="96" orientation="landscape" r:id="rId1"/>
  <colBreaks count="1" manualBreakCount="1">
    <brk id="8" max="2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149D-D434-4D40-B38D-E57594FAD91A}">
  <dimension ref="A1:I25"/>
  <sheetViews>
    <sheetView workbookViewId="0">
      <selection activeCell="G25" sqref="G25"/>
    </sheetView>
  </sheetViews>
  <sheetFormatPr defaultRowHeight="15"/>
  <cols>
    <col min="1" max="1" width="27.7109375" customWidth="1"/>
    <col min="2" max="2" width="22" bestFit="1" customWidth="1"/>
    <col min="3" max="3" width="15" customWidth="1"/>
    <col min="4" max="4" width="14.5703125" customWidth="1"/>
    <col min="5" max="5" width="15.5703125" bestFit="1" customWidth="1"/>
    <col min="6" max="6" width="13.28515625" bestFit="1" customWidth="1"/>
    <col min="9" max="9" width="19.28515625" style="168" customWidth="1"/>
  </cols>
  <sheetData>
    <row r="1" spans="1:9" ht="33" customHeight="1">
      <c r="A1" s="550" t="s">
        <v>446</v>
      </c>
      <c r="B1" s="551"/>
      <c r="C1" s="551"/>
      <c r="D1" s="551"/>
      <c r="E1" s="551"/>
      <c r="F1" s="551"/>
    </row>
    <row r="2" spans="1:9" ht="5.0999999999999996" customHeight="1"/>
    <row r="3" spans="1:9" ht="48" customHeight="1">
      <c r="A3" s="351" t="s">
        <v>409</v>
      </c>
      <c r="B3" s="351" t="s">
        <v>442</v>
      </c>
      <c r="C3" s="351" t="s">
        <v>445</v>
      </c>
      <c r="D3" s="351" t="s">
        <v>443</v>
      </c>
      <c r="E3" s="351" t="s">
        <v>444</v>
      </c>
      <c r="F3" s="351" t="s">
        <v>447</v>
      </c>
    </row>
    <row r="4" spans="1:9" ht="5.0999999999999996" customHeight="1"/>
    <row r="5" spans="1:9">
      <c r="A5" s="292" t="s">
        <v>293</v>
      </c>
      <c r="B5" s="56">
        <v>202312.58</v>
      </c>
      <c r="C5" s="56">
        <v>12393.9</v>
      </c>
      <c r="D5" s="56"/>
      <c r="E5" s="56"/>
      <c r="F5" s="299">
        <f>SUM(B5:E5)</f>
        <v>214706.47999999998</v>
      </c>
    </row>
    <row r="6" spans="1:9">
      <c r="A6" s="292" t="s">
        <v>294</v>
      </c>
      <c r="B6" s="56">
        <v>150884.96</v>
      </c>
      <c r="C6" s="56">
        <v>147367.54999999999</v>
      </c>
      <c r="D6" s="56"/>
      <c r="E6" s="56"/>
      <c r="F6" s="299">
        <f t="shared" ref="F6:F17" si="0">SUM(B6:E6)</f>
        <v>298252.51</v>
      </c>
    </row>
    <row r="7" spans="1:9">
      <c r="A7" s="292" t="s">
        <v>295</v>
      </c>
      <c r="B7" s="56">
        <v>31339.29</v>
      </c>
      <c r="C7" s="56">
        <v>14343.69</v>
      </c>
      <c r="D7" s="56">
        <v>186035.77</v>
      </c>
      <c r="E7" s="56"/>
      <c r="F7" s="299">
        <f t="shared" si="0"/>
        <v>231718.75</v>
      </c>
      <c r="I7" s="168">
        <v>16541206.119999999</v>
      </c>
    </row>
    <row r="8" spans="1:9">
      <c r="A8" s="292" t="s">
        <v>448</v>
      </c>
      <c r="B8" s="56">
        <v>8734.2800000000007</v>
      </c>
      <c r="C8" s="56">
        <v>13425.9</v>
      </c>
      <c r="D8" s="56"/>
      <c r="E8" s="56"/>
      <c r="F8" s="299">
        <f t="shared" si="0"/>
        <v>22160.18</v>
      </c>
    </row>
    <row r="9" spans="1:9">
      <c r="A9" s="292" t="s">
        <v>449</v>
      </c>
      <c r="B9" s="56">
        <v>23570.22</v>
      </c>
      <c r="C9" s="56">
        <v>2000</v>
      </c>
      <c r="D9" s="56"/>
      <c r="E9" s="56"/>
      <c r="F9" s="299">
        <f t="shared" si="0"/>
        <v>25570.22</v>
      </c>
      <c r="I9" s="168">
        <f>I7/3</f>
        <v>5513735.3733333331</v>
      </c>
    </row>
    <row r="10" spans="1:9">
      <c r="A10" s="292" t="s">
        <v>298</v>
      </c>
      <c r="B10" s="56">
        <v>75401.649999999994</v>
      </c>
      <c r="C10" s="56">
        <v>384265.48</v>
      </c>
      <c r="D10" s="56"/>
      <c r="E10" s="56">
        <v>41089.17</v>
      </c>
      <c r="F10" s="299">
        <f t="shared" si="0"/>
        <v>500756.3</v>
      </c>
    </row>
    <row r="11" spans="1:9">
      <c r="A11" s="292" t="s">
        <v>299</v>
      </c>
      <c r="B11" s="56">
        <v>131960.38</v>
      </c>
      <c r="C11" s="56">
        <v>79453.710000000006</v>
      </c>
      <c r="D11" s="56"/>
      <c r="E11" s="56"/>
      <c r="F11" s="299">
        <f t="shared" si="0"/>
        <v>211414.09000000003</v>
      </c>
    </row>
    <row r="12" spans="1:9">
      <c r="A12" s="292" t="s">
        <v>300</v>
      </c>
      <c r="B12" s="56">
        <v>45985.18</v>
      </c>
      <c r="C12" s="56">
        <v>31871.17</v>
      </c>
      <c r="D12" s="56"/>
      <c r="E12" s="56"/>
      <c r="F12" s="299">
        <f t="shared" si="0"/>
        <v>77856.350000000006</v>
      </c>
    </row>
    <row r="13" spans="1:9">
      <c r="A13" s="292" t="s">
        <v>301</v>
      </c>
      <c r="B13" s="56">
        <v>1028924.76</v>
      </c>
      <c r="C13" s="56">
        <v>450938.51</v>
      </c>
      <c r="D13" s="56"/>
      <c r="E13" s="56"/>
      <c r="F13" s="299">
        <f t="shared" si="0"/>
        <v>1479863.27</v>
      </c>
    </row>
    <row r="14" spans="1:9">
      <c r="A14" s="292" t="s">
        <v>302</v>
      </c>
      <c r="B14" s="56">
        <v>72981.69</v>
      </c>
      <c r="C14" s="56">
        <v>65946.8</v>
      </c>
      <c r="D14" s="56"/>
      <c r="E14" s="56"/>
      <c r="F14" s="299">
        <f t="shared" si="0"/>
        <v>138928.49</v>
      </c>
    </row>
    <row r="15" spans="1:9">
      <c r="A15" s="292" t="s">
        <v>303</v>
      </c>
      <c r="B15" s="56">
        <v>1851949.58</v>
      </c>
      <c r="C15" s="56">
        <v>437590.45</v>
      </c>
      <c r="D15" s="56"/>
      <c r="E15" s="56"/>
      <c r="F15" s="299">
        <f t="shared" si="0"/>
        <v>2289540.0300000003</v>
      </c>
    </row>
    <row r="16" spans="1:9">
      <c r="A16" s="292"/>
      <c r="B16" s="56"/>
      <c r="C16" s="56"/>
      <c r="D16" s="56"/>
      <c r="E16" s="56"/>
      <c r="F16" s="299">
        <f t="shared" si="0"/>
        <v>0</v>
      </c>
    </row>
    <row r="17" spans="1:6">
      <c r="A17" s="292"/>
      <c r="B17" s="56">
        <f>SUM(B5:B16)</f>
        <v>3624044.5700000003</v>
      </c>
      <c r="C17" s="56">
        <f t="shared" ref="C17:E17" si="1">SUM(C5:C16)</f>
        <v>1639597.1600000001</v>
      </c>
      <c r="D17" s="56">
        <f t="shared" si="1"/>
        <v>186035.77</v>
      </c>
      <c r="E17" s="56">
        <f t="shared" si="1"/>
        <v>41089.17</v>
      </c>
      <c r="F17" s="299">
        <f t="shared" si="0"/>
        <v>5490766.6699999999</v>
      </c>
    </row>
    <row r="18" spans="1:6">
      <c r="B18" s="168"/>
      <c r="C18" s="168"/>
      <c r="D18" s="168"/>
      <c r="E18" s="168"/>
      <c r="F18" s="168"/>
    </row>
    <row r="19" spans="1:6">
      <c r="B19" s="168"/>
      <c r="C19" s="168"/>
      <c r="D19" s="168"/>
      <c r="E19" s="168"/>
      <c r="F19" s="168"/>
    </row>
    <row r="20" spans="1:6">
      <c r="B20" s="168"/>
      <c r="C20" s="168"/>
      <c r="D20" s="168"/>
      <c r="E20" s="168"/>
      <c r="F20" s="168"/>
    </row>
    <row r="21" spans="1:6">
      <c r="B21" s="168"/>
      <c r="C21" s="168"/>
      <c r="D21" s="168"/>
      <c r="E21" s="168"/>
      <c r="F21" s="168"/>
    </row>
    <row r="22" spans="1:6">
      <c r="B22" s="168"/>
      <c r="C22" s="168"/>
      <c r="D22" s="168"/>
      <c r="E22" s="168"/>
      <c r="F22" s="168"/>
    </row>
    <row r="23" spans="1:6">
      <c r="B23" s="168"/>
      <c r="C23" s="168"/>
      <c r="D23" s="168"/>
      <c r="E23" s="168"/>
      <c r="F23" s="168"/>
    </row>
    <row r="24" spans="1:6">
      <c r="B24" s="168"/>
      <c r="C24" s="168"/>
      <c r="D24" s="168"/>
      <c r="E24" s="168"/>
      <c r="F24" s="168"/>
    </row>
    <row r="25" spans="1:6">
      <c r="B25" s="168"/>
      <c r="C25" s="168"/>
      <c r="D25" s="168"/>
      <c r="E25" s="168"/>
      <c r="F25" s="168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workbookViewId="0">
      <selection activeCell="A3" sqref="A3"/>
    </sheetView>
  </sheetViews>
  <sheetFormatPr defaultRowHeight="15"/>
  <cols>
    <col min="1" max="1" width="20.7109375" customWidth="1"/>
    <col min="2" max="2" width="30.42578125" customWidth="1"/>
    <col min="3" max="3" width="15.42578125" bestFit="1" customWidth="1"/>
    <col min="4" max="4" width="16.5703125" bestFit="1" customWidth="1"/>
    <col min="5" max="5" width="35.85546875" customWidth="1"/>
    <col min="6" max="6" width="14.85546875" bestFit="1" customWidth="1"/>
    <col min="7" max="7" width="19" customWidth="1"/>
  </cols>
  <sheetData>
    <row r="1" spans="1:7" ht="25.5" customHeight="1">
      <c r="A1" s="552" t="s">
        <v>65</v>
      </c>
      <c r="B1" s="552"/>
      <c r="C1" s="552"/>
      <c r="D1" s="552"/>
      <c r="E1" s="552"/>
      <c r="F1" s="552"/>
      <c r="G1" s="552"/>
    </row>
    <row r="2" spans="1:7" ht="25.5">
      <c r="A2" s="37" t="s">
        <v>66</v>
      </c>
      <c r="B2" s="37" t="s">
        <v>67</v>
      </c>
      <c r="C2" s="37" t="s">
        <v>68</v>
      </c>
      <c r="D2" s="37" t="s">
        <v>69</v>
      </c>
      <c r="E2" s="37" t="s">
        <v>70</v>
      </c>
      <c r="F2" s="37" t="s">
        <v>71</v>
      </c>
      <c r="G2" s="37" t="s">
        <v>72</v>
      </c>
    </row>
    <row r="3" spans="1:7">
      <c r="A3" s="28" t="s">
        <v>73</v>
      </c>
      <c r="B3" s="29" t="s">
        <v>74</v>
      </c>
      <c r="C3" s="30">
        <v>43896</v>
      </c>
      <c r="D3" s="29" t="s">
        <v>75</v>
      </c>
      <c r="E3" s="29" t="s">
        <v>76</v>
      </c>
      <c r="F3" s="31">
        <v>4852514.8099999996</v>
      </c>
      <c r="G3" s="31">
        <v>5322622.1100000003</v>
      </c>
    </row>
    <row r="4" spans="1:7">
      <c r="A4" s="32" t="s">
        <v>77</v>
      </c>
      <c r="B4" s="33" t="s">
        <v>74</v>
      </c>
      <c r="C4" s="34">
        <v>43902</v>
      </c>
      <c r="D4" s="33" t="s">
        <v>75</v>
      </c>
      <c r="E4" s="33" t="s">
        <v>76</v>
      </c>
      <c r="F4" s="35">
        <v>180249</v>
      </c>
      <c r="G4" s="35">
        <v>325992.40000000002</v>
      </c>
    </row>
    <row r="5" spans="1:7">
      <c r="A5" s="28" t="s">
        <v>78</v>
      </c>
      <c r="B5" s="29" t="s">
        <v>74</v>
      </c>
      <c r="C5" s="30">
        <v>43901</v>
      </c>
      <c r="D5" s="29" t="s">
        <v>75</v>
      </c>
      <c r="E5" s="29" t="s">
        <v>76</v>
      </c>
      <c r="F5" s="31">
        <v>918880</v>
      </c>
      <c r="G5" s="31">
        <v>1083170.2</v>
      </c>
    </row>
    <row r="6" spans="1:7">
      <c r="A6" s="32" t="s">
        <v>79</v>
      </c>
      <c r="B6" s="33" t="s">
        <v>80</v>
      </c>
      <c r="C6" s="34">
        <v>43902</v>
      </c>
      <c r="D6" s="33" t="s">
        <v>81</v>
      </c>
      <c r="E6" s="33" t="s">
        <v>76</v>
      </c>
      <c r="F6" s="35">
        <v>78000</v>
      </c>
      <c r="G6" s="35">
        <v>78000</v>
      </c>
    </row>
    <row r="7" spans="1:7" ht="18">
      <c r="A7" s="28" t="s">
        <v>82</v>
      </c>
      <c r="B7" s="29" t="s">
        <v>83</v>
      </c>
      <c r="C7" s="30">
        <v>43893</v>
      </c>
      <c r="D7" s="29" t="s">
        <v>63</v>
      </c>
      <c r="E7" s="29" t="s">
        <v>76</v>
      </c>
      <c r="F7" s="31">
        <v>232179.94</v>
      </c>
      <c r="G7" s="31">
        <v>23218844</v>
      </c>
    </row>
    <row r="8" spans="1:7">
      <c r="A8" s="36"/>
      <c r="B8" s="553" t="s">
        <v>84</v>
      </c>
      <c r="C8" s="553"/>
      <c r="D8" s="553" t="s">
        <v>85</v>
      </c>
      <c r="E8" s="553"/>
      <c r="F8" s="553"/>
      <c r="G8" s="553"/>
    </row>
  </sheetData>
  <mergeCells count="3">
    <mergeCell ref="A1:G1"/>
    <mergeCell ref="D8:G8"/>
    <mergeCell ref="B8:C8"/>
  </mergeCells>
  <hyperlinks>
    <hyperlink ref="A3" r:id="rId1" display="javascript:WebForm_DoPostBackWithOptions(new WebForm_PostBackOptions(%22ctl00$ContentPlaceHolder1$gdvLicitacao$ctl02$lbkProcessoLicitatorio%22, %22%22, true, %22%22, %22%22, false, true))" xr:uid="{00000000-0004-0000-1F00-000000000000}"/>
    <hyperlink ref="A4" r:id="rId2" display="javascript:WebForm_DoPostBackWithOptions(new WebForm_PostBackOptions(%22ctl00$ContentPlaceHolder1$gdvLicitacao$ctl03$lbkProcessoLicitatorio%22, %22%22, true, %22%22, %22%22, false, true))" xr:uid="{00000000-0004-0000-1F00-000001000000}"/>
    <hyperlink ref="A5" r:id="rId3" display="javascript:WebForm_DoPostBackWithOptions(new WebForm_PostBackOptions(%22ctl00$ContentPlaceHolder1$gdvLicitacao$ctl04$lbkProcessoLicitatorio%22, %22%22, true, %22%22, %22%22, false, true))" xr:uid="{00000000-0004-0000-1F00-000002000000}"/>
    <hyperlink ref="A6" r:id="rId4" display="javascript:WebForm_DoPostBackWithOptions(new WebForm_PostBackOptions(%22ctl00$ContentPlaceHolder1$gdvLicitacao$ctl05$lbkProcessoLicitatorio%22, %22%22, true, %22%22, %22%22, false, true))" xr:uid="{00000000-0004-0000-1F00-000003000000}"/>
    <hyperlink ref="A7" r:id="rId5" display="javascript:WebForm_DoPostBackWithOptions(new WebForm_PostBackOptions(%22ctl00$ContentPlaceHolder1$gdvLicitacao$ctl06$lbkProcessoLicitatorio%22, %22%22, true, %22%22, %22%22, false, true))" xr:uid="{00000000-0004-0000-1F00-00000400000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91"/>
  <sheetViews>
    <sheetView tabSelected="1" zoomScale="40" zoomScaleNormal="40" workbookViewId="0">
      <selection activeCell="O9" sqref="O9"/>
    </sheetView>
  </sheetViews>
  <sheetFormatPr defaultColWidth="30.7109375" defaultRowHeight="12.75"/>
  <cols>
    <col min="1" max="1" width="54.42578125" style="70" customWidth="1"/>
    <col min="2" max="19" width="30.7109375" style="70" customWidth="1"/>
    <col min="20" max="16384" width="30.7109375" style="70"/>
  </cols>
  <sheetData>
    <row r="1" spans="1:14">
      <c r="A1" s="449" t="s">
        <v>429</v>
      </c>
      <c r="B1" s="449"/>
      <c r="C1" s="449"/>
      <c r="D1" s="449"/>
      <c r="E1" s="449"/>
      <c r="F1" s="449"/>
      <c r="G1" s="449"/>
      <c r="H1" s="449"/>
      <c r="I1" s="449"/>
      <c r="J1" s="449"/>
      <c r="K1" s="449"/>
      <c r="L1" s="449"/>
      <c r="M1" s="449"/>
      <c r="N1" s="449"/>
    </row>
    <row r="2" spans="1:14" s="258" customFormat="1">
      <c r="A2" s="257" t="s">
        <v>41</v>
      </c>
      <c r="B2" s="257" t="s">
        <v>29</v>
      </c>
      <c r="C2" s="257" t="s">
        <v>30</v>
      </c>
      <c r="D2" s="257" t="s">
        <v>31</v>
      </c>
      <c r="E2" s="257" t="s">
        <v>32</v>
      </c>
      <c r="F2" s="257" t="s">
        <v>33</v>
      </c>
      <c r="G2" s="257" t="s">
        <v>34</v>
      </c>
      <c r="H2" s="257" t="s">
        <v>35</v>
      </c>
      <c r="I2" s="257" t="s">
        <v>36</v>
      </c>
      <c r="J2" s="257" t="s">
        <v>37</v>
      </c>
      <c r="K2" s="257" t="s">
        <v>38</v>
      </c>
      <c r="L2" s="257" t="s">
        <v>39</v>
      </c>
      <c r="M2" s="257" t="s">
        <v>40</v>
      </c>
      <c r="N2" s="257" t="s">
        <v>49</v>
      </c>
    </row>
    <row r="3" spans="1:14">
      <c r="A3" s="259" t="s">
        <v>167</v>
      </c>
      <c r="B3" s="153">
        <f t="shared" ref="B3:N3" si="0">SUM(B4:B11)</f>
        <v>301956.74</v>
      </c>
      <c r="C3" s="153">
        <f t="shared" si="0"/>
        <v>372629.58</v>
      </c>
      <c r="D3" s="153">
        <f t="shared" si="0"/>
        <v>457328.19999999995</v>
      </c>
      <c r="E3" s="153">
        <f t="shared" si="0"/>
        <v>938790.57999999984</v>
      </c>
      <c r="F3" s="153">
        <f t="shared" si="0"/>
        <v>457139.91999999993</v>
      </c>
      <c r="G3" s="153">
        <f t="shared" si="0"/>
        <v>323432.41000000003</v>
      </c>
      <c r="H3" s="153">
        <f t="shared" si="0"/>
        <v>236734.22999999998</v>
      </c>
      <c r="I3" s="153">
        <f t="shared" si="0"/>
        <v>620381.99</v>
      </c>
      <c r="J3" s="153">
        <f t="shared" si="0"/>
        <v>240847.27000000002</v>
      </c>
      <c r="K3" s="153">
        <f t="shared" si="0"/>
        <v>792645.28</v>
      </c>
      <c r="L3" s="153">
        <f t="shared" si="0"/>
        <v>449166.69999999995</v>
      </c>
      <c r="M3" s="153">
        <f t="shared" si="0"/>
        <v>1977274.6500000001</v>
      </c>
      <c r="N3" s="153">
        <f t="shared" si="0"/>
        <v>7168327.5500000007</v>
      </c>
    </row>
    <row r="4" spans="1:14">
      <c r="A4" s="260" t="s">
        <v>42</v>
      </c>
      <c r="B4" s="106">
        <v>56547.28</v>
      </c>
      <c r="C4" s="106">
        <v>28158.04</v>
      </c>
      <c r="D4" s="106">
        <v>27124.29</v>
      </c>
      <c r="E4" s="106">
        <v>18247.599999999999</v>
      </c>
      <c r="F4" s="106">
        <v>17500.66</v>
      </c>
      <c r="G4" s="106">
        <v>13397.93</v>
      </c>
      <c r="H4" s="106">
        <v>5185.55</v>
      </c>
      <c r="I4" s="154">
        <v>16021.67</v>
      </c>
      <c r="J4" s="106">
        <v>11804.63</v>
      </c>
      <c r="K4" s="106">
        <v>13463.3</v>
      </c>
      <c r="L4" s="154">
        <v>10582.44</v>
      </c>
      <c r="M4" s="154">
        <v>59832.52</v>
      </c>
      <c r="N4" s="154">
        <f t="shared" ref="N4:N11" si="1">SUM(B4:M4)</f>
        <v>277865.91000000003</v>
      </c>
    </row>
    <row r="5" spans="1:14">
      <c r="A5" s="260" t="s">
        <v>43</v>
      </c>
      <c r="B5" s="106">
        <v>62866.38</v>
      </c>
      <c r="C5" s="106">
        <v>71472.929999999993</v>
      </c>
      <c r="D5" s="106">
        <v>59419.09</v>
      </c>
      <c r="E5" s="106">
        <v>97097.01</v>
      </c>
      <c r="F5" s="106">
        <v>98974.27</v>
      </c>
      <c r="G5" s="106">
        <v>46334.61</v>
      </c>
      <c r="H5" s="106">
        <v>53563.839999999997</v>
      </c>
      <c r="I5" s="154">
        <v>79210.55</v>
      </c>
      <c r="J5" s="106">
        <v>72746.45</v>
      </c>
      <c r="K5" s="106">
        <v>75667.88</v>
      </c>
      <c r="L5" s="154">
        <v>103761.76</v>
      </c>
      <c r="M5" s="154">
        <v>159984.64000000001</v>
      </c>
      <c r="N5" s="154">
        <f t="shared" si="1"/>
        <v>981099.41</v>
      </c>
    </row>
    <row r="6" spans="1:14">
      <c r="A6" s="260" t="s">
        <v>44</v>
      </c>
      <c r="B6" s="106">
        <v>13936.23</v>
      </c>
      <c r="C6" s="71">
        <v>20283.900000000001</v>
      </c>
      <c r="D6" s="106">
        <v>14786.17</v>
      </c>
      <c r="E6" s="106">
        <v>49051.08</v>
      </c>
      <c r="F6" s="106">
        <v>31103.14</v>
      </c>
      <c r="G6" s="106">
        <v>719.13</v>
      </c>
      <c r="H6" s="106">
        <v>400</v>
      </c>
      <c r="I6" s="154">
        <v>156800.18</v>
      </c>
      <c r="J6" s="106">
        <v>11124.36</v>
      </c>
      <c r="K6" s="106">
        <v>84188.26</v>
      </c>
      <c r="L6" s="154">
        <v>34797.050000000003</v>
      </c>
      <c r="M6" s="154">
        <v>9869.56</v>
      </c>
      <c r="N6" s="409">
        <f t="shared" si="1"/>
        <v>427059.06</v>
      </c>
    </row>
    <row r="7" spans="1:14">
      <c r="A7" s="260" t="s">
        <v>45</v>
      </c>
      <c r="B7" s="154">
        <v>0</v>
      </c>
      <c r="C7" s="154">
        <v>0</v>
      </c>
      <c r="D7" s="106">
        <v>19259.419999999998</v>
      </c>
      <c r="E7" s="106">
        <v>476879.72</v>
      </c>
      <c r="F7" s="106">
        <v>9593.4</v>
      </c>
      <c r="G7" s="106">
        <v>0</v>
      </c>
      <c r="H7" s="106">
        <v>2400</v>
      </c>
      <c r="I7" s="154">
        <v>2384.4</v>
      </c>
      <c r="J7" s="106">
        <v>983.88</v>
      </c>
      <c r="K7" s="154">
        <v>313503.94</v>
      </c>
      <c r="L7" s="154">
        <v>5633.98</v>
      </c>
      <c r="M7" s="154">
        <f>1160175.78+133747.61</f>
        <v>1293923.3900000001</v>
      </c>
      <c r="N7" s="154">
        <f t="shared" si="1"/>
        <v>2124562.13</v>
      </c>
    </row>
    <row r="8" spans="1:14">
      <c r="A8" s="251" t="s">
        <v>450</v>
      </c>
      <c r="B8" s="154">
        <v>22194.53</v>
      </c>
      <c r="C8" s="71">
        <v>44722.62</v>
      </c>
      <c r="D8" s="106">
        <v>18440.71</v>
      </c>
      <c r="E8" s="106">
        <v>7322.83</v>
      </c>
      <c r="F8" s="106">
        <v>9878.5300000000007</v>
      </c>
      <c r="G8" s="106">
        <v>4047.89</v>
      </c>
      <c r="H8" s="106">
        <v>20694.55</v>
      </c>
      <c r="I8" s="154">
        <v>52182.19</v>
      </c>
      <c r="J8" s="106">
        <v>14339.5</v>
      </c>
      <c r="K8" s="106">
        <v>22256.71</v>
      </c>
      <c r="L8" s="154">
        <v>72563.929999999993</v>
      </c>
      <c r="M8" s="154">
        <v>69924</v>
      </c>
      <c r="N8" s="154">
        <f t="shared" si="1"/>
        <v>358567.99</v>
      </c>
    </row>
    <row r="9" spans="1:14" ht="14.25" customHeight="1">
      <c r="A9" s="70" t="s">
        <v>46</v>
      </c>
      <c r="B9" s="154">
        <v>50584.62</v>
      </c>
      <c r="C9" s="71">
        <v>48900.73</v>
      </c>
      <c r="D9" s="106">
        <v>50930.99</v>
      </c>
      <c r="E9" s="106">
        <v>49284.59</v>
      </c>
      <c r="F9" s="106">
        <v>53162.92</v>
      </c>
      <c r="G9" s="106">
        <v>50261.58</v>
      </c>
      <c r="H9" s="106">
        <v>46891.06</v>
      </c>
      <c r="I9" s="154">
        <v>49656.46</v>
      </c>
      <c r="J9" s="106">
        <v>46500.21</v>
      </c>
      <c r="K9" s="106">
        <v>44838.3</v>
      </c>
      <c r="L9" s="154">
        <v>45455.83</v>
      </c>
      <c r="M9" s="154">
        <v>0</v>
      </c>
      <c r="N9" s="409">
        <f t="shared" si="1"/>
        <v>536467.29</v>
      </c>
    </row>
    <row r="10" spans="1:14">
      <c r="A10" s="260" t="s">
        <v>26</v>
      </c>
      <c r="B10" s="154">
        <v>85327.7</v>
      </c>
      <c r="C10" s="154">
        <v>96194.4</v>
      </c>
      <c r="D10" s="154">
        <v>140052.53</v>
      </c>
      <c r="E10" s="154">
        <v>144577.22</v>
      </c>
      <c r="F10" s="106">
        <v>133058.53</v>
      </c>
      <c r="G10" s="106">
        <v>107264.3</v>
      </c>
      <c r="H10" s="106">
        <v>94099.23</v>
      </c>
      <c r="I10" s="154">
        <v>81600.600000000006</v>
      </c>
      <c r="J10" s="106">
        <v>69848.240000000005</v>
      </c>
      <c r="K10" s="106">
        <v>76695.98</v>
      </c>
      <c r="L10" s="154">
        <v>78739.360000000001</v>
      </c>
      <c r="M10" s="154">
        <v>230799.51</v>
      </c>
      <c r="N10" s="154">
        <f t="shared" si="1"/>
        <v>1338257.6000000001</v>
      </c>
    </row>
    <row r="11" spans="1:14">
      <c r="A11" s="260" t="s">
        <v>168</v>
      </c>
      <c r="B11" s="154">
        <v>10500</v>
      </c>
      <c r="C11" s="154">
        <v>62896.959999999999</v>
      </c>
      <c r="D11" s="154">
        <v>127315</v>
      </c>
      <c r="E11" s="154">
        <v>96330.53</v>
      </c>
      <c r="F11" s="106">
        <v>103868.47</v>
      </c>
      <c r="G11" s="106">
        <v>101406.97</v>
      </c>
      <c r="H11" s="106">
        <v>13500</v>
      </c>
      <c r="I11" s="154">
        <v>182525.94</v>
      </c>
      <c r="J11" s="106">
        <v>13500</v>
      </c>
      <c r="K11" s="106">
        <v>162030.91</v>
      </c>
      <c r="L11" s="154">
        <v>97632.35</v>
      </c>
      <c r="M11" s="154">
        <v>152941.03</v>
      </c>
      <c r="N11" s="154">
        <f t="shared" si="1"/>
        <v>1124448.1599999999</v>
      </c>
    </row>
    <row r="12" spans="1:14" ht="6.75" customHeight="1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>
      <c r="A13" s="259" t="s">
        <v>0</v>
      </c>
      <c r="B13" s="153">
        <f t="shared" ref="B13:M13" si="2">SUM(B14:B33)</f>
        <v>8135105.629999999</v>
      </c>
      <c r="C13" s="153">
        <f t="shared" si="2"/>
        <v>9191306.8500000015</v>
      </c>
      <c r="D13" s="153">
        <f t="shared" si="2"/>
        <v>14382193.450000001</v>
      </c>
      <c r="E13" s="153">
        <f t="shared" si="2"/>
        <v>6450130.2500000009</v>
      </c>
      <c r="F13" s="153">
        <f t="shared" si="2"/>
        <v>8445268.3000000007</v>
      </c>
      <c r="G13" s="153">
        <f t="shared" si="2"/>
        <v>7857256.2800000003</v>
      </c>
      <c r="H13" s="153">
        <f t="shared" si="2"/>
        <v>7635301.8200000003</v>
      </c>
      <c r="I13" s="153">
        <f>SUM(I14:I33)</f>
        <v>6750355.79</v>
      </c>
      <c r="J13" s="153">
        <f t="shared" si="2"/>
        <v>6940310.290000001</v>
      </c>
      <c r="K13" s="153">
        <f t="shared" si="2"/>
        <v>7171422.2800000012</v>
      </c>
      <c r="L13" s="153">
        <f t="shared" si="2"/>
        <v>7257009.4500000011</v>
      </c>
      <c r="M13" s="153">
        <f t="shared" si="2"/>
        <v>10114406.550000001</v>
      </c>
      <c r="N13" s="153">
        <f>SUM(N14:N33)</f>
        <v>100330066.93999998</v>
      </c>
    </row>
    <row r="14" spans="1:14">
      <c r="A14" s="73" t="s">
        <v>284</v>
      </c>
      <c r="B14" s="154">
        <v>2988753.49</v>
      </c>
      <c r="C14" s="106">
        <v>4063960.45</v>
      </c>
      <c r="D14" s="106">
        <v>2533450.41</v>
      </c>
      <c r="E14" s="106">
        <v>2657219.02</v>
      </c>
      <c r="F14" s="106">
        <v>3091586.99</v>
      </c>
      <c r="G14" s="106">
        <v>3319848.96</v>
      </c>
      <c r="H14" s="106">
        <v>2151498.79</v>
      </c>
      <c r="I14" s="72">
        <v>2814100.61</v>
      </c>
      <c r="J14" s="154">
        <v>2299448.09</v>
      </c>
      <c r="K14" s="106">
        <v>2451310.79</v>
      </c>
      <c r="L14" s="154">
        <v>3137789.75</v>
      </c>
      <c r="M14" s="154">
        <v>3522070.56</v>
      </c>
      <c r="N14" s="409">
        <f t="shared" ref="N14:N34" si="3">SUM(B14:M14)</f>
        <v>35031037.909999996</v>
      </c>
    </row>
    <row r="15" spans="1:14">
      <c r="A15" s="73" t="s">
        <v>283</v>
      </c>
      <c r="B15" s="154">
        <v>0</v>
      </c>
      <c r="C15" s="106">
        <v>0</v>
      </c>
      <c r="D15" s="106">
        <v>0</v>
      </c>
      <c r="E15" s="106">
        <v>0</v>
      </c>
      <c r="F15" s="106"/>
      <c r="G15" s="106"/>
      <c r="H15" s="106">
        <v>1445840.15</v>
      </c>
      <c r="I15" s="154"/>
      <c r="J15" s="154">
        <v>631043.85</v>
      </c>
      <c r="K15" s="106"/>
      <c r="L15" s="154"/>
      <c r="M15" s="154">
        <v>1539598.61</v>
      </c>
      <c r="N15" s="409">
        <f t="shared" si="3"/>
        <v>3616482.6100000003</v>
      </c>
    </row>
    <row r="16" spans="1:14">
      <c r="A16" s="73" t="s">
        <v>130</v>
      </c>
      <c r="B16" s="154">
        <v>1673.54</v>
      </c>
      <c r="C16" s="106">
        <v>1118.49</v>
      </c>
      <c r="D16" s="106">
        <v>523.6</v>
      </c>
      <c r="E16" s="106">
        <v>678.3</v>
      </c>
      <c r="F16" s="106">
        <v>1463.27</v>
      </c>
      <c r="G16" s="106">
        <v>2580.37</v>
      </c>
      <c r="H16" s="106">
        <v>3092.73</v>
      </c>
      <c r="I16" s="154">
        <v>3920.98</v>
      </c>
      <c r="J16" s="154">
        <v>14047.41</v>
      </c>
      <c r="K16" s="106">
        <v>41109.660000000003</v>
      </c>
      <c r="L16" s="154">
        <v>6146.71</v>
      </c>
      <c r="M16" s="154">
        <f>6258.58</f>
        <v>6258.58</v>
      </c>
      <c r="N16" s="409">
        <f t="shared" si="3"/>
        <v>82613.640000000014</v>
      </c>
    </row>
    <row r="17" spans="1:14">
      <c r="A17" s="73" t="s">
        <v>158</v>
      </c>
      <c r="B17" s="72">
        <v>87827.35</v>
      </c>
      <c r="C17" s="106">
        <v>70680.149999999994</v>
      </c>
      <c r="D17" s="106">
        <v>92472.54</v>
      </c>
      <c r="E17" s="106">
        <v>110586.82</v>
      </c>
      <c r="F17" s="106">
        <v>144228.09</v>
      </c>
      <c r="G17" s="106">
        <v>57028.62</v>
      </c>
      <c r="H17" s="106">
        <v>100003.61</v>
      </c>
      <c r="I17" s="154">
        <v>127516.93</v>
      </c>
      <c r="J17" s="154">
        <v>109786.7</v>
      </c>
      <c r="K17" s="106">
        <v>83080.23</v>
      </c>
      <c r="L17" s="154">
        <v>92106.94</v>
      </c>
      <c r="M17" s="154">
        <v>144137.65</v>
      </c>
      <c r="N17" s="409">
        <f t="shared" si="3"/>
        <v>1219455.6299999997</v>
      </c>
    </row>
    <row r="18" spans="1:14">
      <c r="A18" s="73" t="s">
        <v>159</v>
      </c>
      <c r="B18" s="154">
        <v>500069.78</v>
      </c>
      <c r="C18" s="106">
        <v>2022898.17</v>
      </c>
      <c r="D18" s="106">
        <v>550282.17000000004</v>
      </c>
      <c r="E18" s="106">
        <v>457459.21</v>
      </c>
      <c r="F18" s="106">
        <v>1360806.43</v>
      </c>
      <c r="G18" s="106">
        <v>924052.16</v>
      </c>
      <c r="H18" s="106">
        <v>608329.16</v>
      </c>
      <c r="I18" s="154">
        <v>631417.31999999995</v>
      </c>
      <c r="J18" s="154">
        <v>692216.31999999995</v>
      </c>
      <c r="K18" s="106">
        <v>530591.28</v>
      </c>
      <c r="L18" s="154">
        <v>530591.28</v>
      </c>
      <c r="M18" s="154">
        <v>922085.69</v>
      </c>
      <c r="N18" s="154">
        <f t="shared" si="3"/>
        <v>9730798.9700000007</v>
      </c>
    </row>
    <row r="19" spans="1:14">
      <c r="A19" s="73" t="s">
        <v>160</v>
      </c>
      <c r="B19" s="154">
        <v>284849.38</v>
      </c>
      <c r="C19" s="106">
        <v>131334.69</v>
      </c>
      <c r="D19" s="106">
        <v>207291.7</v>
      </c>
      <c r="E19" s="106">
        <v>183584.95</v>
      </c>
      <c r="F19" s="106">
        <v>172246.92</v>
      </c>
      <c r="G19" s="106">
        <v>163249.29999999999</v>
      </c>
      <c r="H19" s="106">
        <v>172521.18</v>
      </c>
      <c r="I19" s="154">
        <v>189866.45</v>
      </c>
      <c r="J19" s="154">
        <v>143093.85</v>
      </c>
      <c r="K19" s="106">
        <v>125385.18</v>
      </c>
      <c r="L19" s="154">
        <v>131274.65</v>
      </c>
      <c r="M19" s="154">
        <v>0</v>
      </c>
      <c r="N19" s="154">
        <f t="shared" si="3"/>
        <v>1904698.2499999998</v>
      </c>
    </row>
    <row r="20" spans="1:14">
      <c r="A20" s="73" t="s">
        <v>165</v>
      </c>
      <c r="B20" s="71">
        <v>745357.38</v>
      </c>
      <c r="C20" s="106">
        <v>304900.34000000003</v>
      </c>
      <c r="D20" s="106">
        <v>332320.86</v>
      </c>
      <c r="E20" s="106">
        <v>425649.06</v>
      </c>
      <c r="F20" s="106">
        <v>391423.44</v>
      </c>
      <c r="G20" s="106">
        <v>419192.46</v>
      </c>
      <c r="H20" s="106">
        <v>419192.46</v>
      </c>
      <c r="I20" s="154">
        <v>448540.63</v>
      </c>
      <c r="J20" s="205">
        <v>487713.14</v>
      </c>
      <c r="K20" s="106">
        <v>487713.14</v>
      </c>
      <c r="L20" s="154">
        <v>487713.14</v>
      </c>
      <c r="M20" s="154">
        <v>486557.24</v>
      </c>
      <c r="N20" s="409">
        <f t="shared" si="3"/>
        <v>5436273.29</v>
      </c>
    </row>
    <row r="21" spans="1:14">
      <c r="A21" s="73" t="s">
        <v>166</v>
      </c>
      <c r="B21" s="71">
        <v>1146198.3500000001</v>
      </c>
      <c r="C21" s="106">
        <v>255364.6</v>
      </c>
      <c r="D21" s="106">
        <v>278461.89</v>
      </c>
      <c r="E21" s="106">
        <v>319128.68</v>
      </c>
      <c r="F21" s="106">
        <v>325632.01</v>
      </c>
      <c r="G21" s="106">
        <v>348733.54</v>
      </c>
      <c r="H21" s="106">
        <v>348733.54</v>
      </c>
      <c r="I21" s="154">
        <v>369624.6</v>
      </c>
      <c r="J21" s="154">
        <v>421519.44</v>
      </c>
      <c r="K21" s="106">
        <v>421519.44</v>
      </c>
      <c r="L21" s="106">
        <v>421519.44</v>
      </c>
      <c r="M21" s="106">
        <v>421406.11</v>
      </c>
      <c r="N21" s="409">
        <f t="shared" si="3"/>
        <v>5077841.6400000015</v>
      </c>
    </row>
    <row r="22" spans="1:14">
      <c r="A22" s="73" t="s">
        <v>161</v>
      </c>
      <c r="B22" s="154">
        <v>7101</v>
      </c>
      <c r="C22" s="106">
        <v>19320</v>
      </c>
      <c r="D22" s="106">
        <v>4800</v>
      </c>
      <c r="E22" s="106">
        <v>23005.97</v>
      </c>
      <c r="F22" s="106">
        <v>32093.57</v>
      </c>
      <c r="G22" s="106">
        <v>12675.92</v>
      </c>
      <c r="H22" s="106">
        <v>23651.01</v>
      </c>
      <c r="I22" s="154">
        <v>21055.54</v>
      </c>
      <c r="J22" s="154">
        <v>17199.39</v>
      </c>
      <c r="K22" s="106">
        <v>36494.94</v>
      </c>
      <c r="L22" s="154">
        <v>11290.85</v>
      </c>
      <c r="M22" s="154">
        <v>43044.18</v>
      </c>
      <c r="N22" s="409">
        <f t="shared" si="3"/>
        <v>251732.37000000002</v>
      </c>
    </row>
    <row r="23" spans="1:14">
      <c r="A23" s="73" t="s">
        <v>200</v>
      </c>
      <c r="B23" s="154">
        <v>3841.9</v>
      </c>
      <c r="C23" s="106">
        <v>3841.9</v>
      </c>
      <c r="D23" s="106">
        <v>3841.9</v>
      </c>
      <c r="E23" s="106">
        <v>3841.9</v>
      </c>
      <c r="F23" s="106">
        <v>3841.9</v>
      </c>
      <c r="G23" s="106">
        <v>3841.9</v>
      </c>
      <c r="H23" s="106">
        <v>3841.9</v>
      </c>
      <c r="I23" s="106">
        <v>3841.9</v>
      </c>
      <c r="J23" s="106">
        <v>3841.9</v>
      </c>
      <c r="K23" s="106">
        <v>3841.9</v>
      </c>
      <c r="L23" s="106">
        <v>3841.9</v>
      </c>
      <c r="M23" s="154">
        <v>3841.9</v>
      </c>
      <c r="N23" s="409">
        <f t="shared" si="3"/>
        <v>46102.80000000001</v>
      </c>
    </row>
    <row r="24" spans="1:14">
      <c r="A24" s="73" t="s">
        <v>371</v>
      </c>
      <c r="B24" s="154">
        <v>0</v>
      </c>
      <c r="C24" s="106">
        <v>0</v>
      </c>
      <c r="D24" s="106">
        <v>3645996.69</v>
      </c>
      <c r="E24" s="106">
        <v>0</v>
      </c>
      <c r="F24" s="106"/>
      <c r="G24" s="106"/>
      <c r="H24" s="106">
        <v>0</v>
      </c>
      <c r="I24" s="154"/>
      <c r="J24" s="154">
        <v>0</v>
      </c>
      <c r="K24" s="106"/>
      <c r="L24" s="154"/>
      <c r="M24" s="154"/>
      <c r="N24" s="409">
        <f t="shared" si="3"/>
        <v>3645996.69</v>
      </c>
    </row>
    <row r="25" spans="1:14">
      <c r="A25" s="73" t="s">
        <v>235</v>
      </c>
      <c r="B25" s="154">
        <v>5655.12</v>
      </c>
      <c r="C25" s="106">
        <v>0</v>
      </c>
      <c r="D25" s="106">
        <v>153915.48000000001</v>
      </c>
      <c r="E25" s="106"/>
      <c r="F25" s="106"/>
      <c r="G25" s="106"/>
      <c r="H25" s="106">
        <v>4839.45</v>
      </c>
      <c r="I25" s="154"/>
      <c r="J25" s="154">
        <v>0</v>
      </c>
      <c r="K25" s="106"/>
      <c r="L25" s="154"/>
      <c r="M25" s="154"/>
      <c r="N25" s="154">
        <f t="shared" si="3"/>
        <v>164410.05000000002</v>
      </c>
    </row>
    <row r="26" spans="1:14">
      <c r="A26" s="73" t="s">
        <v>128</v>
      </c>
      <c r="B26" s="154">
        <v>899650.35</v>
      </c>
      <c r="C26" s="106">
        <v>756981.65</v>
      </c>
      <c r="D26" s="106">
        <v>793032.01</v>
      </c>
      <c r="E26" s="106">
        <v>1038810.04</v>
      </c>
      <c r="F26" s="106">
        <v>770879.92</v>
      </c>
      <c r="G26" s="106">
        <v>881539.87</v>
      </c>
      <c r="H26" s="106">
        <v>1060725.76</v>
      </c>
      <c r="I26" s="154">
        <v>844866.76</v>
      </c>
      <c r="J26" s="154">
        <v>885016.34</v>
      </c>
      <c r="K26" s="106">
        <v>1108234.43</v>
      </c>
      <c r="L26" s="154">
        <v>993590.57</v>
      </c>
      <c r="M26" s="154">
        <v>1119886.93</v>
      </c>
      <c r="N26" s="409">
        <f t="shared" si="3"/>
        <v>11153214.629999999</v>
      </c>
    </row>
    <row r="27" spans="1:14">
      <c r="A27" s="73" t="s">
        <v>129</v>
      </c>
      <c r="B27" s="256">
        <v>54803.85</v>
      </c>
      <c r="C27" s="106">
        <v>98514.61</v>
      </c>
      <c r="D27" s="106">
        <v>49616.639999999999</v>
      </c>
      <c r="E27" s="106">
        <v>54126.400000000001</v>
      </c>
      <c r="F27" s="106">
        <v>62744</v>
      </c>
      <c r="G27" s="106">
        <v>43879.86</v>
      </c>
      <c r="H27" s="106">
        <v>56855.99</v>
      </c>
      <c r="I27" s="154">
        <v>77882.100000000006</v>
      </c>
      <c r="J27" s="154">
        <v>71667.41</v>
      </c>
      <c r="K27" s="106">
        <v>68964.960000000006</v>
      </c>
      <c r="L27" s="154">
        <v>67139.95</v>
      </c>
      <c r="M27" s="154">
        <v>60362.59</v>
      </c>
      <c r="N27" s="409">
        <f t="shared" si="3"/>
        <v>766558.35999999987</v>
      </c>
    </row>
    <row r="28" spans="1:14">
      <c r="A28" s="73" t="s">
        <v>451</v>
      </c>
      <c r="B28" s="154">
        <v>5006.01</v>
      </c>
      <c r="C28" s="106">
        <v>5206.53</v>
      </c>
      <c r="D28" s="106">
        <v>6116.72</v>
      </c>
      <c r="E28" s="106">
        <v>5289.73</v>
      </c>
      <c r="F28" s="106">
        <v>5567.62</v>
      </c>
      <c r="G28" s="106">
        <v>6996.1</v>
      </c>
      <c r="H28" s="106">
        <v>6183.96</v>
      </c>
      <c r="I28" s="154">
        <v>8368.94</v>
      </c>
      <c r="J28" s="154">
        <v>9135.56</v>
      </c>
      <c r="K28" s="106">
        <v>6202.4</v>
      </c>
      <c r="L28" s="154">
        <v>6887.98</v>
      </c>
      <c r="M28" s="154">
        <v>8086.5</v>
      </c>
      <c r="N28" s="409">
        <f t="shared" si="3"/>
        <v>79048.05</v>
      </c>
    </row>
    <row r="29" spans="1:14">
      <c r="A29" s="73" t="s">
        <v>162</v>
      </c>
      <c r="B29" s="154">
        <v>5504.03</v>
      </c>
      <c r="C29" s="106">
        <v>0</v>
      </c>
      <c r="D29" s="106">
        <v>0</v>
      </c>
      <c r="E29" s="106">
        <v>5364.16</v>
      </c>
      <c r="F29" s="106"/>
      <c r="G29" s="106"/>
      <c r="H29" s="106">
        <v>5204.4399999999996</v>
      </c>
      <c r="I29" s="154">
        <v>0</v>
      </c>
      <c r="J29" s="154">
        <v>0</v>
      </c>
      <c r="K29" s="106">
        <v>8643.7000000000007</v>
      </c>
      <c r="L29" s="154"/>
      <c r="M29" s="154"/>
      <c r="N29" s="409">
        <f t="shared" si="3"/>
        <v>24716.329999999998</v>
      </c>
    </row>
    <row r="30" spans="1:14">
      <c r="A30" s="73" t="s">
        <v>163</v>
      </c>
      <c r="B30" s="154">
        <v>0</v>
      </c>
      <c r="C30" s="106">
        <v>0</v>
      </c>
      <c r="D30" s="106">
        <v>0</v>
      </c>
      <c r="E30" s="106">
        <v>0</v>
      </c>
      <c r="F30" s="106"/>
      <c r="G30" s="106">
        <v>299632.82</v>
      </c>
      <c r="H30" s="106">
        <v>0</v>
      </c>
      <c r="I30" s="154">
        <v>0</v>
      </c>
      <c r="J30" s="154">
        <v>22817.24</v>
      </c>
      <c r="K30" s="106"/>
      <c r="L30" s="154"/>
      <c r="M30" s="154"/>
      <c r="N30" s="154">
        <f t="shared" si="3"/>
        <v>322450.06</v>
      </c>
    </row>
    <row r="31" spans="1:14">
      <c r="A31" s="73" t="s">
        <v>164</v>
      </c>
      <c r="B31" s="154">
        <v>1307380.0900000001</v>
      </c>
      <c r="C31" s="106">
        <v>1457185.27</v>
      </c>
      <c r="D31" s="106">
        <v>1099226.1599999999</v>
      </c>
      <c r="E31" s="106">
        <v>1165386.01</v>
      </c>
      <c r="F31" s="106">
        <v>1329855.23</v>
      </c>
      <c r="G31" s="106">
        <v>1318306.02</v>
      </c>
      <c r="H31" s="106">
        <v>1224787.69</v>
      </c>
      <c r="I31" s="154">
        <v>1209253.03</v>
      </c>
      <c r="J31" s="154">
        <v>1131763.6499999999</v>
      </c>
      <c r="K31" s="106">
        <v>1325636.82</v>
      </c>
      <c r="L31" s="154">
        <v>1367016.29</v>
      </c>
      <c r="M31" s="212">
        <v>1536870.01</v>
      </c>
      <c r="N31" s="154">
        <f t="shared" si="3"/>
        <v>15472666.269999998</v>
      </c>
    </row>
    <row r="32" spans="1:14">
      <c r="A32" s="73" t="s">
        <v>236</v>
      </c>
      <c r="B32" s="154">
        <v>0</v>
      </c>
      <c r="C32" s="106">
        <v>0</v>
      </c>
      <c r="D32" s="106">
        <v>4630844.68</v>
      </c>
      <c r="E32" s="106">
        <v>0</v>
      </c>
      <c r="F32" s="106"/>
      <c r="G32" s="106"/>
      <c r="H32" s="106"/>
      <c r="I32" s="154">
        <v>100</v>
      </c>
      <c r="J32" s="154"/>
      <c r="K32" s="406">
        <v>3663.91</v>
      </c>
      <c r="L32" s="154">
        <v>100</v>
      </c>
      <c r="M32" s="154">
        <v>200</v>
      </c>
      <c r="N32" s="154">
        <f t="shared" si="3"/>
        <v>4634908.59</v>
      </c>
    </row>
    <row r="33" spans="1:15">
      <c r="A33" s="73" t="s">
        <v>389</v>
      </c>
      <c r="B33" s="106">
        <v>91434.01</v>
      </c>
      <c r="C33" s="106">
        <v>0</v>
      </c>
      <c r="D33" s="106">
        <v>0</v>
      </c>
      <c r="E33" s="106">
        <v>0</v>
      </c>
      <c r="F33" s="106">
        <v>752898.91</v>
      </c>
      <c r="G33" s="106">
        <v>55698.38</v>
      </c>
      <c r="H33" s="106"/>
      <c r="I33" s="154"/>
      <c r="J33" s="154"/>
      <c r="K33" s="106">
        <v>469029.5</v>
      </c>
      <c r="L33" s="154"/>
      <c r="M33" s="154">
        <v>300000</v>
      </c>
      <c r="N33" s="154">
        <f t="shared" si="3"/>
        <v>1669060.8</v>
      </c>
      <c r="O33" s="103"/>
    </row>
    <row r="34" spans="1:15">
      <c r="A34" s="261" t="s">
        <v>131</v>
      </c>
      <c r="B34" s="155">
        <v>788976.12</v>
      </c>
      <c r="C34" s="155">
        <v>984114.91</v>
      </c>
      <c r="D34" s="155">
        <v>675324.41</v>
      </c>
      <c r="E34" s="155">
        <v>750166.57</v>
      </c>
      <c r="F34" s="155">
        <v>785334.68</v>
      </c>
      <c r="G34" s="155">
        <v>849569.66</v>
      </c>
      <c r="H34" s="155">
        <v>654434.51</v>
      </c>
      <c r="I34" s="155">
        <v>748153.93</v>
      </c>
      <c r="J34" s="155">
        <v>654035.86</v>
      </c>
      <c r="K34" s="155">
        <v>733923.82</v>
      </c>
      <c r="L34" s="155">
        <v>840012.75</v>
      </c>
      <c r="M34" s="155">
        <v>941715.58</v>
      </c>
      <c r="N34" s="155">
        <f t="shared" si="3"/>
        <v>9405762.7999999989</v>
      </c>
      <c r="O34" s="103"/>
    </row>
    <row r="36" spans="1:15">
      <c r="A36" s="262" t="s">
        <v>133</v>
      </c>
      <c r="B36" s="263">
        <f>B33</f>
        <v>91434.01</v>
      </c>
      <c r="C36" s="263">
        <v>0</v>
      </c>
      <c r="D36" s="263">
        <v>0</v>
      </c>
      <c r="E36" s="263">
        <v>0</v>
      </c>
      <c r="F36" s="263">
        <v>0</v>
      </c>
      <c r="G36" s="263">
        <v>0</v>
      </c>
      <c r="H36" s="263">
        <v>0</v>
      </c>
      <c r="I36" s="263">
        <v>0</v>
      </c>
      <c r="J36" s="263">
        <v>0</v>
      </c>
      <c r="K36" s="263"/>
      <c r="L36" s="263">
        <v>0</v>
      </c>
      <c r="M36" s="263"/>
      <c r="N36" s="264">
        <f>SUM(B36:M36)</f>
        <v>91434.01</v>
      </c>
    </row>
    <row r="37" spans="1:15">
      <c r="A37" s="265" t="s">
        <v>169</v>
      </c>
      <c r="B37" s="266">
        <f t="shared" ref="B37:M37" si="4">B3+B13</f>
        <v>8437062.3699999992</v>
      </c>
      <c r="C37" s="266">
        <f t="shared" si="4"/>
        <v>9563936.4300000016</v>
      </c>
      <c r="D37" s="266">
        <f t="shared" si="4"/>
        <v>14839521.65</v>
      </c>
      <c r="E37" s="266">
        <f t="shared" si="4"/>
        <v>7388920.830000001</v>
      </c>
      <c r="F37" s="266">
        <f t="shared" si="4"/>
        <v>8902408.2200000007</v>
      </c>
      <c r="G37" s="266">
        <f t="shared" si="4"/>
        <v>8180688.6900000004</v>
      </c>
      <c r="H37" s="266">
        <f t="shared" si="4"/>
        <v>7872036.0500000007</v>
      </c>
      <c r="I37" s="266">
        <f t="shared" si="4"/>
        <v>7370737.7800000003</v>
      </c>
      <c r="J37" s="266">
        <f t="shared" si="4"/>
        <v>7181157.5600000005</v>
      </c>
      <c r="K37" s="266">
        <f t="shared" si="4"/>
        <v>7964067.5600000015</v>
      </c>
      <c r="L37" s="266">
        <f t="shared" si="4"/>
        <v>7706176.1500000013</v>
      </c>
      <c r="M37" s="266">
        <f t="shared" si="4"/>
        <v>12091681.200000001</v>
      </c>
      <c r="N37" s="264">
        <f>SUM(B37:M37)</f>
        <v>107498394.49000001</v>
      </c>
    </row>
    <row r="38" spans="1:15" s="102" customFormat="1">
      <c r="A38" s="153" t="s">
        <v>132</v>
      </c>
      <c r="B38" s="153">
        <f>B37-B34-B36</f>
        <v>7556652.2399999993</v>
      </c>
      <c r="C38" s="153">
        <f t="shared" ref="C38:L38" si="5">C37-C34-C36</f>
        <v>8579821.5200000014</v>
      </c>
      <c r="D38" s="153">
        <f>D37-D34-D36</f>
        <v>14164197.24</v>
      </c>
      <c r="E38" s="153">
        <f t="shared" si="5"/>
        <v>6638754.2600000007</v>
      </c>
      <c r="F38" s="153">
        <f t="shared" si="5"/>
        <v>8117073.540000001</v>
      </c>
      <c r="G38" s="153">
        <f t="shared" si="5"/>
        <v>7331119.0300000003</v>
      </c>
      <c r="H38" s="153">
        <f t="shared" si="5"/>
        <v>7217601.540000001</v>
      </c>
      <c r="I38" s="153">
        <f>I37-I34-I36</f>
        <v>6622583.8500000006</v>
      </c>
      <c r="J38" s="153">
        <f t="shared" si="5"/>
        <v>6527121.7000000002</v>
      </c>
      <c r="K38" s="153">
        <f t="shared" si="5"/>
        <v>7230143.7400000012</v>
      </c>
      <c r="L38" s="153">
        <f t="shared" si="5"/>
        <v>6866163.4000000013</v>
      </c>
      <c r="M38" s="153">
        <f>M37-M34-M36</f>
        <v>11149965.620000001</v>
      </c>
      <c r="N38" s="153">
        <f>SUM(B38:M38)</f>
        <v>98001197.680000007</v>
      </c>
    </row>
    <row r="39" spans="1:15" s="102" customFormat="1">
      <c r="A39" s="154" t="s">
        <v>430</v>
      </c>
      <c r="B39" s="154">
        <v>183856</v>
      </c>
      <c r="C39" s="154">
        <v>142329.60000000001</v>
      </c>
      <c r="D39" s="154">
        <v>142329.60000000001</v>
      </c>
      <c r="E39" s="154">
        <v>163792</v>
      </c>
      <c r="F39" s="154"/>
      <c r="G39" s="154"/>
      <c r="H39" s="154"/>
      <c r="I39" s="154"/>
      <c r="J39" s="154"/>
      <c r="K39" s="154"/>
      <c r="L39" s="154"/>
      <c r="M39" s="154"/>
      <c r="N39" s="252"/>
    </row>
    <row r="40" spans="1:15" s="102" customFormat="1">
      <c r="A40" s="154" t="s">
        <v>175</v>
      </c>
      <c r="B40" s="154">
        <v>0</v>
      </c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>
        <f>SUM(B40:M40)</f>
        <v>0</v>
      </c>
    </row>
    <row r="41" spans="1:15" s="102" customFormat="1">
      <c r="A41" s="153" t="s">
        <v>176</v>
      </c>
      <c r="B41" s="153">
        <f>B38-B39-B40</f>
        <v>7372796.2399999993</v>
      </c>
      <c r="C41" s="153">
        <f t="shared" ref="C41:M41" si="6">C38-C39-C40</f>
        <v>8437491.9200000018</v>
      </c>
      <c r="D41" s="153">
        <f t="shared" si="6"/>
        <v>14021867.640000001</v>
      </c>
      <c r="E41" s="153">
        <f t="shared" si="6"/>
        <v>6474962.2600000007</v>
      </c>
      <c r="F41" s="153">
        <f t="shared" si="6"/>
        <v>8117073.540000001</v>
      </c>
      <c r="G41" s="153">
        <f t="shared" si="6"/>
        <v>7331119.0300000003</v>
      </c>
      <c r="H41" s="153">
        <f t="shared" si="6"/>
        <v>7217601.540000001</v>
      </c>
      <c r="I41" s="153">
        <f t="shared" si="6"/>
        <v>6622583.8500000006</v>
      </c>
      <c r="J41" s="153">
        <f t="shared" si="6"/>
        <v>6527121.7000000002</v>
      </c>
      <c r="K41" s="153">
        <f t="shared" si="6"/>
        <v>7230143.7400000012</v>
      </c>
      <c r="L41" s="153">
        <f t="shared" si="6"/>
        <v>6866163.4000000013</v>
      </c>
      <c r="M41" s="153">
        <f t="shared" si="6"/>
        <v>11149965.620000001</v>
      </c>
      <c r="N41" s="153">
        <f>SUM(B41:M41)</f>
        <v>97368890.480000004</v>
      </c>
    </row>
    <row r="42" spans="1:15">
      <c r="K42" s="103"/>
      <c r="L42" s="102"/>
    </row>
    <row r="43" spans="1:15">
      <c r="B43" s="103"/>
    </row>
    <row r="44" spans="1:15" s="108" customFormat="1">
      <c r="A44" s="267" t="s">
        <v>5</v>
      </c>
      <c r="B44" s="105">
        <f t="shared" ref="B44:I44" si="7">B45+B48+B51</f>
        <v>3201631.9000000004</v>
      </c>
      <c r="C44" s="105">
        <f t="shared" si="7"/>
        <v>2030096.62</v>
      </c>
      <c r="D44" s="105">
        <f t="shared" si="7"/>
        <v>1723004.8899999997</v>
      </c>
      <c r="E44" s="105">
        <f t="shared" si="7"/>
        <v>1923212.49</v>
      </c>
      <c r="F44" s="105">
        <f t="shared" si="7"/>
        <v>2058528.69</v>
      </c>
      <c r="G44" s="105">
        <f t="shared" si="7"/>
        <v>2094313</v>
      </c>
      <c r="H44" s="105">
        <f t="shared" si="7"/>
        <v>1999892.3</v>
      </c>
      <c r="I44" s="105">
        <f t="shared" si="7"/>
        <v>2034232.3899999997</v>
      </c>
      <c r="J44" s="105">
        <f>J45+J48+J51</f>
        <v>2046951.56</v>
      </c>
      <c r="K44" s="105">
        <f>K45+K48+K51</f>
        <v>2234869.4</v>
      </c>
      <c r="L44" s="105">
        <f>L45+L48+L51</f>
        <v>2276248.87</v>
      </c>
      <c r="M44" s="105">
        <f>M45+M48+M51</f>
        <v>2444833.3600000003</v>
      </c>
      <c r="N44" s="107">
        <f t="shared" ref="N44:N53" si="8">SUM(B44:M44)</f>
        <v>26067815.469999999</v>
      </c>
    </row>
    <row r="45" spans="1:15" s="108" customFormat="1">
      <c r="A45" s="267" t="s">
        <v>141</v>
      </c>
      <c r="B45" s="105">
        <f t="shared" ref="B45:D45" si="9">B46+B47</f>
        <v>1310076.1700000002</v>
      </c>
      <c r="C45" s="105">
        <f t="shared" si="9"/>
        <v>1469831.68</v>
      </c>
      <c r="D45" s="105">
        <f t="shared" si="9"/>
        <v>1112222.1399999999</v>
      </c>
      <c r="E45" s="105">
        <f t="shared" ref="E45:M45" si="10">E46+E47</f>
        <v>1178434.75</v>
      </c>
      <c r="F45" s="105">
        <f t="shared" si="10"/>
        <v>1341473.24</v>
      </c>
      <c r="G45" s="105">
        <f t="shared" si="10"/>
        <v>1326387</v>
      </c>
      <c r="H45" s="105">
        <f t="shared" si="10"/>
        <v>1231966.3</v>
      </c>
      <c r="I45" s="105">
        <f t="shared" si="10"/>
        <v>1216067.1599999999</v>
      </c>
      <c r="J45" s="105">
        <f t="shared" si="10"/>
        <v>1137718.98</v>
      </c>
      <c r="K45" s="105">
        <f t="shared" si="10"/>
        <v>1325636.82</v>
      </c>
      <c r="L45" s="105">
        <f t="shared" si="10"/>
        <v>1367016.29</v>
      </c>
      <c r="M45" s="105">
        <f t="shared" si="10"/>
        <v>1536870.01</v>
      </c>
      <c r="N45" s="107">
        <f t="shared" si="8"/>
        <v>15553700.540000001</v>
      </c>
    </row>
    <row r="46" spans="1:15">
      <c r="A46" s="268" t="s">
        <v>137</v>
      </c>
      <c r="B46" s="106">
        <f>B31</f>
        <v>1307380.0900000001</v>
      </c>
      <c r="C46" s="106">
        <f>C31</f>
        <v>1457185.27</v>
      </c>
      <c r="D46" s="106">
        <f t="shared" ref="D46:M46" si="11">D31</f>
        <v>1099226.1599999999</v>
      </c>
      <c r="E46" s="106">
        <f t="shared" si="11"/>
        <v>1165386.01</v>
      </c>
      <c r="F46" s="106">
        <f t="shared" si="11"/>
        <v>1329855.23</v>
      </c>
      <c r="G46" s="106">
        <f t="shared" si="11"/>
        <v>1318306.02</v>
      </c>
      <c r="H46" s="106">
        <f t="shared" si="11"/>
        <v>1224787.69</v>
      </c>
      <c r="I46" s="106">
        <f t="shared" si="11"/>
        <v>1209253.03</v>
      </c>
      <c r="J46" s="106">
        <f t="shared" si="11"/>
        <v>1131763.6499999999</v>
      </c>
      <c r="K46" s="106">
        <f t="shared" si="11"/>
        <v>1325636.82</v>
      </c>
      <c r="L46" s="106">
        <f t="shared" si="11"/>
        <v>1367016.29</v>
      </c>
      <c r="M46" s="106">
        <f t="shared" si="11"/>
        <v>1536870.01</v>
      </c>
      <c r="N46" s="154">
        <f t="shared" si="8"/>
        <v>15472666.269999998</v>
      </c>
    </row>
    <row r="47" spans="1:15">
      <c r="A47" s="268" t="s">
        <v>138</v>
      </c>
      <c r="B47" s="106">
        <f>2692.05+4.03</f>
        <v>2696.0800000000004</v>
      </c>
      <c r="C47" s="106">
        <f>12643.07+3.34</f>
        <v>12646.41</v>
      </c>
      <c r="D47" s="106">
        <f>12995.98</f>
        <v>12995.98</v>
      </c>
      <c r="E47" s="106">
        <f>13045.06+3.68</f>
        <v>13048.74</v>
      </c>
      <c r="F47" s="106">
        <f>11614.56+3.45</f>
        <v>11618.01</v>
      </c>
      <c r="G47" s="106">
        <f>8077.68+3.3</f>
        <v>8080.9800000000005</v>
      </c>
      <c r="H47" s="106">
        <f>7174.82+3.79</f>
        <v>7178.61</v>
      </c>
      <c r="I47" s="106">
        <f>6810.46+3.67</f>
        <v>6814.13</v>
      </c>
      <c r="J47" s="106">
        <f>5951.79+3.54</f>
        <v>5955.33</v>
      </c>
      <c r="K47" s="106"/>
      <c r="L47" s="106"/>
      <c r="M47" s="154"/>
      <c r="N47" s="154">
        <f t="shared" si="8"/>
        <v>81034.27</v>
      </c>
    </row>
    <row r="48" spans="1:15" s="108" customFormat="1" ht="15.75" customHeight="1">
      <c r="A48" s="267" t="s">
        <v>139</v>
      </c>
      <c r="B48" s="105">
        <f>B49+B50</f>
        <v>1146198.3500000001</v>
      </c>
      <c r="C48" s="105">
        <f t="shared" ref="C48:D48" si="12">C49+C50</f>
        <v>255364.6</v>
      </c>
      <c r="D48" s="105">
        <f t="shared" si="12"/>
        <v>278461.89</v>
      </c>
      <c r="E48" s="105">
        <f t="shared" ref="E48:M48" si="13">E49+E50</f>
        <v>319128.68</v>
      </c>
      <c r="F48" s="105">
        <f t="shared" si="13"/>
        <v>325632.01</v>
      </c>
      <c r="G48" s="105">
        <f t="shared" si="13"/>
        <v>348733.54</v>
      </c>
      <c r="H48" s="105">
        <f t="shared" si="13"/>
        <v>348733.54</v>
      </c>
      <c r="I48" s="105">
        <f t="shared" si="13"/>
        <v>369624.6</v>
      </c>
      <c r="J48" s="105">
        <f t="shared" si="13"/>
        <v>421519.44</v>
      </c>
      <c r="K48" s="105">
        <f t="shared" si="13"/>
        <v>421519.44</v>
      </c>
      <c r="L48" s="105">
        <f t="shared" si="13"/>
        <v>421519.44</v>
      </c>
      <c r="M48" s="105">
        <f t="shared" si="13"/>
        <v>421406.11</v>
      </c>
      <c r="N48" s="252">
        <f t="shared" si="8"/>
        <v>5077841.6400000015</v>
      </c>
    </row>
    <row r="49" spans="1:15">
      <c r="A49" s="268" t="s">
        <v>137</v>
      </c>
      <c r="B49" s="106">
        <f t="shared" ref="B49:M49" si="14">B21</f>
        <v>1146198.3500000001</v>
      </c>
      <c r="C49" s="106">
        <f t="shared" si="14"/>
        <v>255364.6</v>
      </c>
      <c r="D49" s="106">
        <f t="shared" si="14"/>
        <v>278461.89</v>
      </c>
      <c r="E49" s="106">
        <f t="shared" si="14"/>
        <v>319128.68</v>
      </c>
      <c r="F49" s="106">
        <f t="shared" si="14"/>
        <v>325632.01</v>
      </c>
      <c r="G49" s="106">
        <f t="shared" si="14"/>
        <v>348733.54</v>
      </c>
      <c r="H49" s="106">
        <f t="shared" si="14"/>
        <v>348733.54</v>
      </c>
      <c r="I49" s="106">
        <f t="shared" si="14"/>
        <v>369624.6</v>
      </c>
      <c r="J49" s="106">
        <f t="shared" si="14"/>
        <v>421519.44</v>
      </c>
      <c r="K49" s="106">
        <f t="shared" si="14"/>
        <v>421519.44</v>
      </c>
      <c r="L49" s="106">
        <f t="shared" si="14"/>
        <v>421519.44</v>
      </c>
      <c r="M49" s="106">
        <f t="shared" si="14"/>
        <v>421406.11</v>
      </c>
      <c r="N49" s="154">
        <f t="shared" si="8"/>
        <v>5077841.6400000015</v>
      </c>
    </row>
    <row r="50" spans="1:15">
      <c r="A50" s="268" t="s">
        <v>138</v>
      </c>
      <c r="B50" s="106">
        <v>0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54">
        <f t="shared" si="8"/>
        <v>0</v>
      </c>
    </row>
    <row r="51" spans="1:15" s="108" customFormat="1" ht="16.5" customHeight="1">
      <c r="A51" s="267" t="s">
        <v>140</v>
      </c>
      <c r="B51" s="105">
        <f>B52+B53</f>
        <v>745357.38</v>
      </c>
      <c r="C51" s="105">
        <f t="shared" ref="C51:D51" si="15">C52+C53</f>
        <v>304900.34000000003</v>
      </c>
      <c r="D51" s="105">
        <f t="shared" si="15"/>
        <v>332320.86</v>
      </c>
      <c r="E51" s="105">
        <f t="shared" ref="E51:M51" si="16">E52+E53</f>
        <v>425649.06</v>
      </c>
      <c r="F51" s="105">
        <f t="shared" si="16"/>
        <v>391423.44</v>
      </c>
      <c r="G51" s="105">
        <f t="shared" si="16"/>
        <v>419192.46</v>
      </c>
      <c r="H51" s="105">
        <f t="shared" si="16"/>
        <v>419192.46</v>
      </c>
      <c r="I51" s="105">
        <f t="shared" si="16"/>
        <v>448540.63</v>
      </c>
      <c r="J51" s="105">
        <f t="shared" si="16"/>
        <v>487713.14</v>
      </c>
      <c r="K51" s="105">
        <f t="shared" si="16"/>
        <v>487713.14</v>
      </c>
      <c r="L51" s="105">
        <f t="shared" si="16"/>
        <v>487713.14</v>
      </c>
      <c r="M51" s="105">
        <f t="shared" si="16"/>
        <v>486557.24</v>
      </c>
      <c r="N51" s="252">
        <f t="shared" si="8"/>
        <v>5436273.29</v>
      </c>
    </row>
    <row r="52" spans="1:15">
      <c r="A52" s="268" t="s">
        <v>137</v>
      </c>
      <c r="B52" s="106">
        <f t="shared" ref="B52:M52" si="17">B20</f>
        <v>745357.38</v>
      </c>
      <c r="C52" s="106">
        <f t="shared" si="17"/>
        <v>304900.34000000003</v>
      </c>
      <c r="D52" s="106">
        <f t="shared" si="17"/>
        <v>332320.86</v>
      </c>
      <c r="E52" s="106">
        <f t="shared" si="17"/>
        <v>425649.06</v>
      </c>
      <c r="F52" s="106">
        <f t="shared" si="17"/>
        <v>391423.44</v>
      </c>
      <c r="G52" s="106">
        <f t="shared" si="17"/>
        <v>419192.46</v>
      </c>
      <c r="H52" s="106">
        <f t="shared" si="17"/>
        <v>419192.46</v>
      </c>
      <c r="I52" s="106">
        <f t="shared" si="17"/>
        <v>448540.63</v>
      </c>
      <c r="J52" s="106">
        <f t="shared" si="17"/>
        <v>487713.14</v>
      </c>
      <c r="K52" s="106">
        <f t="shared" si="17"/>
        <v>487713.14</v>
      </c>
      <c r="L52" s="106">
        <f t="shared" si="17"/>
        <v>487713.14</v>
      </c>
      <c r="M52" s="106">
        <f t="shared" si="17"/>
        <v>486557.24</v>
      </c>
      <c r="N52" s="154">
        <f t="shared" si="8"/>
        <v>5436273.29</v>
      </c>
    </row>
    <row r="53" spans="1:15">
      <c r="A53" s="268" t="s">
        <v>138</v>
      </c>
      <c r="B53" s="106">
        <v>0</v>
      </c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54">
        <f t="shared" si="8"/>
        <v>0</v>
      </c>
    </row>
    <row r="54" spans="1:15">
      <c r="B54" s="72"/>
    </row>
    <row r="55" spans="1:15" ht="15">
      <c r="A55" s="173" t="s">
        <v>428</v>
      </c>
      <c r="B55" s="173">
        <f t="shared" ref="B55:M55" si="18">B41</f>
        <v>7372796.2399999993</v>
      </c>
      <c r="C55" s="173">
        <f t="shared" si="18"/>
        <v>8437491.9200000018</v>
      </c>
      <c r="D55" s="173">
        <f t="shared" si="18"/>
        <v>14021867.640000001</v>
      </c>
      <c r="E55" s="173">
        <f t="shared" si="18"/>
        <v>6474962.2600000007</v>
      </c>
      <c r="F55" s="173">
        <f t="shared" si="18"/>
        <v>8117073.540000001</v>
      </c>
      <c r="G55" s="173">
        <f t="shared" si="18"/>
        <v>7331119.0300000003</v>
      </c>
      <c r="H55" s="173">
        <f t="shared" si="18"/>
        <v>7217601.540000001</v>
      </c>
      <c r="I55" s="173">
        <f t="shared" si="18"/>
        <v>6622583.8500000006</v>
      </c>
      <c r="J55" s="173">
        <f t="shared" si="18"/>
        <v>6527121.7000000002</v>
      </c>
      <c r="K55" s="173">
        <f t="shared" si="18"/>
        <v>7230143.7400000012</v>
      </c>
      <c r="L55" s="173">
        <f t="shared" si="18"/>
        <v>6866163.4000000013</v>
      </c>
      <c r="M55" s="173">
        <f t="shared" si="18"/>
        <v>11149965.620000001</v>
      </c>
      <c r="N55" s="281">
        <f>SUM(B55:M55)</f>
        <v>97368890.480000004</v>
      </c>
    </row>
    <row r="56" spans="1:15" ht="15.7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5" ht="15">
      <c r="A57" s="15" t="s">
        <v>261</v>
      </c>
      <c r="B57" s="15">
        <v>0</v>
      </c>
      <c r="C57" s="15">
        <v>0</v>
      </c>
      <c r="D57" s="15">
        <v>0</v>
      </c>
      <c r="E57" s="280">
        <v>0</v>
      </c>
      <c r="F57" s="280"/>
      <c r="G57" s="280"/>
      <c r="H57" s="280"/>
      <c r="I57" s="280"/>
      <c r="J57" s="280"/>
      <c r="K57" s="280"/>
      <c r="L57" s="280"/>
      <c r="M57" s="280">
        <v>9174126.2599999998</v>
      </c>
      <c r="N57" s="99">
        <f>SUM(B57:M57)</f>
        <v>9174126.2599999998</v>
      </c>
    </row>
    <row r="58" spans="1:15" ht="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99"/>
    </row>
    <row r="59" spans="1:15" ht="15.75">
      <c r="A59" s="188" t="s">
        <v>172</v>
      </c>
      <c r="B59" s="188">
        <f>B55+B57</f>
        <v>7372796.2399999993</v>
      </c>
      <c r="C59" s="188">
        <f t="shared" ref="C59:M59" si="19">C55+C57</f>
        <v>8437491.9200000018</v>
      </c>
      <c r="D59" s="188">
        <f t="shared" si="19"/>
        <v>14021867.640000001</v>
      </c>
      <c r="E59" s="188">
        <f t="shared" si="19"/>
        <v>6474962.2600000007</v>
      </c>
      <c r="F59" s="188">
        <f t="shared" si="19"/>
        <v>8117073.540000001</v>
      </c>
      <c r="G59" s="188">
        <f t="shared" si="19"/>
        <v>7331119.0300000003</v>
      </c>
      <c r="H59" s="188">
        <f t="shared" si="19"/>
        <v>7217601.540000001</v>
      </c>
      <c r="I59" s="188">
        <f t="shared" si="19"/>
        <v>6622583.8500000006</v>
      </c>
      <c r="J59" s="188">
        <f t="shared" si="19"/>
        <v>6527121.7000000002</v>
      </c>
      <c r="K59" s="188">
        <f t="shared" si="19"/>
        <v>7230143.7400000012</v>
      </c>
      <c r="L59" s="188">
        <f t="shared" si="19"/>
        <v>6866163.4000000013</v>
      </c>
      <c r="M59" s="188">
        <f t="shared" si="19"/>
        <v>20324091.880000003</v>
      </c>
      <c r="N59" s="188">
        <f>SUM(B59:M59)</f>
        <v>106543016.74000001</v>
      </c>
    </row>
    <row r="60" spans="1:15" ht="15.7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6"/>
    </row>
    <row r="62" spans="1:15" ht="15.75">
      <c r="A62" s="450" t="s">
        <v>92</v>
      </c>
      <c r="B62" s="452" t="s">
        <v>6</v>
      </c>
      <c r="C62" s="452"/>
      <c r="D62" s="452"/>
      <c r="E62" s="452"/>
      <c r="F62" s="452"/>
      <c r="G62" s="452"/>
      <c r="H62" s="452"/>
      <c r="I62" s="452"/>
      <c r="J62" s="452"/>
      <c r="K62" s="452"/>
      <c r="L62" s="452"/>
      <c r="M62" s="452"/>
      <c r="N62" s="452"/>
      <c r="O62" s="452"/>
    </row>
    <row r="63" spans="1:15" ht="16.5" thickBot="1">
      <c r="A63" s="451"/>
      <c r="B63" s="48" t="s">
        <v>29</v>
      </c>
      <c r="C63" s="48" t="s">
        <v>30</v>
      </c>
      <c r="D63" s="48" t="s">
        <v>31</v>
      </c>
      <c r="E63" s="48" t="s">
        <v>32</v>
      </c>
      <c r="F63" s="48" t="s">
        <v>33</v>
      </c>
      <c r="G63" s="48" t="s">
        <v>34</v>
      </c>
      <c r="H63" s="48" t="s">
        <v>35</v>
      </c>
      <c r="I63" s="48" t="s">
        <v>36</v>
      </c>
      <c r="J63" s="48" t="s">
        <v>37</v>
      </c>
      <c r="K63" s="48" t="s">
        <v>38</v>
      </c>
      <c r="L63" s="48" t="s">
        <v>39</v>
      </c>
      <c r="M63" s="48" t="s">
        <v>40</v>
      </c>
      <c r="N63" s="48" t="s">
        <v>108</v>
      </c>
      <c r="O63" s="39" t="s">
        <v>7</v>
      </c>
    </row>
    <row r="64" spans="1:15" ht="15.75">
      <c r="A64" s="46" t="s">
        <v>10</v>
      </c>
      <c r="B64" s="415">
        <f t="shared" ref="B64:M64" si="20">SUM(B4:B7)</f>
        <v>133349.89000000001</v>
      </c>
      <c r="C64" s="54">
        <f t="shared" si="20"/>
        <v>119914.87</v>
      </c>
      <c r="D64" s="54">
        <f t="shared" si="20"/>
        <v>120588.97</v>
      </c>
      <c r="E64" s="54">
        <f t="shared" si="20"/>
        <v>641275.40999999992</v>
      </c>
      <c r="F64" s="54">
        <f t="shared" si="20"/>
        <v>157171.47</v>
      </c>
      <c r="G64" s="54">
        <f t="shared" si="20"/>
        <v>60451.67</v>
      </c>
      <c r="H64" s="54">
        <f t="shared" si="20"/>
        <v>61549.39</v>
      </c>
      <c r="I64" s="54">
        <f t="shared" si="20"/>
        <v>254416.8</v>
      </c>
      <c r="J64" s="54">
        <f t="shared" si="20"/>
        <v>96659.32</v>
      </c>
      <c r="K64" s="54">
        <f t="shared" si="20"/>
        <v>486823.38</v>
      </c>
      <c r="L64" s="54">
        <f t="shared" si="20"/>
        <v>154775.23000000001</v>
      </c>
      <c r="M64" s="54">
        <f t="shared" si="20"/>
        <v>1523610.11</v>
      </c>
      <c r="N64" s="54">
        <f>SUM(B64:M64)</f>
        <v>3810586.51</v>
      </c>
      <c r="O64" s="51"/>
    </row>
    <row r="65" spans="1:15" ht="15.75">
      <c r="A65" s="61"/>
      <c r="B65" s="41"/>
      <c r="C65" s="41"/>
      <c r="D65" s="41"/>
      <c r="E65" s="41"/>
      <c r="F65" s="45"/>
      <c r="G65" s="45"/>
      <c r="H65" s="45"/>
      <c r="I65" s="45"/>
      <c r="J65" s="45"/>
      <c r="K65" s="45"/>
      <c r="L65" s="45"/>
      <c r="M65" s="45"/>
      <c r="N65" s="50"/>
      <c r="O65" s="58"/>
    </row>
    <row r="66" spans="1:15" ht="15.75">
      <c r="A66" s="46" t="s">
        <v>97</v>
      </c>
      <c r="B66" s="416">
        <f t="shared" ref="B66:J66" si="21">SUM(B14:B16, B26:B28)</f>
        <v>3949887.24</v>
      </c>
      <c r="C66" s="42">
        <f t="shared" si="21"/>
        <v>4925781.7300000014</v>
      </c>
      <c r="D66" s="42">
        <f t="shared" si="21"/>
        <v>3382739.3800000008</v>
      </c>
      <c r="E66" s="42">
        <f t="shared" si="21"/>
        <v>3756123.4899999998</v>
      </c>
      <c r="F66" s="42">
        <f t="shared" si="21"/>
        <v>3932241.8000000003</v>
      </c>
      <c r="G66" s="42">
        <f t="shared" si="21"/>
        <v>4254845.16</v>
      </c>
      <c r="H66" s="42">
        <f t="shared" si="21"/>
        <v>4724197.38</v>
      </c>
      <c r="I66" s="42">
        <f t="shared" si="21"/>
        <v>3749139.3899999997</v>
      </c>
      <c r="J66" s="42">
        <f t="shared" si="21"/>
        <v>3910358.66</v>
      </c>
      <c r="K66" s="42">
        <f>SUM(K14:K16, K26:K28 )</f>
        <v>3675822.2399999998</v>
      </c>
      <c r="L66" s="42">
        <f>SUM(L14:L16, L26:L28)</f>
        <v>4211554.96</v>
      </c>
      <c r="M66" s="42">
        <f>SUM(M14:M16, M26:M28)</f>
        <v>6256263.7699999996</v>
      </c>
      <c r="N66" s="42">
        <f t="shared" ref="N66" si="22">SUM(B66:M66)</f>
        <v>50728955.200000003</v>
      </c>
      <c r="O66" s="57"/>
    </row>
    <row r="68" spans="1:15" ht="15.75">
      <c r="A68" s="46" t="s">
        <v>103</v>
      </c>
      <c r="B68" s="42">
        <f t="shared" ref="B68:N68" si="23">B64+B66</f>
        <v>4083237.1300000004</v>
      </c>
      <c r="C68" s="42">
        <f t="shared" si="23"/>
        <v>5045696.6000000015</v>
      </c>
      <c r="D68" s="42">
        <f t="shared" si="23"/>
        <v>3503328.350000001</v>
      </c>
      <c r="E68" s="42">
        <f t="shared" si="23"/>
        <v>4397398.8999999994</v>
      </c>
      <c r="F68" s="42">
        <f t="shared" si="23"/>
        <v>4089413.2700000005</v>
      </c>
      <c r="G68" s="42">
        <f t="shared" si="23"/>
        <v>4315296.83</v>
      </c>
      <c r="H68" s="42">
        <f t="shared" si="23"/>
        <v>4785746.7699999996</v>
      </c>
      <c r="I68" s="42">
        <f t="shared" si="23"/>
        <v>4003556.1899999995</v>
      </c>
      <c r="J68" s="42">
        <f t="shared" si="23"/>
        <v>4007017.98</v>
      </c>
      <c r="K68" s="42">
        <f t="shared" si="23"/>
        <v>4162645.6199999996</v>
      </c>
      <c r="L68" s="42">
        <f t="shared" si="23"/>
        <v>4366330.1900000004</v>
      </c>
      <c r="M68" s="42">
        <f t="shared" si="23"/>
        <v>7779873.8799999999</v>
      </c>
      <c r="N68" s="42">
        <f t="shared" si="23"/>
        <v>54539541.710000001</v>
      </c>
      <c r="O68" s="57"/>
    </row>
    <row r="69" spans="1:15" ht="15.75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8"/>
    </row>
    <row r="70" spans="1:15" ht="15.75">
      <c r="A70" s="46" t="s">
        <v>105</v>
      </c>
      <c r="B70" s="42">
        <f t="shared" ref="B70:M70" si="24">B34</f>
        <v>788976.12</v>
      </c>
      <c r="C70" s="42">
        <f t="shared" si="24"/>
        <v>984114.91</v>
      </c>
      <c r="D70" s="42">
        <f t="shared" si="24"/>
        <v>675324.41</v>
      </c>
      <c r="E70" s="42">
        <f t="shared" si="24"/>
        <v>750166.57</v>
      </c>
      <c r="F70" s="42">
        <f t="shared" si="24"/>
        <v>785334.68</v>
      </c>
      <c r="G70" s="42">
        <f t="shared" si="24"/>
        <v>849569.66</v>
      </c>
      <c r="H70" s="42">
        <f t="shared" si="24"/>
        <v>654434.51</v>
      </c>
      <c r="I70" s="42">
        <f t="shared" si="24"/>
        <v>748153.93</v>
      </c>
      <c r="J70" s="42">
        <f t="shared" si="24"/>
        <v>654035.86</v>
      </c>
      <c r="K70" s="42">
        <f t="shared" si="24"/>
        <v>733923.82</v>
      </c>
      <c r="L70" s="42">
        <f t="shared" si="24"/>
        <v>840012.75</v>
      </c>
      <c r="M70" s="42">
        <f t="shared" si="24"/>
        <v>941715.58</v>
      </c>
      <c r="N70" s="42">
        <f>SUM(B70:M70)</f>
        <v>9405762.7999999989</v>
      </c>
      <c r="O70" s="57"/>
    </row>
    <row r="71" spans="1:15" ht="15.75">
      <c r="A71" s="49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</row>
    <row r="72" spans="1:15" ht="63">
      <c r="A72" s="60" t="s">
        <v>107</v>
      </c>
      <c r="B72" s="417">
        <f t="shared" ref="B72:M72" si="25">((B14+B16+B26+B27+B28)*5%)+((B64+B15)*25%)</f>
        <v>230831.83450000003</v>
      </c>
      <c r="C72" s="42">
        <f t="shared" si="25"/>
        <v>276267.80400000012</v>
      </c>
      <c r="D72" s="42">
        <f t="shared" si="25"/>
        <v>199284.21150000003</v>
      </c>
      <c r="E72" s="42">
        <f t="shared" si="25"/>
        <v>348125.027</v>
      </c>
      <c r="F72" s="42">
        <f t="shared" si="25"/>
        <v>235904.95750000002</v>
      </c>
      <c r="G72" s="42">
        <f t="shared" si="25"/>
        <v>227855.17550000004</v>
      </c>
      <c r="H72" s="42">
        <f t="shared" si="25"/>
        <v>540765.24650000001</v>
      </c>
      <c r="I72" s="42">
        <f t="shared" si="25"/>
        <v>251061.16950000002</v>
      </c>
      <c r="J72" s="42">
        <f t="shared" si="25"/>
        <v>345891.533</v>
      </c>
      <c r="K72" s="42">
        <f t="shared" si="25"/>
        <v>305496.95699999999</v>
      </c>
      <c r="L72" s="42">
        <f t="shared" si="25"/>
        <v>249271.55550000002</v>
      </c>
      <c r="M72" s="42">
        <f t="shared" si="25"/>
        <v>1001635.4380000001</v>
      </c>
      <c r="N72" s="42">
        <f>SUM(B72:M72)</f>
        <v>4212390.9095000001</v>
      </c>
      <c r="O72" s="151"/>
    </row>
    <row r="73" spans="1:15" ht="15.75">
      <c r="A73" s="52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</row>
    <row r="74" spans="1:15" ht="15.75">
      <c r="A74" s="60" t="s">
        <v>110</v>
      </c>
      <c r="B74" s="111">
        <f t="shared" ref="B74:K74" si="26">B75+B78+B81</f>
        <v>3201631.9000000004</v>
      </c>
      <c r="C74" s="111">
        <f t="shared" si="26"/>
        <v>2030096.62</v>
      </c>
      <c r="D74" s="111">
        <f t="shared" si="26"/>
        <v>1723004.8899999997</v>
      </c>
      <c r="E74" s="111">
        <f t="shared" si="26"/>
        <v>1923212.49</v>
      </c>
      <c r="F74" s="111">
        <f t="shared" si="26"/>
        <v>2058528.69</v>
      </c>
      <c r="G74" s="111">
        <f t="shared" si="26"/>
        <v>2094313</v>
      </c>
      <c r="H74" s="111">
        <f t="shared" si="26"/>
        <v>1999892.3</v>
      </c>
      <c r="I74" s="111">
        <f>I75+I78+I81</f>
        <v>2034232.3899999997</v>
      </c>
      <c r="J74" s="111">
        <f t="shared" si="26"/>
        <v>2046951.56</v>
      </c>
      <c r="K74" s="111">
        <f t="shared" si="26"/>
        <v>2234869.4</v>
      </c>
      <c r="L74" s="111">
        <f>L75+L78+L81</f>
        <v>2276248.87</v>
      </c>
      <c r="M74" s="111">
        <f>M75+M78+M81</f>
        <v>2444833.3600000003</v>
      </c>
      <c r="N74" s="175">
        <f>SUM(B74:M74)</f>
        <v>26067815.469999999</v>
      </c>
      <c r="O74" s="163">
        <f>N74*70%</f>
        <v>18247470.828999996</v>
      </c>
    </row>
    <row r="75" spans="1:15" ht="31.5">
      <c r="A75" s="60" t="s">
        <v>111</v>
      </c>
      <c r="B75" s="111">
        <f t="shared" ref="B75:L75" si="27">B76+B77</f>
        <v>1310076.1700000002</v>
      </c>
      <c r="C75" s="111">
        <f t="shared" si="27"/>
        <v>1469831.68</v>
      </c>
      <c r="D75" s="111">
        <f t="shared" si="27"/>
        <v>1112222.1399999999</v>
      </c>
      <c r="E75" s="111">
        <f t="shared" si="27"/>
        <v>1178434.75</v>
      </c>
      <c r="F75" s="111">
        <f t="shared" si="27"/>
        <v>1341473.24</v>
      </c>
      <c r="G75" s="111">
        <f t="shared" si="27"/>
        <v>1326387</v>
      </c>
      <c r="H75" s="111">
        <f t="shared" si="27"/>
        <v>1231966.3</v>
      </c>
      <c r="I75" s="111">
        <f t="shared" si="27"/>
        <v>1216067.1599999999</v>
      </c>
      <c r="J75" s="111">
        <f t="shared" si="27"/>
        <v>1137718.98</v>
      </c>
      <c r="K75" s="111">
        <f t="shared" si="27"/>
        <v>1325636.82</v>
      </c>
      <c r="L75" s="111">
        <f t="shared" si="27"/>
        <v>1367016.29</v>
      </c>
      <c r="M75" s="111">
        <f>M76+M77</f>
        <v>1536870.01</v>
      </c>
      <c r="N75" s="175">
        <f>SUM(B75:M75)</f>
        <v>15553700.540000001</v>
      </c>
      <c r="O75" s="163" t="e">
        <f>O74-N91-#REF!</f>
        <v>#REF!</v>
      </c>
    </row>
    <row r="76" spans="1:15" ht="15.75">
      <c r="A76" s="63" t="s">
        <v>112</v>
      </c>
      <c r="B76" s="161">
        <f t="shared" ref="B76:M76" si="28">B46</f>
        <v>1307380.0900000001</v>
      </c>
      <c r="C76" s="161">
        <f t="shared" si="28"/>
        <v>1457185.27</v>
      </c>
      <c r="D76" s="161">
        <f t="shared" si="28"/>
        <v>1099226.1599999999</v>
      </c>
      <c r="E76" s="161">
        <f t="shared" si="28"/>
        <v>1165386.01</v>
      </c>
      <c r="F76" s="161">
        <f t="shared" si="28"/>
        <v>1329855.23</v>
      </c>
      <c r="G76" s="161">
        <f t="shared" si="28"/>
        <v>1318306.02</v>
      </c>
      <c r="H76" s="161">
        <f t="shared" si="28"/>
        <v>1224787.69</v>
      </c>
      <c r="I76" s="161">
        <f t="shared" si="28"/>
        <v>1209253.03</v>
      </c>
      <c r="J76" s="161">
        <f t="shared" si="28"/>
        <v>1131763.6499999999</v>
      </c>
      <c r="K76" s="161">
        <f t="shared" si="28"/>
        <v>1325636.82</v>
      </c>
      <c r="L76" s="161">
        <f t="shared" si="28"/>
        <v>1367016.29</v>
      </c>
      <c r="M76" s="161">
        <f t="shared" si="28"/>
        <v>1536870.01</v>
      </c>
      <c r="N76" s="175">
        <f>SUM(B76:M76)</f>
        <v>15472666.269999998</v>
      </c>
      <c r="O76" s="163"/>
    </row>
    <row r="77" spans="1:15" ht="15.75">
      <c r="A77" s="63" t="s">
        <v>113</v>
      </c>
      <c r="B77" s="161">
        <f t="shared" ref="B77:M77" si="29">B47</f>
        <v>2696.0800000000004</v>
      </c>
      <c r="C77" s="161">
        <f t="shared" si="29"/>
        <v>12646.41</v>
      </c>
      <c r="D77" s="161">
        <f t="shared" si="29"/>
        <v>12995.98</v>
      </c>
      <c r="E77" s="161">
        <f t="shared" si="29"/>
        <v>13048.74</v>
      </c>
      <c r="F77" s="161">
        <f t="shared" si="29"/>
        <v>11618.01</v>
      </c>
      <c r="G77" s="161">
        <f t="shared" si="29"/>
        <v>8080.9800000000005</v>
      </c>
      <c r="H77" s="161">
        <f t="shared" si="29"/>
        <v>7178.61</v>
      </c>
      <c r="I77" s="161">
        <f t="shared" si="29"/>
        <v>6814.13</v>
      </c>
      <c r="J77" s="161">
        <f t="shared" si="29"/>
        <v>5955.33</v>
      </c>
      <c r="K77" s="161">
        <f t="shared" si="29"/>
        <v>0</v>
      </c>
      <c r="L77" s="161">
        <f t="shared" si="29"/>
        <v>0</v>
      </c>
      <c r="M77" s="161">
        <f t="shared" si="29"/>
        <v>0</v>
      </c>
      <c r="N77" s="175">
        <f>SUM(B77:M77)</f>
        <v>81034.27</v>
      </c>
      <c r="O77" s="163"/>
    </row>
    <row r="78" spans="1:15" ht="31.5">
      <c r="A78" s="60" t="s">
        <v>114</v>
      </c>
      <c r="B78" s="111">
        <f t="shared" ref="B78:F78" si="30">B79+B80</f>
        <v>1146198.3500000001</v>
      </c>
      <c r="C78" s="111">
        <f t="shared" si="30"/>
        <v>255364.6</v>
      </c>
      <c r="D78" s="111">
        <f t="shared" si="30"/>
        <v>278461.89</v>
      </c>
      <c r="E78" s="111">
        <f t="shared" si="30"/>
        <v>319128.68</v>
      </c>
      <c r="F78" s="111">
        <f t="shared" si="30"/>
        <v>325632.01</v>
      </c>
      <c r="G78" s="175">
        <f t="shared" ref="G78:M78" si="31">G79+G80</f>
        <v>348733.54</v>
      </c>
      <c r="H78" s="175">
        <f t="shared" si="31"/>
        <v>348733.54</v>
      </c>
      <c r="I78" s="175">
        <f t="shared" si="31"/>
        <v>369624.6</v>
      </c>
      <c r="J78" s="175">
        <f t="shared" si="31"/>
        <v>421519.44</v>
      </c>
      <c r="K78" s="175">
        <f t="shared" si="31"/>
        <v>421519.44</v>
      </c>
      <c r="L78" s="175">
        <f t="shared" si="31"/>
        <v>421519.44</v>
      </c>
      <c r="M78" s="175">
        <f t="shared" si="31"/>
        <v>421406.11</v>
      </c>
      <c r="N78" s="175">
        <f t="shared" ref="N78:N83" si="32">SUM(B78:M78)</f>
        <v>5077841.6400000015</v>
      </c>
      <c r="O78" s="163"/>
    </row>
    <row r="79" spans="1:15" ht="15.75">
      <c r="A79" s="63" t="s">
        <v>115</v>
      </c>
      <c r="B79" s="161">
        <f t="shared" ref="B79:M79" si="33">B49</f>
        <v>1146198.3500000001</v>
      </c>
      <c r="C79" s="161">
        <f t="shared" si="33"/>
        <v>255364.6</v>
      </c>
      <c r="D79" s="161">
        <f t="shared" si="33"/>
        <v>278461.89</v>
      </c>
      <c r="E79" s="161">
        <f t="shared" si="33"/>
        <v>319128.68</v>
      </c>
      <c r="F79" s="161">
        <f t="shared" si="33"/>
        <v>325632.01</v>
      </c>
      <c r="G79" s="161">
        <f t="shared" si="33"/>
        <v>348733.54</v>
      </c>
      <c r="H79" s="161">
        <f t="shared" si="33"/>
        <v>348733.54</v>
      </c>
      <c r="I79" s="161">
        <f t="shared" si="33"/>
        <v>369624.6</v>
      </c>
      <c r="J79" s="161">
        <f t="shared" si="33"/>
        <v>421519.44</v>
      </c>
      <c r="K79" s="161">
        <f t="shared" si="33"/>
        <v>421519.44</v>
      </c>
      <c r="L79" s="161">
        <f t="shared" si="33"/>
        <v>421519.44</v>
      </c>
      <c r="M79" s="161">
        <f t="shared" si="33"/>
        <v>421406.11</v>
      </c>
      <c r="N79" s="175">
        <f t="shared" si="32"/>
        <v>5077841.6400000015</v>
      </c>
      <c r="O79" s="168"/>
    </row>
    <row r="80" spans="1:15" ht="15.75">
      <c r="A80" s="63" t="s">
        <v>116</v>
      </c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75">
        <f t="shared" si="32"/>
        <v>0</v>
      </c>
      <c r="O80" s="168"/>
    </row>
    <row r="81" spans="1:15" ht="31.5">
      <c r="A81" s="60" t="s">
        <v>117</v>
      </c>
      <c r="B81" s="111">
        <f t="shared" ref="B81:M81" si="34">B82+B83</f>
        <v>745357.38</v>
      </c>
      <c r="C81" s="111">
        <f t="shared" si="34"/>
        <v>304900.34000000003</v>
      </c>
      <c r="D81" s="111">
        <f t="shared" si="34"/>
        <v>332320.86</v>
      </c>
      <c r="E81" s="111">
        <f t="shared" si="34"/>
        <v>425649.06</v>
      </c>
      <c r="F81" s="111">
        <f t="shared" si="34"/>
        <v>391423.44</v>
      </c>
      <c r="G81" s="111">
        <f t="shared" si="34"/>
        <v>419192.46</v>
      </c>
      <c r="H81" s="111">
        <f t="shared" si="34"/>
        <v>419192.46</v>
      </c>
      <c r="I81" s="111">
        <f t="shared" si="34"/>
        <v>448540.63</v>
      </c>
      <c r="J81" s="111">
        <f t="shared" si="34"/>
        <v>487713.14</v>
      </c>
      <c r="K81" s="111">
        <f t="shared" si="34"/>
        <v>487713.14</v>
      </c>
      <c r="L81" s="111">
        <f t="shared" si="34"/>
        <v>487713.14</v>
      </c>
      <c r="M81" s="111">
        <f t="shared" si="34"/>
        <v>486557.24</v>
      </c>
      <c r="N81" s="175">
        <f>SUM(B81:M81)</f>
        <v>5436273.29</v>
      </c>
      <c r="O81" s="163"/>
    </row>
    <row r="82" spans="1:15" ht="15.75">
      <c r="A82" s="63" t="s">
        <v>118</v>
      </c>
      <c r="B82" s="161">
        <f>RECEITAS!B99</f>
        <v>0</v>
      </c>
      <c r="C82" s="161">
        <f>RECEITAS!C99</f>
        <v>0</v>
      </c>
      <c r="D82" s="161">
        <f>RECEITAS!D99</f>
        <v>0</v>
      </c>
      <c r="E82" s="161">
        <f>RECEITAS!E99</f>
        <v>0</v>
      </c>
      <c r="F82" s="161">
        <f>RECEITAS!F99</f>
        <v>0</v>
      </c>
      <c r="G82" s="161">
        <f>RECEITAS!G99</f>
        <v>0</v>
      </c>
      <c r="H82" s="161">
        <f>RECEITAS!H99</f>
        <v>0</v>
      </c>
      <c r="I82" s="161">
        <f>RECEITAS!I99</f>
        <v>0</v>
      </c>
      <c r="J82" s="161">
        <f>RECEITAS!J99</f>
        <v>0</v>
      </c>
      <c r="K82" s="161">
        <f>RECEITAS!K99</f>
        <v>0</v>
      </c>
      <c r="L82" s="161">
        <f>RECEITAS!L99</f>
        <v>0</v>
      </c>
      <c r="M82" s="161">
        <f>RECEITAS!M99</f>
        <v>0</v>
      </c>
      <c r="N82" s="175">
        <f t="shared" si="32"/>
        <v>0</v>
      </c>
      <c r="O82" s="163">
        <f>N82*15%</f>
        <v>0</v>
      </c>
    </row>
    <row r="83" spans="1:15" ht="15.75">
      <c r="A83" s="63" t="s">
        <v>119</v>
      </c>
      <c r="B83" s="161">
        <f t="shared" ref="B83:M83" si="35">B52</f>
        <v>745357.38</v>
      </c>
      <c r="C83" s="161">
        <f t="shared" si="35"/>
        <v>304900.34000000003</v>
      </c>
      <c r="D83" s="161">
        <f t="shared" si="35"/>
        <v>332320.86</v>
      </c>
      <c r="E83" s="161">
        <f t="shared" si="35"/>
        <v>425649.06</v>
      </c>
      <c r="F83" s="161">
        <f t="shared" si="35"/>
        <v>391423.44</v>
      </c>
      <c r="G83" s="161">
        <f t="shared" si="35"/>
        <v>419192.46</v>
      </c>
      <c r="H83" s="161">
        <f t="shared" si="35"/>
        <v>419192.46</v>
      </c>
      <c r="I83" s="161">
        <f t="shared" si="35"/>
        <v>448540.63</v>
      </c>
      <c r="J83" s="161">
        <f t="shared" si="35"/>
        <v>487713.14</v>
      </c>
      <c r="K83" s="161">
        <f t="shared" si="35"/>
        <v>487713.14</v>
      </c>
      <c r="L83" s="161">
        <f t="shared" si="35"/>
        <v>487713.14</v>
      </c>
      <c r="M83" s="161">
        <f t="shared" si="35"/>
        <v>486557.24</v>
      </c>
      <c r="N83" s="175">
        <f t="shared" si="32"/>
        <v>5436273.29</v>
      </c>
      <c r="O83" s="163" t="e">
        <f>O82-#REF!</f>
        <v>#REF!</v>
      </c>
    </row>
    <row r="84" spans="1:15" ht="15.75">
      <c r="A84" s="60"/>
      <c r="B84" s="161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254"/>
      <c r="O84" s="163"/>
    </row>
    <row r="85" spans="1:15" ht="31.5">
      <c r="A85" s="60" t="s">
        <v>120</v>
      </c>
      <c r="B85" s="111">
        <f>B76-B70</f>
        <v>518403.97000000009</v>
      </c>
      <c r="C85" s="111">
        <f>C76-C70</f>
        <v>473070.36</v>
      </c>
      <c r="D85" s="111">
        <f>D76-D70</f>
        <v>423901.74999999988</v>
      </c>
      <c r="E85" s="111">
        <f t="shared" ref="E85:M85" si="36">E76-E70</f>
        <v>415219.44000000006</v>
      </c>
      <c r="F85" s="111">
        <f t="shared" si="36"/>
        <v>544520.54999999993</v>
      </c>
      <c r="G85" s="111">
        <f t="shared" si="36"/>
        <v>468736.36</v>
      </c>
      <c r="H85" s="111">
        <f t="shared" si="36"/>
        <v>570353.17999999993</v>
      </c>
      <c r="I85" s="111">
        <f t="shared" si="36"/>
        <v>461099.1</v>
      </c>
      <c r="J85" s="111">
        <f t="shared" si="36"/>
        <v>477727.78999999992</v>
      </c>
      <c r="K85" s="111">
        <f t="shared" si="36"/>
        <v>591713.00000000012</v>
      </c>
      <c r="L85" s="111">
        <f t="shared" si="36"/>
        <v>527003.54</v>
      </c>
      <c r="M85" s="111">
        <f t="shared" si="36"/>
        <v>595154.43000000005</v>
      </c>
      <c r="N85" s="269">
        <f>SUM(B85:M85)</f>
        <v>6066903.4699999988</v>
      </c>
      <c r="O85" s="163"/>
    </row>
    <row r="86" spans="1:15" ht="13.5" thickBot="1"/>
    <row r="87" spans="1:15" ht="18.75" thickBot="1">
      <c r="A87" s="453" t="s">
        <v>27</v>
      </c>
      <c r="B87" s="454"/>
    </row>
    <row r="88" spans="1:15" ht="144">
      <c r="A88" s="115" t="s">
        <v>145</v>
      </c>
      <c r="B88" s="116" t="s">
        <v>147</v>
      </c>
    </row>
    <row r="89" spans="1:15" ht="15">
      <c r="A89" s="62" t="str">
        <f>A64</f>
        <v>1. RECEITA DE IMPOSTOS</v>
      </c>
      <c r="B89" s="5">
        <f>N64</f>
        <v>3810586.51</v>
      </c>
    </row>
    <row r="90" spans="1:15" ht="15">
      <c r="A90" s="62" t="str">
        <f>A66</f>
        <v>2- RECEITA DE TRANSFERÊNCIAS CONSTITUCIONAIS E LEGAIS</v>
      </c>
      <c r="B90" s="123">
        <f>N66</f>
        <v>50728955.200000003</v>
      </c>
    </row>
    <row r="91" spans="1:15" ht="15">
      <c r="A91" s="62" t="str">
        <f>A68</f>
        <v>3- TOTAL DA RECEITA DE IMPOSTOS (1 + 2)</v>
      </c>
      <c r="B91" s="123">
        <f>N68</f>
        <v>54539541.710000001</v>
      </c>
    </row>
    <row r="92" spans="1:15" ht="15">
      <c r="A92" s="121" t="s">
        <v>148</v>
      </c>
      <c r="B92" s="126">
        <f>B91/4</f>
        <v>13634885.4275</v>
      </c>
    </row>
    <row r="93" spans="1:15" ht="15">
      <c r="A93" s="62" t="str">
        <f>A70</f>
        <v>4- TOTAL DESTINADO AO FUNDEB - 20% DE ((2.1) + (2.2) + (2.3) + (2.4) + (2.5))</v>
      </c>
      <c r="B93" s="123">
        <f>N70</f>
        <v>9405762.7999999989</v>
      </c>
    </row>
    <row r="94" spans="1:15" ht="15">
      <c r="A94" s="117" t="str">
        <f>A72</f>
        <v>5- VALOR MÍNIMO A SER APLICADO ALÉM DO VALOR DESTINADO AO FUNDEB - 5% DE ((2.2) + (2.3) + (2.4) + (2.5)) + 25% DE ((1.1) + (1.2) + (1.3) + (1.4) + (2.1.1) + (2.6)+ (2.7))</v>
      </c>
      <c r="B94" s="118">
        <f>B92-B93</f>
        <v>4229122.6275000013</v>
      </c>
    </row>
    <row r="95" spans="1:15" ht="15">
      <c r="A95" s="38"/>
      <c r="B95" s="38"/>
    </row>
    <row r="96" spans="1:15" ht="15">
      <c r="A96" s="62" t="str">
        <f>A74</f>
        <v>6- RECEITAS RECEBIDAS DO FUNDEB</v>
      </c>
      <c r="B96" s="124">
        <f>N74</f>
        <v>26067815.469999999</v>
      </c>
    </row>
    <row r="97" spans="1:15" ht="15">
      <c r="A97" s="117" t="str">
        <f>A75</f>
        <v>6.1- FUNDEB - Impostos e Transferências de Impostos</v>
      </c>
      <c r="B97" s="118">
        <f>N75</f>
        <v>15553700.540000001</v>
      </c>
    </row>
    <row r="98" spans="1:15" ht="15">
      <c r="A98" s="117" t="s">
        <v>157</v>
      </c>
      <c r="B98" s="118">
        <f>N78+N81</f>
        <v>10514114.930000002</v>
      </c>
    </row>
    <row r="100" spans="1:15" ht="31.5">
      <c r="A100" s="419" t="s">
        <v>142</v>
      </c>
      <c r="B100" s="420"/>
      <c r="C100" s="420"/>
      <c r="D100" s="420"/>
      <c r="E100" s="420"/>
      <c r="F100" s="420"/>
      <c r="G100" s="420"/>
      <c r="H100" s="420"/>
      <c r="I100" s="420"/>
      <c r="J100" s="421"/>
      <c r="K100" s="412"/>
      <c r="L100" s="412"/>
      <c r="M100" s="412"/>
      <c r="N100" s="412"/>
      <c r="O100" s="114" t="s">
        <v>108</v>
      </c>
    </row>
    <row r="101" spans="1:15" ht="15.75">
      <c r="A101" s="411"/>
      <c r="B101" s="159" t="s">
        <v>29</v>
      </c>
      <c r="C101" s="159" t="s">
        <v>30</v>
      </c>
      <c r="D101" s="159" t="s">
        <v>31</v>
      </c>
      <c r="E101" s="159" t="s">
        <v>32</v>
      </c>
      <c r="F101" s="159" t="s">
        <v>33</v>
      </c>
      <c r="G101" s="159" t="s">
        <v>34</v>
      </c>
      <c r="H101" s="159" t="s">
        <v>35</v>
      </c>
      <c r="I101" s="159" t="s">
        <v>36</v>
      </c>
      <c r="J101" s="159" t="s">
        <v>37</v>
      </c>
      <c r="K101" s="159" t="s">
        <v>38</v>
      </c>
      <c r="L101" s="159" t="s">
        <v>39</v>
      </c>
      <c r="M101" s="159" t="s">
        <v>40</v>
      </c>
      <c r="N101" s="114"/>
      <c r="O101" s="114"/>
    </row>
    <row r="102" spans="1:15" ht="15.75">
      <c r="A102" s="110" t="s">
        <v>153</v>
      </c>
      <c r="B102" s="112">
        <f t="shared" ref="B102:N102" si="37">B103+B116</f>
        <v>0</v>
      </c>
      <c r="C102" s="112">
        <f t="shared" si="37"/>
        <v>0</v>
      </c>
      <c r="D102" s="112">
        <f t="shared" si="37"/>
        <v>0</v>
      </c>
      <c r="E102" s="112">
        <f t="shared" si="37"/>
        <v>0</v>
      </c>
      <c r="F102" s="112">
        <f t="shared" si="37"/>
        <v>0</v>
      </c>
      <c r="G102" s="112">
        <f t="shared" si="37"/>
        <v>0</v>
      </c>
      <c r="H102" s="112">
        <f t="shared" si="37"/>
        <v>0</v>
      </c>
      <c r="I102" s="112">
        <f t="shared" si="37"/>
        <v>0</v>
      </c>
      <c r="J102" s="112">
        <f t="shared" si="37"/>
        <v>19168136.789999999</v>
      </c>
      <c r="K102" s="112">
        <f t="shared" si="37"/>
        <v>3424190.48</v>
      </c>
      <c r="L102" s="112">
        <f t="shared" si="37"/>
        <v>2615717.83</v>
      </c>
      <c r="M102" s="112">
        <f t="shared" si="37"/>
        <v>3781243.02</v>
      </c>
      <c r="N102" s="112">
        <f t="shared" si="37"/>
        <v>28989288.119999997</v>
      </c>
      <c r="O102" s="110"/>
    </row>
    <row r="103" spans="1:15" ht="15.75">
      <c r="A103" s="179" t="s">
        <v>246</v>
      </c>
      <c r="B103" s="111">
        <f>B104+B109</f>
        <v>0</v>
      </c>
      <c r="C103" s="111">
        <f t="shared" ref="C103:M103" si="38">C104+C109</f>
        <v>0</v>
      </c>
      <c r="D103" s="111">
        <f t="shared" si="38"/>
        <v>0</v>
      </c>
      <c r="E103" s="111">
        <f t="shared" si="38"/>
        <v>0</v>
      </c>
      <c r="F103" s="111">
        <f t="shared" si="38"/>
        <v>0</v>
      </c>
      <c r="G103" s="111">
        <f t="shared" si="38"/>
        <v>0</v>
      </c>
      <c r="H103" s="111">
        <f t="shared" si="38"/>
        <v>0</v>
      </c>
      <c r="I103" s="111">
        <f t="shared" si="38"/>
        <v>0</v>
      </c>
      <c r="J103" s="111">
        <f t="shared" si="38"/>
        <v>19168136.789999999</v>
      </c>
      <c r="K103" s="111">
        <f t="shared" si="38"/>
        <v>2151900.06</v>
      </c>
      <c r="L103" s="111">
        <f t="shared" si="38"/>
        <v>1464406.8399999999</v>
      </c>
      <c r="M103" s="111">
        <f t="shared" si="38"/>
        <v>1801240.3200000003</v>
      </c>
      <c r="N103" s="269">
        <f>SUM(B103:M103)</f>
        <v>24585684.009999998</v>
      </c>
      <c r="O103" s="57"/>
    </row>
    <row r="104" spans="1:15" ht="15.75">
      <c r="A104" s="180" t="s">
        <v>392</v>
      </c>
      <c r="B104" s="181">
        <f>SUM(B105:B108)</f>
        <v>0</v>
      </c>
      <c r="C104" s="181">
        <f t="shared" ref="C104:M104" si="39">SUM(C105:C108)</f>
        <v>0</v>
      </c>
      <c r="D104" s="181">
        <f t="shared" si="39"/>
        <v>0</v>
      </c>
      <c r="E104" s="181">
        <f t="shared" si="39"/>
        <v>0</v>
      </c>
      <c r="F104" s="181">
        <f t="shared" si="39"/>
        <v>0</v>
      </c>
      <c r="G104" s="181">
        <f t="shared" si="39"/>
        <v>0</v>
      </c>
      <c r="H104" s="181">
        <f t="shared" si="39"/>
        <v>0</v>
      </c>
      <c r="I104" s="181">
        <f t="shared" si="39"/>
        <v>0</v>
      </c>
      <c r="J104" s="181">
        <f t="shared" si="39"/>
        <v>15797302.27</v>
      </c>
      <c r="K104" s="181">
        <f t="shared" si="39"/>
        <v>1750039.47</v>
      </c>
      <c r="L104" s="181">
        <f t="shared" si="39"/>
        <v>1046157.0199999999</v>
      </c>
      <c r="M104" s="181">
        <f t="shared" si="39"/>
        <v>984214.89000000013</v>
      </c>
      <c r="N104" s="270">
        <f>SUM(B104:M104)</f>
        <v>19577713.649999999</v>
      </c>
      <c r="O104" s="184">
        <f>N104/N74</f>
        <v>0.75103008430188178</v>
      </c>
    </row>
    <row r="105" spans="1:15" ht="15.75">
      <c r="A105" s="63" t="s">
        <v>237</v>
      </c>
      <c r="B105" s="156"/>
      <c r="C105" s="156"/>
      <c r="D105" s="161"/>
      <c r="E105" s="156"/>
      <c r="F105" s="156"/>
      <c r="G105" s="156"/>
      <c r="H105" s="156"/>
      <c r="I105" s="156"/>
      <c r="J105" s="156">
        <v>9751920.3000000007</v>
      </c>
      <c r="K105" s="211">
        <v>1313021.33</v>
      </c>
      <c r="L105" s="156">
        <f>122678.35+869433.25</f>
        <v>992111.6</v>
      </c>
      <c r="M105" s="271">
        <v>729597.15</v>
      </c>
      <c r="N105" s="270">
        <f t="shared" ref="N105:N114" si="40">SUM(B105:M105)</f>
        <v>12786650.380000001</v>
      </c>
      <c r="O105" s="43"/>
    </row>
    <row r="106" spans="1:15" ht="15.75">
      <c r="A106" s="63" t="s">
        <v>238</v>
      </c>
      <c r="B106" s="156"/>
      <c r="C106" s="156"/>
      <c r="D106" s="161"/>
      <c r="E106" s="156"/>
      <c r="F106" s="156"/>
      <c r="G106" s="156"/>
      <c r="H106" s="156"/>
      <c r="I106" s="156"/>
      <c r="J106" s="156">
        <v>2706846.63</v>
      </c>
      <c r="K106" s="211">
        <v>15884.15</v>
      </c>
      <c r="L106" s="156">
        <v>14552.34</v>
      </c>
      <c r="M106" s="271">
        <v>14105.43</v>
      </c>
      <c r="N106" s="270">
        <f t="shared" si="40"/>
        <v>2751388.55</v>
      </c>
      <c r="O106" s="43"/>
    </row>
    <row r="107" spans="1:15" ht="15.75">
      <c r="A107" s="63" t="s">
        <v>239</v>
      </c>
      <c r="B107" s="156"/>
      <c r="C107" s="156"/>
      <c r="D107" s="161"/>
      <c r="E107" s="156">
        <v>0</v>
      </c>
      <c r="F107" s="156"/>
      <c r="G107" s="156"/>
      <c r="H107" s="156"/>
      <c r="I107" s="156"/>
      <c r="J107" s="156">
        <v>0</v>
      </c>
      <c r="K107" s="156"/>
      <c r="L107" s="156"/>
      <c r="M107" s="271"/>
      <c r="N107" s="270">
        <f t="shared" si="40"/>
        <v>0</v>
      </c>
      <c r="O107" s="43"/>
    </row>
    <row r="108" spans="1:15" ht="15.75">
      <c r="A108" s="63" t="s">
        <v>247</v>
      </c>
      <c r="B108" s="156"/>
      <c r="C108" s="156"/>
      <c r="D108" s="161"/>
      <c r="E108" s="156"/>
      <c r="F108" s="156"/>
      <c r="G108" s="156"/>
      <c r="H108" s="156"/>
      <c r="I108" s="156"/>
      <c r="J108" s="156">
        <v>3338535.34</v>
      </c>
      <c r="K108" s="211">
        <v>421133.99</v>
      </c>
      <c r="L108" s="156">
        <f>39493.08</f>
        <v>39493.08</v>
      </c>
      <c r="M108" s="271">
        <v>240512.31</v>
      </c>
      <c r="N108" s="270">
        <f t="shared" si="40"/>
        <v>4039674.72</v>
      </c>
      <c r="O108" s="43"/>
    </row>
    <row r="109" spans="1:15" ht="15.75">
      <c r="A109" s="180" t="s">
        <v>393</v>
      </c>
      <c r="B109" s="181">
        <f>SUM(B110:B114)</f>
        <v>0</v>
      </c>
      <c r="C109" s="181">
        <f t="shared" ref="C109:M109" si="41">SUM(C110:C114)</f>
        <v>0</v>
      </c>
      <c r="D109" s="181">
        <f t="shared" si="41"/>
        <v>0</v>
      </c>
      <c r="E109" s="181">
        <f t="shared" si="41"/>
        <v>0</v>
      </c>
      <c r="F109" s="181">
        <f t="shared" si="41"/>
        <v>0</v>
      </c>
      <c r="G109" s="181">
        <f t="shared" si="41"/>
        <v>0</v>
      </c>
      <c r="H109" s="181">
        <f t="shared" si="41"/>
        <v>0</v>
      </c>
      <c r="I109" s="181">
        <f t="shared" si="41"/>
        <v>0</v>
      </c>
      <c r="J109" s="181">
        <f t="shared" si="41"/>
        <v>3370834.5200000005</v>
      </c>
      <c r="K109" s="181">
        <f t="shared" si="41"/>
        <v>401860.59</v>
      </c>
      <c r="L109" s="181">
        <f t="shared" si="41"/>
        <v>418249.81999999995</v>
      </c>
      <c r="M109" s="181">
        <f t="shared" si="41"/>
        <v>817025.43</v>
      </c>
      <c r="N109" s="270">
        <f t="shared" si="40"/>
        <v>5007970.3600000003</v>
      </c>
      <c r="O109" s="182">
        <f>N109/N74</f>
        <v>0.1921131583029424</v>
      </c>
    </row>
    <row r="110" spans="1:15" ht="15.75">
      <c r="A110" s="63" t="s">
        <v>240</v>
      </c>
      <c r="B110" s="156"/>
      <c r="C110" s="156"/>
      <c r="D110" s="161"/>
      <c r="E110" s="156"/>
      <c r="F110" s="156"/>
      <c r="G110" s="156"/>
      <c r="H110" s="156"/>
      <c r="I110" s="211"/>
      <c r="J110" s="211">
        <v>1547899.21</v>
      </c>
      <c r="K110" s="211">
        <v>43213.89</v>
      </c>
      <c r="L110" s="156">
        <v>41418.44</v>
      </c>
      <c r="M110" s="271">
        <v>41620.1</v>
      </c>
      <c r="N110" s="270">
        <f t="shared" si="40"/>
        <v>1674151.64</v>
      </c>
      <c r="O110" s="43"/>
    </row>
    <row r="111" spans="1:15" ht="15.75">
      <c r="A111" s="63" t="s">
        <v>241</v>
      </c>
      <c r="B111" s="156"/>
      <c r="C111" s="156"/>
      <c r="D111" s="161"/>
      <c r="E111" s="156"/>
      <c r="F111" s="156"/>
      <c r="G111" s="156"/>
      <c r="H111" s="156"/>
      <c r="I111" s="211"/>
      <c r="J111" s="211">
        <v>1190770.45</v>
      </c>
      <c r="K111" s="211">
        <f>175847.91+165472.34</f>
        <v>341320.25</v>
      </c>
      <c r="L111" s="156">
        <v>166974.60999999999</v>
      </c>
      <c r="M111" s="271">
        <v>164049.75</v>
      </c>
      <c r="N111" s="270">
        <f t="shared" si="40"/>
        <v>1863115.06</v>
      </c>
      <c r="O111" s="43"/>
    </row>
    <row r="112" spans="1:15" ht="15.75">
      <c r="A112" s="63" t="s">
        <v>244</v>
      </c>
      <c r="B112" s="156">
        <v>0</v>
      </c>
      <c r="C112" s="156">
        <v>0</v>
      </c>
      <c r="D112" s="161">
        <v>0</v>
      </c>
      <c r="E112" s="156">
        <v>0</v>
      </c>
      <c r="F112" s="156">
        <v>0</v>
      </c>
      <c r="G112" s="156">
        <v>0</v>
      </c>
      <c r="H112" s="156">
        <v>0</v>
      </c>
      <c r="I112" s="156">
        <v>0</v>
      </c>
      <c r="J112" s="156">
        <f>502768.84+35992.69</f>
        <v>538761.53</v>
      </c>
      <c r="K112" s="156">
        <v>17326.45</v>
      </c>
      <c r="L112" s="156"/>
      <c r="M112" s="271"/>
      <c r="N112" s="270">
        <f t="shared" si="40"/>
        <v>556087.98</v>
      </c>
      <c r="O112" s="43"/>
    </row>
    <row r="113" spans="1:15" ht="15.75">
      <c r="A113" s="63" t="s">
        <v>243</v>
      </c>
      <c r="B113" s="156">
        <v>0</v>
      </c>
      <c r="C113" s="156">
        <v>0</v>
      </c>
      <c r="D113" s="161">
        <v>0</v>
      </c>
      <c r="E113" s="156"/>
      <c r="F113" s="156">
        <v>0</v>
      </c>
      <c r="G113" s="156">
        <v>0</v>
      </c>
      <c r="H113" s="156">
        <v>0</v>
      </c>
      <c r="I113" s="156">
        <v>0</v>
      </c>
      <c r="J113" s="156">
        <v>49754.84</v>
      </c>
      <c r="K113" s="156">
        <v>0</v>
      </c>
      <c r="L113" s="156"/>
      <c r="M113" s="271"/>
      <c r="N113" s="270">
        <f t="shared" si="40"/>
        <v>49754.84</v>
      </c>
      <c r="O113" s="43"/>
    </row>
    <row r="114" spans="1:15" ht="15.75">
      <c r="A114" s="63" t="s">
        <v>242</v>
      </c>
      <c r="B114" s="156">
        <v>0</v>
      </c>
      <c r="C114" s="156">
        <v>0</v>
      </c>
      <c r="D114" s="161">
        <v>0</v>
      </c>
      <c r="E114" s="156">
        <v>0</v>
      </c>
      <c r="F114" s="156">
        <v>0</v>
      </c>
      <c r="G114" s="211">
        <v>0</v>
      </c>
      <c r="H114" s="156">
        <v>0</v>
      </c>
      <c r="I114" s="156">
        <v>0</v>
      </c>
      <c r="J114" s="156">
        <f>28993.01+14655.48</f>
        <v>43648.49</v>
      </c>
      <c r="K114" s="156">
        <v>0</v>
      </c>
      <c r="L114" s="271">
        <v>209856.77</v>
      </c>
      <c r="M114" s="211">
        <f>406355.58+205000</f>
        <v>611355.58000000007</v>
      </c>
      <c r="N114" s="270">
        <f t="shared" si="40"/>
        <v>864860.84000000008</v>
      </c>
      <c r="O114" s="43">
        <f>N114/N81</f>
        <v>0.15909075829408864</v>
      </c>
    </row>
    <row r="115" spans="1:15" ht="15.75">
      <c r="A115" s="52"/>
      <c r="B115" s="272"/>
      <c r="C115" s="272"/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3"/>
      <c r="O115" s="58"/>
    </row>
    <row r="116" spans="1:15" ht="15.75">
      <c r="A116" s="183" t="s">
        <v>143</v>
      </c>
      <c r="B116" s="181">
        <f>B117</f>
        <v>0</v>
      </c>
      <c r="C116" s="181">
        <f t="shared" ref="C116:M116" si="42">C117</f>
        <v>0</v>
      </c>
      <c r="D116" s="181">
        <f t="shared" si="42"/>
        <v>0</v>
      </c>
      <c r="E116" s="181">
        <f t="shared" si="42"/>
        <v>0</v>
      </c>
      <c r="F116" s="181">
        <f t="shared" si="42"/>
        <v>0</v>
      </c>
      <c r="G116" s="181">
        <f t="shared" si="42"/>
        <v>0</v>
      </c>
      <c r="H116" s="181">
        <f t="shared" si="42"/>
        <v>0</v>
      </c>
      <c r="I116" s="181">
        <f t="shared" si="42"/>
        <v>0</v>
      </c>
      <c r="J116" s="181">
        <f t="shared" si="42"/>
        <v>0</v>
      </c>
      <c r="K116" s="181">
        <f t="shared" si="42"/>
        <v>1272290.42</v>
      </c>
      <c r="L116" s="181">
        <f t="shared" si="42"/>
        <v>1151310.99</v>
      </c>
      <c r="M116" s="181">
        <f t="shared" si="42"/>
        <v>1980002.6999999997</v>
      </c>
      <c r="N116" s="270">
        <f>SUM(B116:M116)</f>
        <v>4403604.1099999994</v>
      </c>
      <c r="O116" s="184"/>
    </row>
    <row r="117" spans="1:15" ht="15.75">
      <c r="A117" s="63" t="s">
        <v>245</v>
      </c>
      <c r="B117" s="156"/>
      <c r="C117" s="156"/>
      <c r="D117" s="161"/>
      <c r="E117" s="156"/>
      <c r="F117" s="156"/>
      <c r="G117" s="271"/>
      <c r="H117" s="271"/>
      <c r="I117" s="211"/>
      <c r="J117" s="271"/>
      <c r="K117" s="271">
        <v>1272290.42</v>
      </c>
      <c r="L117" s="271">
        <v>1151310.99</v>
      </c>
      <c r="M117" s="271">
        <f>58780+878824.07+195000+571398.63+162000+114000</f>
        <v>1980002.6999999997</v>
      </c>
      <c r="N117" s="269">
        <f>SUM(B117:M117)</f>
        <v>4403604.1099999994</v>
      </c>
      <c r="O117" s="57">
        <f>D123</f>
        <v>0.25319917397597064</v>
      </c>
    </row>
    <row r="119" spans="1:15" ht="15.75">
      <c r="A119" s="447" t="s">
        <v>248</v>
      </c>
      <c r="B119" s="447"/>
      <c r="C119" s="447"/>
      <c r="D119" s="447"/>
      <c r="H119" s="447" t="s">
        <v>248</v>
      </c>
      <c r="I119" s="447"/>
      <c r="J119" s="447"/>
      <c r="K119" s="447"/>
    </row>
    <row r="120" spans="1:15" ht="15.75">
      <c r="A120" s="448" t="s">
        <v>290</v>
      </c>
      <c r="B120" s="448"/>
      <c r="C120" s="448"/>
      <c r="D120" s="185">
        <f>N70</f>
        <v>9405762.7999999989</v>
      </c>
      <c r="H120" s="448" t="s">
        <v>290</v>
      </c>
      <c r="I120" s="448"/>
      <c r="J120" s="448"/>
      <c r="K120" s="185">
        <f>N70</f>
        <v>9405762.7999999989</v>
      </c>
    </row>
    <row r="121" spans="1:15" ht="15.75">
      <c r="A121" s="448" t="s">
        <v>291</v>
      </c>
      <c r="B121" s="448"/>
      <c r="C121" s="448"/>
      <c r="D121" s="185">
        <f>N117</f>
        <v>4403604.1099999994</v>
      </c>
      <c r="H121" s="448" t="s">
        <v>291</v>
      </c>
      <c r="I121" s="448"/>
      <c r="J121" s="448"/>
      <c r="K121" s="185">
        <f>N117</f>
        <v>4403604.1099999994</v>
      </c>
    </row>
    <row r="122" spans="1:15" ht="15.75">
      <c r="A122" s="448" t="s">
        <v>170</v>
      </c>
      <c r="B122" s="448"/>
      <c r="C122" s="448"/>
      <c r="D122" s="186">
        <f>SUM(D120:D121)</f>
        <v>13809366.909999998</v>
      </c>
      <c r="H122" s="448" t="s">
        <v>170</v>
      </c>
      <c r="I122" s="448"/>
      <c r="J122" s="448"/>
      <c r="K122" s="186">
        <f>SUM(K120:K121)</f>
        <v>13809366.909999998</v>
      </c>
    </row>
    <row r="123" spans="1:15" ht="15.75">
      <c r="A123" s="424" t="s">
        <v>252</v>
      </c>
      <c r="B123" s="425"/>
      <c r="C123" s="426"/>
      <c r="D123" s="57">
        <f>D122/N68</f>
        <v>0.25319917397597064</v>
      </c>
      <c r="H123" s="424" t="s">
        <v>252</v>
      </c>
      <c r="I123" s="425"/>
      <c r="J123" s="426"/>
      <c r="K123" s="57">
        <f>K122/N68</f>
        <v>0.25319917397597064</v>
      </c>
    </row>
    <row r="125" spans="1:15" ht="18">
      <c r="A125" s="122" t="s">
        <v>146</v>
      </c>
      <c r="B125" s="120" t="s">
        <v>154</v>
      </c>
    </row>
    <row r="126" spans="1:15" ht="15">
      <c r="A126" s="38"/>
      <c r="B126" s="38"/>
    </row>
    <row r="127" spans="1:15" ht="15">
      <c r="A127" s="62" t="s">
        <v>144</v>
      </c>
      <c r="B127" s="43">
        <f>N104/B96</f>
        <v>0.75103008430188178</v>
      </c>
    </row>
    <row r="128" spans="1:15" ht="15">
      <c r="A128" s="38"/>
      <c r="B128" s="38"/>
    </row>
    <row r="129" spans="1:5" ht="15">
      <c r="A129" s="62" t="s">
        <v>394</v>
      </c>
      <c r="B129" s="43">
        <f>C145/N81</f>
        <v>0.75224870823225298</v>
      </c>
    </row>
    <row r="130" spans="1:5" ht="15">
      <c r="A130" s="38"/>
      <c r="B130" s="38"/>
    </row>
    <row r="131" spans="1:5" ht="15">
      <c r="A131" s="62" t="s">
        <v>395</v>
      </c>
      <c r="B131" s="43">
        <f>C146/N81</f>
        <v>0.15909075829408864</v>
      </c>
    </row>
    <row r="132" spans="1:5" ht="15">
      <c r="A132" s="38"/>
      <c r="B132" s="38"/>
    </row>
    <row r="133" spans="1:5" ht="15">
      <c r="A133" s="62" t="s">
        <v>396</v>
      </c>
      <c r="B133" s="43">
        <f>SUM(N116/B94)</f>
        <v>1.0412571348405522</v>
      </c>
    </row>
    <row r="134" spans="1:5" ht="15">
      <c r="A134" s="38"/>
      <c r="B134" s="38"/>
    </row>
    <row r="135" spans="1:5" ht="15.75">
      <c r="A135" s="127" t="s">
        <v>149</v>
      </c>
      <c r="B135" s="128">
        <f>SUM(B93+N116)/B91</f>
        <v>0.25319917397597064</v>
      </c>
    </row>
    <row r="138" spans="1:5" ht="15.75">
      <c r="A138" s="413" t="s">
        <v>177</v>
      </c>
      <c r="B138" s="413" t="s">
        <v>178</v>
      </c>
      <c r="C138" s="413" t="s">
        <v>179</v>
      </c>
      <c r="D138" s="413" t="s">
        <v>253</v>
      </c>
      <c r="E138" s="413" t="s">
        <v>180</v>
      </c>
    </row>
    <row r="139" spans="1:5" ht="15">
      <c r="A139" s="38"/>
      <c r="B139" s="38"/>
      <c r="C139" s="38"/>
      <c r="D139" s="38"/>
      <c r="E139" s="38"/>
    </row>
    <row r="140" spans="1:5" ht="15">
      <c r="A140" s="62" t="str">
        <f>A75</f>
        <v>6.1- FUNDEB - Impostos e Transferências de Impostos</v>
      </c>
      <c r="B140" s="64">
        <f>N75</f>
        <v>15553700.540000001</v>
      </c>
      <c r="C140" s="418">
        <f>N105+N110</f>
        <v>14460802.020000001</v>
      </c>
      <c r="D140" s="43">
        <f>C140/B140</f>
        <v>0.92973385869238301</v>
      </c>
      <c r="E140" s="64">
        <f>B140-C140</f>
        <v>1092898.5199999996</v>
      </c>
    </row>
    <row r="141" spans="1:5" ht="15">
      <c r="A141" s="38"/>
      <c r="B141" s="38"/>
      <c r="C141" s="38"/>
      <c r="D141" s="113"/>
      <c r="E141" s="65"/>
    </row>
    <row r="142" spans="1:5" ht="15">
      <c r="A142" s="62" t="str">
        <f>A78</f>
        <v>6.2- FUNDEB - Complementação da União - VAAF</v>
      </c>
      <c r="B142" s="64">
        <f>N78</f>
        <v>5077841.6400000015</v>
      </c>
      <c r="C142" s="64">
        <f>N106+N111</f>
        <v>4614503.6099999994</v>
      </c>
      <c r="D142" s="43">
        <f>C142/B142</f>
        <v>0.90875295788074206</v>
      </c>
      <c r="E142" s="64">
        <f>B142-C142</f>
        <v>463338.03000000212</v>
      </c>
    </row>
    <row r="143" spans="1:5" ht="15">
      <c r="A143" s="38"/>
      <c r="B143" s="38"/>
      <c r="C143" s="38"/>
      <c r="D143" s="113"/>
      <c r="E143" s="65"/>
    </row>
    <row r="144" spans="1:5" ht="15">
      <c r="A144" s="62" t="str">
        <f>A81</f>
        <v>6.3- FUNDEB - Complementação da União - VAAT</v>
      </c>
      <c r="B144" s="433">
        <f>N81</f>
        <v>5436273.29</v>
      </c>
      <c r="C144" s="64">
        <f>N107+N112</f>
        <v>556087.98</v>
      </c>
      <c r="D144" s="43">
        <f>C144/B144</f>
        <v>0.10229213108599991</v>
      </c>
      <c r="E144" s="433">
        <f>B144-SUM(C144:C146)</f>
        <v>-74105.089999999851</v>
      </c>
    </row>
    <row r="145" spans="1:8" ht="15">
      <c r="A145" s="62" t="s">
        <v>198</v>
      </c>
      <c r="B145" s="434"/>
      <c r="C145" s="64">
        <f>N108+N113</f>
        <v>4089429.56</v>
      </c>
      <c r="D145" s="43">
        <f>C145/B144</f>
        <v>0.75224870823225298</v>
      </c>
      <c r="E145" s="434"/>
    </row>
    <row r="146" spans="1:8" ht="15">
      <c r="A146" s="62" t="s">
        <v>199</v>
      </c>
      <c r="B146" s="435"/>
      <c r="C146" s="64">
        <f>N114</f>
        <v>864860.84000000008</v>
      </c>
      <c r="D146" s="43">
        <f>C146/B144</f>
        <v>0.15909075829408864</v>
      </c>
      <c r="E146" s="435"/>
    </row>
    <row r="147" spans="1:8" ht="15">
      <c r="A147" s="38"/>
      <c r="B147" s="38"/>
      <c r="C147" s="38"/>
      <c r="D147" s="113"/>
      <c r="E147" s="38"/>
    </row>
    <row r="148" spans="1:8" ht="15">
      <c r="A148" s="410" t="s">
        <v>187</v>
      </c>
      <c r="B148" s="64">
        <f>SUM(B140:B146)</f>
        <v>26067815.470000003</v>
      </c>
      <c r="C148" s="64">
        <f>SUM(C140:C146)</f>
        <v>24585684.010000002</v>
      </c>
      <c r="D148" s="213">
        <f>C148/B148</f>
        <v>0.94314324260482418</v>
      </c>
      <c r="E148" s="64">
        <f>B148-C148</f>
        <v>1482131.4600000009</v>
      </c>
    </row>
    <row r="150" spans="1:8" ht="13.5" thickBot="1"/>
    <row r="151" spans="1:8" ht="18.75" thickBot="1">
      <c r="G151" s="456" t="s">
        <v>151</v>
      </c>
      <c r="H151" s="457"/>
    </row>
    <row r="152" spans="1:8">
      <c r="G152" s="458" t="s">
        <v>11</v>
      </c>
      <c r="H152" s="249" t="s">
        <v>6</v>
      </c>
    </row>
    <row r="153" spans="1:8" ht="13.5" thickBot="1">
      <c r="G153" s="459"/>
      <c r="H153" s="133" t="s">
        <v>2</v>
      </c>
    </row>
    <row r="154" spans="1:8">
      <c r="G154" s="134" t="s">
        <v>12</v>
      </c>
      <c r="H154" s="135">
        <f>SUM(H155:H158)</f>
        <v>3810586.51</v>
      </c>
    </row>
    <row r="155" spans="1:8">
      <c r="G155" s="136" t="s">
        <v>13</v>
      </c>
      <c r="H155" s="137">
        <f>N4</f>
        <v>277865.91000000003</v>
      </c>
    </row>
    <row r="156" spans="1:8">
      <c r="G156" s="136" t="s">
        <v>14</v>
      </c>
      <c r="H156" s="137">
        <f>N6</f>
        <v>427059.06</v>
      </c>
    </row>
    <row r="157" spans="1:8">
      <c r="G157" s="136" t="s">
        <v>256</v>
      </c>
      <c r="H157" s="137">
        <f>N5</f>
        <v>981099.41</v>
      </c>
    </row>
    <row r="158" spans="1:8">
      <c r="G158" s="136" t="s">
        <v>15</v>
      </c>
      <c r="H158" s="137">
        <f>N7</f>
        <v>2124562.13</v>
      </c>
    </row>
    <row r="159" spans="1:8">
      <c r="G159" s="138" t="s">
        <v>150</v>
      </c>
      <c r="H159" s="135">
        <f>SUM(H160:H166)</f>
        <v>47112472.589999989</v>
      </c>
    </row>
    <row r="160" spans="1:8">
      <c r="G160" s="136" t="s">
        <v>16</v>
      </c>
      <c r="H160" s="137">
        <f>RECEITAS!N14</f>
        <v>35031037.909999996</v>
      </c>
    </row>
    <row r="161" spans="1:20">
      <c r="G161" s="136" t="s">
        <v>17</v>
      </c>
      <c r="H161" s="137">
        <f>RECEITAS!N16</f>
        <v>82613.640000000014</v>
      </c>
    </row>
    <row r="162" spans="1:20">
      <c r="G162" s="136" t="s">
        <v>18</v>
      </c>
      <c r="H162" s="137">
        <f>RECEITAS!N27</f>
        <v>766558.35999999987</v>
      </c>
    </row>
    <row r="163" spans="1:20">
      <c r="G163" s="136" t="s">
        <v>19</v>
      </c>
      <c r="H163" s="137">
        <f>RECEITAS!N26</f>
        <v>11153214.629999999</v>
      </c>
    </row>
    <row r="164" spans="1:20">
      <c r="G164" s="136" t="s">
        <v>20</v>
      </c>
      <c r="H164" s="137">
        <f>RECEITAS!N28</f>
        <v>79048.05</v>
      </c>
    </row>
    <row r="165" spans="1:20">
      <c r="G165" s="136" t="s">
        <v>21</v>
      </c>
      <c r="H165" s="137">
        <v>0</v>
      </c>
    </row>
    <row r="166" spans="1:20">
      <c r="G166" s="136" t="s">
        <v>22</v>
      </c>
      <c r="H166" s="137">
        <v>0</v>
      </c>
    </row>
    <row r="167" spans="1:20" ht="13.5" thickBot="1">
      <c r="G167" s="140" t="s">
        <v>23</v>
      </c>
      <c r="H167" s="139">
        <f>SUM(H154,H159)</f>
        <v>50923059.099999987</v>
      </c>
    </row>
    <row r="169" spans="1:20" ht="15">
      <c r="G169" s="173" t="s">
        <v>428</v>
      </c>
      <c r="H169" s="173">
        <f>RECEITAS!B41</f>
        <v>7372796.2399999993</v>
      </c>
      <c r="I169" s="173">
        <f t="shared" ref="I169:S169" si="43">C41</f>
        <v>8437491.9200000018</v>
      </c>
      <c r="J169" s="173">
        <f t="shared" si="43"/>
        <v>14021867.640000001</v>
      </c>
      <c r="K169" s="173">
        <f t="shared" si="43"/>
        <v>6474962.2600000007</v>
      </c>
      <c r="L169" s="173">
        <f t="shared" si="43"/>
        <v>8117073.540000001</v>
      </c>
      <c r="M169" s="173">
        <f t="shared" si="43"/>
        <v>7331119.0300000003</v>
      </c>
      <c r="N169" s="173">
        <f t="shared" si="43"/>
        <v>7217601.540000001</v>
      </c>
      <c r="O169" s="173">
        <f t="shared" si="43"/>
        <v>6622583.8500000006</v>
      </c>
      <c r="P169" s="173">
        <f t="shared" si="43"/>
        <v>6527121.7000000002</v>
      </c>
      <c r="Q169" s="173">
        <f t="shared" si="43"/>
        <v>7230143.7400000012</v>
      </c>
      <c r="R169" s="173">
        <f t="shared" si="43"/>
        <v>6866163.4000000013</v>
      </c>
      <c r="S169" s="173">
        <f t="shared" si="43"/>
        <v>11149965.620000001</v>
      </c>
      <c r="T169" s="281">
        <f>SUM(H169:S169)</f>
        <v>97368890.480000004</v>
      </c>
    </row>
    <row r="170" spans="1:20" ht="15.7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ht="15">
      <c r="G171" s="15" t="s">
        <v>261</v>
      </c>
      <c r="H171" s="15">
        <v>0</v>
      </c>
      <c r="I171" s="15">
        <v>0</v>
      </c>
      <c r="J171" s="15">
        <v>0</v>
      </c>
      <c r="K171" s="280">
        <v>0</v>
      </c>
      <c r="L171" s="280"/>
      <c r="M171" s="280"/>
      <c r="N171" s="280"/>
      <c r="O171" s="280"/>
      <c r="P171" s="280"/>
      <c r="Q171" s="280"/>
      <c r="R171" s="280"/>
      <c r="S171" s="280">
        <v>9174126.2599999998</v>
      </c>
      <c r="T171" s="99">
        <f>SUM(H171:S171)</f>
        <v>9174126.2599999998</v>
      </c>
    </row>
    <row r="173" spans="1:20" ht="15.75">
      <c r="G173" s="188" t="s">
        <v>172</v>
      </c>
      <c r="H173" s="188">
        <f>H169+H171</f>
        <v>7372796.2399999993</v>
      </c>
      <c r="I173" s="188">
        <f t="shared" ref="I173:S173" si="44">I169+I171</f>
        <v>8437491.9200000018</v>
      </c>
      <c r="J173" s="188">
        <f t="shared" si="44"/>
        <v>14021867.640000001</v>
      </c>
      <c r="K173" s="188">
        <f t="shared" si="44"/>
        <v>6474962.2600000007</v>
      </c>
      <c r="L173" s="188">
        <f t="shared" si="44"/>
        <v>8117073.540000001</v>
      </c>
      <c r="M173" s="188">
        <f t="shared" si="44"/>
        <v>7331119.0300000003</v>
      </c>
      <c r="N173" s="188">
        <f t="shared" si="44"/>
        <v>7217601.540000001</v>
      </c>
      <c r="O173" s="188">
        <f t="shared" si="44"/>
        <v>6622583.8500000006</v>
      </c>
      <c r="P173" s="188">
        <f t="shared" si="44"/>
        <v>6527121.7000000002</v>
      </c>
      <c r="Q173" s="188">
        <f t="shared" si="44"/>
        <v>7230143.7400000012</v>
      </c>
      <c r="R173" s="188">
        <f t="shared" si="44"/>
        <v>6866163.4000000013</v>
      </c>
      <c r="S173" s="188">
        <f t="shared" si="44"/>
        <v>20324091.880000003</v>
      </c>
      <c r="T173" s="188">
        <f>SUM(H173:S173)</f>
        <v>106543016.74000001</v>
      </c>
    </row>
    <row r="175" spans="1:20" ht="15.75">
      <c r="A175" s="460" t="s">
        <v>255</v>
      </c>
      <c r="B175" s="460"/>
    </row>
    <row r="176" spans="1:20" ht="15">
      <c r="A176" s="38"/>
      <c r="B176" s="38"/>
    </row>
    <row r="177" spans="1:4" ht="15">
      <c r="A177" s="62" t="s">
        <v>193</v>
      </c>
      <c r="B177" s="161">
        <f>N81</f>
        <v>5436273.29</v>
      </c>
    </row>
    <row r="178" spans="1:4" ht="15">
      <c r="A178" s="62" t="s">
        <v>188</v>
      </c>
      <c r="B178" s="161">
        <f>B177*15%</f>
        <v>815440.99349999998</v>
      </c>
    </row>
    <row r="179" spans="1:4" ht="15">
      <c r="A179" s="62" t="s">
        <v>189</v>
      </c>
      <c r="B179" s="161">
        <f>N114</f>
        <v>864860.84000000008</v>
      </c>
    </row>
    <row r="180" spans="1:4" ht="15">
      <c r="A180" s="62" t="s">
        <v>190</v>
      </c>
      <c r="B180" s="43">
        <f>B179/B177</f>
        <v>0.15909075829408864</v>
      </c>
    </row>
    <row r="181" spans="1:4" ht="15.75">
      <c r="A181" s="46" t="s">
        <v>191</v>
      </c>
      <c r="B181" s="175">
        <f>B178-B179</f>
        <v>-49419.846500000102</v>
      </c>
    </row>
    <row r="182" spans="1:4" ht="15">
      <c r="A182" s="38"/>
      <c r="B182" s="38"/>
    </row>
    <row r="183" spans="1:4" ht="15">
      <c r="A183" s="62" t="s">
        <v>452</v>
      </c>
      <c r="B183" s="161">
        <v>5769222.8799999999</v>
      </c>
    </row>
    <row r="184" spans="1:4" ht="15">
      <c r="A184" s="62" t="s">
        <v>192</v>
      </c>
      <c r="B184" s="161">
        <f>B183*15%</f>
        <v>865383.43199999991</v>
      </c>
    </row>
    <row r="185" spans="1:4" ht="15.75">
      <c r="A185" s="46" t="s">
        <v>254</v>
      </c>
      <c r="B185" s="162">
        <f>B184-B179</f>
        <v>522.59199999982957</v>
      </c>
    </row>
    <row r="188" spans="1:4" ht="15.75">
      <c r="A188" s="447" t="s">
        <v>275</v>
      </c>
      <c r="B188" s="447"/>
      <c r="C188" s="447"/>
      <c r="D188" s="447"/>
    </row>
    <row r="189" spans="1:4" ht="15.75">
      <c r="A189" s="455" t="s">
        <v>370</v>
      </c>
      <c r="B189" s="455"/>
      <c r="C189" s="455"/>
      <c r="D189" s="185">
        <f>(N68/4)-N70</f>
        <v>4229122.6275000013</v>
      </c>
    </row>
    <row r="190" spans="1:4" ht="15.75">
      <c r="A190" s="448" t="s">
        <v>170</v>
      </c>
      <c r="B190" s="448"/>
      <c r="C190" s="448"/>
      <c r="D190" s="186">
        <f>N116</f>
        <v>4403604.1099999994</v>
      </c>
    </row>
    <row r="191" spans="1:4" ht="15.75">
      <c r="A191" s="448" t="s">
        <v>276</v>
      </c>
      <c r="B191" s="448"/>
      <c r="C191" s="448"/>
      <c r="D191" s="151">
        <f>D189-D190</f>
        <v>-174481.48249999806</v>
      </c>
    </row>
  </sheetData>
  <mergeCells count="24">
    <mergeCell ref="A188:D188"/>
    <mergeCell ref="A189:C189"/>
    <mergeCell ref="A190:C190"/>
    <mergeCell ref="A191:C191"/>
    <mergeCell ref="G151:H151"/>
    <mergeCell ref="G152:G153"/>
    <mergeCell ref="A175:B175"/>
    <mergeCell ref="B144:B146"/>
    <mergeCell ref="E144:E146"/>
    <mergeCell ref="H119:K119"/>
    <mergeCell ref="H120:J120"/>
    <mergeCell ref="H121:J121"/>
    <mergeCell ref="H122:J122"/>
    <mergeCell ref="H123:J123"/>
    <mergeCell ref="A122:C122"/>
    <mergeCell ref="A123:C123"/>
    <mergeCell ref="A100:J100"/>
    <mergeCell ref="A119:D119"/>
    <mergeCell ref="A120:C120"/>
    <mergeCell ref="A121:C121"/>
    <mergeCell ref="A1:N1"/>
    <mergeCell ref="A62:A63"/>
    <mergeCell ref="B62:O62"/>
    <mergeCell ref="A87:B8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100"/>
  <sheetViews>
    <sheetView zoomScaleNormal="100" workbookViewId="0">
      <selection activeCell="D1" sqref="D1"/>
    </sheetView>
  </sheetViews>
  <sheetFormatPr defaultColWidth="9.140625" defaultRowHeight="12.75"/>
  <cols>
    <col min="1" max="1" width="67.42578125" style="70" customWidth="1"/>
    <col min="2" max="2" width="23.7109375" style="70" customWidth="1"/>
    <col min="3" max="3" width="16.85546875" style="70" bestFit="1" customWidth="1"/>
    <col min="4" max="5" width="9.140625" style="70"/>
    <col min="6" max="6" width="14.28515625" style="70" bestFit="1" customWidth="1"/>
    <col min="7" max="7" width="10.140625" style="70" bestFit="1" customWidth="1"/>
    <col min="8" max="16384" width="9.140625" style="70"/>
  </cols>
  <sheetData>
    <row r="1" spans="1:6" ht="54" customHeight="1" thickBot="1">
      <c r="A1" s="189" t="s">
        <v>152</v>
      </c>
      <c r="B1" s="473"/>
      <c r="C1" s="474"/>
    </row>
    <row r="2" spans="1:6" ht="8.1" customHeight="1" thickBot="1">
      <c r="A2" s="283"/>
      <c r="B2" s="284"/>
    </row>
    <row r="3" spans="1:6" ht="18" customHeight="1">
      <c r="A3" s="478" t="s">
        <v>173</v>
      </c>
      <c r="B3" s="485" t="s">
        <v>39</v>
      </c>
      <c r="C3" s="486"/>
    </row>
    <row r="4" spans="1:6" ht="18" customHeight="1" thickBot="1">
      <c r="A4" s="479"/>
      <c r="B4" s="487">
        <v>2024</v>
      </c>
      <c r="C4" s="488"/>
    </row>
    <row r="5" spans="1:6" ht="8.1" customHeight="1">
      <c r="A5" s="285"/>
      <c r="B5" s="484"/>
      <c r="C5" s="484"/>
    </row>
    <row r="6" spans="1:6" ht="18" customHeight="1">
      <c r="A6" s="483" t="s">
        <v>259</v>
      </c>
      <c r="B6" s="483"/>
      <c r="C6" s="483"/>
    </row>
    <row r="7" spans="1:6" ht="18" customHeight="1">
      <c r="A7" s="142" t="s">
        <v>431</v>
      </c>
      <c r="B7" s="480">
        <f>RECEITAS!N41</f>
        <v>97368890.480000004</v>
      </c>
      <c r="C7" s="480"/>
    </row>
    <row r="8" spans="1:6" ht="18" customHeight="1">
      <c r="A8" s="142" t="s">
        <v>266</v>
      </c>
      <c r="B8" s="480">
        <f>RECEITAS!N59</f>
        <v>106543016.74000001</v>
      </c>
      <c r="C8" s="480"/>
    </row>
    <row r="9" spans="1:6" ht="18" customHeight="1">
      <c r="A9" s="142" t="s">
        <v>260</v>
      </c>
      <c r="B9" s="481">
        <f>RECEITAS!B91</f>
        <v>54539541.710000001</v>
      </c>
      <c r="C9" s="481"/>
    </row>
    <row r="10" spans="1:6" ht="18" customHeight="1">
      <c r="A10" s="152" t="s">
        <v>174</v>
      </c>
      <c r="B10" s="482">
        <f>RECEITAS!B96</f>
        <v>26067815.469999999</v>
      </c>
      <c r="C10" s="482"/>
    </row>
    <row r="11" spans="1:6" ht="8.1" customHeight="1"/>
    <row r="12" spans="1:6" ht="18" customHeight="1">
      <c r="A12" s="294" t="s">
        <v>453</v>
      </c>
      <c r="B12" s="295" t="s">
        <v>264</v>
      </c>
      <c r="C12" s="295" t="s">
        <v>154</v>
      </c>
      <c r="F12" s="143"/>
    </row>
    <row r="13" spans="1:6" ht="18" customHeight="1">
      <c r="A13" s="73" t="str">
        <f>Educação!R17</f>
        <v>FUNDEB - APLICAÇÃO 70%</v>
      </c>
      <c r="B13" s="288">
        <f>RECEITAS!N104</f>
        <v>19577713.649999999</v>
      </c>
      <c r="C13" s="394">
        <f>RECEITAS!B127</f>
        <v>0.75103008430188178</v>
      </c>
    </row>
    <row r="14" spans="1:6" ht="18" customHeight="1">
      <c r="A14" s="73" t="str">
        <f>Educação!R18</f>
        <v>FUNDEB - APLICAÇÃO 30%</v>
      </c>
      <c r="B14" s="288">
        <f>RECEITAS!N109</f>
        <v>5007970.3600000003</v>
      </c>
      <c r="C14" s="394">
        <f>RECEITAS!O109</f>
        <v>0.1921131583029424</v>
      </c>
      <c r="F14" s="144"/>
    </row>
    <row r="15" spans="1:6" ht="18" customHeight="1">
      <c r="A15" s="70" t="str">
        <f>Educação!R28</f>
        <v>FUNDEB VAAT - EDUCAÇÃO INFANTIL - MINIMO DE 50,41%</v>
      </c>
      <c r="B15" s="288">
        <f>RECEITAS!C145</f>
        <v>4089429.56</v>
      </c>
      <c r="C15" s="395">
        <f>RECEITAS!B129</f>
        <v>0.75224870823225298</v>
      </c>
    </row>
    <row r="16" spans="1:6" ht="18" customHeight="1">
      <c r="A16" s="73" t="str">
        <f>Educação!R30</f>
        <v>FUNDEB VAAT - DESPESA CAPITAL - MÍNIMO DE 15%</v>
      </c>
      <c r="B16" s="288">
        <f>RECEITAS!C146</f>
        <v>864860.84000000008</v>
      </c>
      <c r="C16" s="396">
        <f>RECEITAS!B131</f>
        <v>0.15909075829408864</v>
      </c>
    </row>
    <row r="17" spans="1:6" ht="6.95" customHeight="1">
      <c r="A17" s="73"/>
      <c r="B17" s="288"/>
      <c r="C17" s="350"/>
    </row>
    <row r="18" spans="1:6" ht="18" customHeight="1">
      <c r="A18" s="294" t="s">
        <v>459</v>
      </c>
      <c r="B18" s="295" t="s">
        <v>264</v>
      </c>
      <c r="C18" s="295" t="s">
        <v>154</v>
      </c>
    </row>
    <row r="19" spans="1:6" ht="18" customHeight="1">
      <c r="A19" s="73" t="s">
        <v>454</v>
      </c>
      <c r="B19" s="288">
        <f>RECEITAS!N72</f>
        <v>4212390.9095000001</v>
      </c>
      <c r="C19" s="397">
        <v>0.05</v>
      </c>
    </row>
    <row r="20" spans="1:6" ht="18" customHeight="1">
      <c r="A20" s="73" t="s">
        <v>461</v>
      </c>
      <c r="B20" s="288">
        <f>RECEITAS!N116</f>
        <v>4403604.1099999994</v>
      </c>
      <c r="C20" s="398">
        <f>B20/B19/20</f>
        <v>5.2269651661112047E-2</v>
      </c>
      <c r="D20" s="109"/>
      <c r="F20" s="407"/>
    </row>
    <row r="21" spans="1:6" ht="18" customHeight="1">
      <c r="A21" s="73" t="s">
        <v>458</v>
      </c>
      <c r="B21" s="288">
        <v>850000</v>
      </c>
      <c r="C21" s="394"/>
    </row>
    <row r="22" spans="1:6" ht="6.95" customHeight="1">
      <c r="A22" s="73"/>
      <c r="B22" s="288"/>
      <c r="C22" s="289"/>
    </row>
    <row r="23" spans="1:6" ht="18" customHeight="1">
      <c r="A23" s="294" t="s">
        <v>455</v>
      </c>
      <c r="B23" s="295" t="s">
        <v>264</v>
      </c>
      <c r="C23" s="295" t="s">
        <v>154</v>
      </c>
    </row>
    <row r="24" spans="1:6" ht="18" customHeight="1">
      <c r="A24" s="404" t="s">
        <v>460</v>
      </c>
      <c r="B24" s="401">
        <f>RECEITAS!K120</f>
        <v>9405762.7999999989</v>
      </c>
      <c r="C24" s="470">
        <f>RECEITAS!K123</f>
        <v>0.25319917397597064</v>
      </c>
    </row>
    <row r="25" spans="1:6" ht="18" customHeight="1">
      <c r="A25" s="404" t="str">
        <f>A20</f>
        <v>VALOR APLICADO COM RECURSO PRÓPRIO DA EDUCAÇÃO (5%)</v>
      </c>
      <c r="B25" s="401">
        <f>B20</f>
        <v>4403604.1099999994</v>
      </c>
      <c r="C25" s="471"/>
    </row>
    <row r="26" spans="1:6" ht="18" customHeight="1">
      <c r="A26" s="255" t="str">
        <f>Educação!K73</f>
        <v>DESPESAS PARA FINS DE LIMITE MÍNIMO DOS 25%</v>
      </c>
      <c r="B26" s="42">
        <f>RECEITAS!K122</f>
        <v>13809366.909999998</v>
      </c>
      <c r="C26" s="472"/>
    </row>
    <row r="27" spans="1:6" ht="8.1" customHeight="1">
      <c r="B27" s="109"/>
    </row>
    <row r="28" spans="1:6" ht="18" customHeight="1">
      <c r="A28" s="295" t="s">
        <v>271</v>
      </c>
      <c r="B28" s="295" t="s">
        <v>264</v>
      </c>
      <c r="C28" s="295" t="s">
        <v>154</v>
      </c>
    </row>
    <row r="29" spans="1:6" ht="18" customHeight="1">
      <c r="A29" s="73" t="str">
        <f>'Saúde 15%'!A24</f>
        <v>TOTAL DAS DESPEAS COM SAÚDE</v>
      </c>
      <c r="B29" s="104">
        <f>Despesas!B36</f>
        <v>9713896.2100000009</v>
      </c>
      <c r="C29" s="394">
        <f>Despesas!B38</f>
        <v>0.19075633674961218</v>
      </c>
    </row>
    <row r="30" spans="1:6" ht="18" customHeight="1">
      <c r="A30" s="73" t="str">
        <f>'Saúde 15%'!A28</f>
        <v>VALOR EXCEDENTE AO LIMITE MÍNIMO CONSTITUCIONAL</v>
      </c>
      <c r="B30" s="288">
        <f>Despesas!B40</f>
        <v>2075437.3450000035</v>
      </c>
      <c r="C30" s="394">
        <f>Despesas!B41</f>
        <v>4.0756336749612203E-2</v>
      </c>
    </row>
    <row r="31" spans="1:6" ht="8.1" customHeight="1"/>
    <row r="32" spans="1:6" ht="18" customHeight="1">
      <c r="A32" s="295" t="s">
        <v>270</v>
      </c>
      <c r="B32" s="295" t="s">
        <v>264</v>
      </c>
      <c r="C32" s="295" t="s">
        <v>154</v>
      </c>
    </row>
    <row r="33" spans="1:6" ht="18" customHeight="1">
      <c r="A33" s="286" t="s">
        <v>432</v>
      </c>
      <c r="B33" s="288">
        <f>Despesas!N57</f>
        <v>46932466.079999998</v>
      </c>
      <c r="C33" s="395">
        <f>Despesas!N57/RECEITAS!T169</f>
        <v>0.4820067872668235</v>
      </c>
    </row>
    <row r="34" spans="1:6" ht="18" customHeight="1">
      <c r="A34" s="286" t="s">
        <v>390</v>
      </c>
      <c r="B34" s="288">
        <f>Despesas!N61</f>
        <v>51790788.969999999</v>
      </c>
      <c r="C34" s="395">
        <f>Despesas!N61/RECEITAS!T173</f>
        <v>0.48610214498043125</v>
      </c>
    </row>
    <row r="35" spans="1:6" ht="18" customHeight="1">
      <c r="A35" s="461" t="str">
        <f>'Pessoal 54%'!K46</f>
        <v>DESPESA COM PESSOAL, EXCLUINDO RECEITA DO PRECATÓRIO DO FUNDEF</v>
      </c>
      <c r="B35" s="461"/>
      <c r="C35" s="399">
        <f>Despesas!I80</f>
        <v>0.52704594205476096</v>
      </c>
    </row>
    <row r="36" spans="1:6" ht="18" customHeight="1"/>
    <row r="37" spans="1:6" ht="18" customHeight="1">
      <c r="A37" s="475" t="s">
        <v>272</v>
      </c>
      <c r="B37" s="476"/>
      <c r="C37" s="477"/>
      <c r="F37" s="109"/>
    </row>
    <row r="38" spans="1:6" ht="8.25" customHeight="1"/>
    <row r="39" spans="1:6" ht="0.75" customHeight="1">
      <c r="A39" s="461" t="s">
        <v>408</v>
      </c>
      <c r="B39" s="461"/>
      <c r="C39" s="348">
        <f>Educação!E71</f>
        <v>1482131.4600000009</v>
      </c>
      <c r="F39" s="103"/>
    </row>
    <row r="40" spans="1:6" ht="18" customHeight="1">
      <c r="A40" s="461" t="s">
        <v>440</v>
      </c>
      <c r="B40" s="461"/>
      <c r="C40" s="287">
        <f>B30</f>
        <v>2075437.3450000035</v>
      </c>
      <c r="F40" s="103"/>
    </row>
    <row r="41" spans="1:6" ht="28.5" customHeight="1">
      <c r="A41" s="467" t="s">
        <v>441</v>
      </c>
      <c r="B41" s="468"/>
      <c r="C41" s="402">
        <f>RECEITAS!B185</f>
        <v>522.59199999982957</v>
      </c>
      <c r="D41" s="103"/>
    </row>
    <row r="42" spans="1:6" ht="18" customHeight="1">
      <c r="A42" s="467" t="s">
        <v>456</v>
      </c>
      <c r="B42" s="468"/>
      <c r="C42" s="403">
        <f>B21</f>
        <v>850000</v>
      </c>
      <c r="D42" s="103"/>
    </row>
    <row r="43" spans="1:6" ht="18" customHeight="1">
      <c r="A43" s="462" t="s">
        <v>457</v>
      </c>
      <c r="B43" s="463"/>
      <c r="C43" s="464"/>
    </row>
    <row r="48" spans="1:6">
      <c r="A48" s="70" t="s">
        <v>462</v>
      </c>
    </row>
    <row r="52" spans="1:2" ht="14.25">
      <c r="A52" s="466" t="s">
        <v>135</v>
      </c>
      <c r="B52" s="466"/>
    </row>
    <row r="53" spans="1:2" ht="15">
      <c r="A53" s="465" t="s">
        <v>136</v>
      </c>
      <c r="B53" s="465"/>
    </row>
    <row r="67" spans="1:7">
      <c r="A67" s="70" t="s">
        <v>273</v>
      </c>
      <c r="C67" s="287">
        <f>RECEITAS!D191</f>
        <v>-174481.48249999806</v>
      </c>
    </row>
    <row r="73" spans="1:7" ht="18" customHeight="1">
      <c r="A73" s="469" t="s">
        <v>277</v>
      </c>
      <c r="B73" s="469"/>
      <c r="C73" s="295" t="s">
        <v>264</v>
      </c>
      <c r="F73" s="70" t="s">
        <v>281</v>
      </c>
      <c r="G73" s="3">
        <v>599080.51</v>
      </c>
    </row>
    <row r="74" spans="1:7" ht="18" customHeight="1">
      <c r="A74" s="461" t="s">
        <v>278</v>
      </c>
      <c r="B74" s="461"/>
      <c r="C74" s="288">
        <f>RECEITAS!N38+RECEITAS!N36</f>
        <v>98092631.690000013</v>
      </c>
      <c r="F74" s="70" t="s">
        <v>282</v>
      </c>
      <c r="G74" s="3">
        <v>92800.7</v>
      </c>
    </row>
    <row r="75" spans="1:7" ht="18" customHeight="1">
      <c r="A75" s="461" t="s">
        <v>280</v>
      </c>
      <c r="B75" s="461"/>
      <c r="C75" s="297">
        <v>1631929.52</v>
      </c>
      <c r="G75" s="72">
        <f>G73-G74</f>
        <v>506279.81</v>
      </c>
    </row>
    <row r="76" spans="1:7" ht="18" customHeight="1">
      <c r="A76" s="461" t="s">
        <v>279</v>
      </c>
      <c r="B76" s="461"/>
      <c r="C76" s="297">
        <v>506279.81</v>
      </c>
    </row>
    <row r="77" spans="1:7">
      <c r="A77" s="146"/>
      <c r="B77" s="147"/>
    </row>
    <row r="78" spans="1:7">
      <c r="A78" s="146"/>
      <c r="B78" s="146"/>
    </row>
    <row r="79" spans="1:7">
      <c r="A79" s="146"/>
    </row>
    <row r="80" spans="1:7">
      <c r="A80" s="146"/>
      <c r="B80" s="146"/>
    </row>
    <row r="81" spans="1:6">
      <c r="A81" s="145"/>
      <c r="B81" s="148"/>
    </row>
    <row r="82" spans="1:6">
      <c r="A82" s="149"/>
    </row>
    <row r="83" spans="1:6">
      <c r="A83" s="146"/>
    </row>
    <row r="84" spans="1:6" ht="18" customHeight="1">
      <c r="A84" s="461" t="s">
        <v>274</v>
      </c>
      <c r="B84" s="461"/>
      <c r="C84" s="296">
        <f>RECEITAS!B184</f>
        <v>865383.43199999991</v>
      </c>
      <c r="F84" s="103"/>
    </row>
    <row r="100" spans="3:3">
      <c r="C100" s="102"/>
    </row>
  </sheetData>
  <mergeCells count="25">
    <mergeCell ref="A35:B35"/>
    <mergeCell ref="C24:C26"/>
    <mergeCell ref="B1:C1"/>
    <mergeCell ref="A37:C37"/>
    <mergeCell ref="A3:A4"/>
    <mergeCell ref="B7:C7"/>
    <mergeCell ref="B8:C8"/>
    <mergeCell ref="B9:C9"/>
    <mergeCell ref="B10:C10"/>
    <mergeCell ref="A6:C6"/>
    <mergeCell ref="B5:C5"/>
    <mergeCell ref="B3:C3"/>
    <mergeCell ref="B4:C4"/>
    <mergeCell ref="A76:B76"/>
    <mergeCell ref="A84:B84"/>
    <mergeCell ref="A39:B39"/>
    <mergeCell ref="A40:B40"/>
    <mergeCell ref="A43:C43"/>
    <mergeCell ref="A53:B53"/>
    <mergeCell ref="A52:B52"/>
    <mergeCell ref="A41:B41"/>
    <mergeCell ref="A75:B75"/>
    <mergeCell ref="A73:B73"/>
    <mergeCell ref="A74:B74"/>
    <mergeCell ref="A42:B42"/>
  </mergeCells>
  <conditionalFormatting sqref="A80 A83">
    <cfRule type="cellIs" dxfId="9" priority="2" stopIfTrue="1" operator="equal">
      <formula>"Déficit"</formula>
    </cfRule>
  </conditionalFormatting>
  <conditionalFormatting sqref="C39">
    <cfRule type="cellIs" dxfId="8" priority="1" operator="lessThan">
      <formula>0</formula>
    </cfRule>
  </conditionalFormatting>
  <conditionalFormatting sqref="F12">
    <cfRule type="cellIs" dxfId="7" priority="4" stopIfTrue="1" operator="equal">
      <formula>"Déficit_Até Mês"</formula>
    </cfRule>
  </conditionalFormatting>
  <pageMargins left="0.511811024" right="0.511811024" top="0.78740157499999996" bottom="0.78740157499999996" header="0.31496062000000002" footer="0.31496062000000002"/>
  <pageSetup paperSize="9" scale="85" fitToHeight="0" orientation="portrait" r:id="rId1"/>
  <colBreaks count="1" manualBreakCount="1">
    <brk id="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103"/>
  <sheetViews>
    <sheetView zoomScale="70" zoomScaleNormal="70" workbookViewId="0">
      <selection activeCell="B84" sqref="B84"/>
    </sheetView>
  </sheetViews>
  <sheetFormatPr defaultColWidth="9.140625" defaultRowHeight="15.75"/>
  <cols>
    <col min="1" max="1" width="85.85546875" style="38" customWidth="1"/>
    <col min="2" max="11" width="19.85546875" style="38" bestFit="1" customWidth="1"/>
    <col min="12" max="12" width="18.7109375" style="38" customWidth="1"/>
    <col min="13" max="13" width="20.28515625" style="38" customWidth="1"/>
    <col min="14" max="14" width="22.7109375" style="38" customWidth="1"/>
    <col min="15" max="15" width="22.28515625" style="49" customWidth="1"/>
    <col min="16" max="16" width="19.140625" style="38" customWidth="1"/>
    <col min="17" max="17" width="7.28515625" style="38" customWidth="1"/>
    <col min="18" max="18" width="81" style="38" customWidth="1"/>
    <col min="19" max="19" width="21.5703125" style="38" customWidth="1"/>
    <col min="20" max="20" width="21" style="38" bestFit="1" customWidth="1"/>
    <col min="21" max="21" width="16.140625" style="38" bestFit="1" customWidth="1"/>
    <col min="22" max="16384" width="9.140625" style="38"/>
  </cols>
  <sheetData>
    <row r="1" spans="1:21" ht="18.75" thickBot="1">
      <c r="A1" s="490" t="s">
        <v>8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1"/>
      <c r="O1" s="491"/>
      <c r="P1" s="492"/>
      <c r="R1" s="453" t="s">
        <v>27</v>
      </c>
      <c r="S1" s="454"/>
    </row>
    <row r="2" spans="1:21" ht="20.25" customHeight="1" thickBot="1">
      <c r="A2" s="450" t="s">
        <v>92</v>
      </c>
      <c r="B2" s="452" t="s">
        <v>6</v>
      </c>
      <c r="C2" s="452"/>
      <c r="D2" s="452"/>
      <c r="E2" s="452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253"/>
      <c r="R2" s="493"/>
      <c r="S2" s="494"/>
    </row>
    <row r="3" spans="1:21" ht="36.75" thickBot="1">
      <c r="A3" s="451"/>
      <c r="B3" s="48" t="s">
        <v>29</v>
      </c>
      <c r="C3" s="48" t="s">
        <v>30</v>
      </c>
      <c r="D3" s="48" t="s">
        <v>31</v>
      </c>
      <c r="E3" s="48" t="s">
        <v>32</v>
      </c>
      <c r="F3" s="48" t="s">
        <v>33</v>
      </c>
      <c r="G3" s="48" t="s">
        <v>34</v>
      </c>
      <c r="H3" s="48" t="s">
        <v>35</v>
      </c>
      <c r="I3" s="48" t="s">
        <v>36</v>
      </c>
      <c r="J3" s="48" t="s">
        <v>37</v>
      </c>
      <c r="K3" s="48" t="s">
        <v>38</v>
      </c>
      <c r="L3" s="48" t="s">
        <v>39</v>
      </c>
      <c r="M3" s="48" t="s">
        <v>40</v>
      </c>
      <c r="N3" s="48" t="s">
        <v>108</v>
      </c>
      <c r="O3" s="39" t="s">
        <v>7</v>
      </c>
      <c r="R3" s="115" t="s">
        <v>145</v>
      </c>
      <c r="S3" s="116" t="s">
        <v>147</v>
      </c>
    </row>
    <row r="4" spans="1:21">
      <c r="A4" s="46" t="s">
        <v>10</v>
      </c>
      <c r="B4" s="54">
        <f t="shared" ref="B4:G4" si="0">SUM(B5:B8)</f>
        <v>133349.88999999998</v>
      </c>
      <c r="C4" s="54">
        <f t="shared" si="0"/>
        <v>119914.87</v>
      </c>
      <c r="D4" s="54">
        <f t="shared" si="0"/>
        <v>120588.96999999999</v>
      </c>
      <c r="E4" s="54">
        <f t="shared" si="0"/>
        <v>641275.40999999992</v>
      </c>
      <c r="F4" s="54">
        <f t="shared" si="0"/>
        <v>157171.47</v>
      </c>
      <c r="G4" s="54">
        <f t="shared" si="0"/>
        <v>60451.67</v>
      </c>
      <c r="H4" s="54">
        <f>SUM(H5:H8)</f>
        <v>61549.39</v>
      </c>
      <c r="I4" s="54">
        <f>SUM(I5:I8)</f>
        <v>254416.80000000002</v>
      </c>
      <c r="J4" s="54">
        <f t="shared" ref="J4:M4" si="1">SUM(J5:J8)</f>
        <v>96659.32</v>
      </c>
      <c r="K4" s="54">
        <f t="shared" si="1"/>
        <v>486823.38</v>
      </c>
      <c r="L4" s="54">
        <f t="shared" si="1"/>
        <v>154775.23000000001</v>
      </c>
      <c r="M4" s="54">
        <f t="shared" si="1"/>
        <v>1523610.11</v>
      </c>
      <c r="N4" s="54">
        <f>SUM(B4:M4)</f>
        <v>3810586.51</v>
      </c>
      <c r="O4" s="51"/>
      <c r="R4" s="62" t="str">
        <f>A4</f>
        <v>1. RECEITA DE IMPOSTOS</v>
      </c>
      <c r="S4" s="5">
        <f>N4</f>
        <v>3810586.51</v>
      </c>
    </row>
    <row r="5" spans="1:21">
      <c r="A5" s="47" t="s">
        <v>93</v>
      </c>
      <c r="B5" s="53">
        <f>RECEITAS!B4</f>
        <v>56547.28</v>
      </c>
      <c r="C5" s="53">
        <f>RECEITAS!C4</f>
        <v>28158.04</v>
      </c>
      <c r="D5" s="53">
        <f>RECEITAS!D4</f>
        <v>27124.29</v>
      </c>
      <c r="E5" s="53">
        <f>RECEITAS!E4</f>
        <v>18247.599999999999</v>
      </c>
      <c r="F5" s="53">
        <f>RECEITAS!F4</f>
        <v>17500.66</v>
      </c>
      <c r="G5" s="53">
        <f>RECEITAS!G4</f>
        <v>13397.93</v>
      </c>
      <c r="H5" s="53">
        <f>RECEITAS!H4</f>
        <v>5185.55</v>
      </c>
      <c r="I5" s="53">
        <f>RECEITAS!I4</f>
        <v>16021.67</v>
      </c>
      <c r="J5" s="53">
        <f>RECEITAS!J4</f>
        <v>11804.63</v>
      </c>
      <c r="K5" s="53">
        <f>RECEITAS!K4</f>
        <v>13463.3</v>
      </c>
      <c r="L5" s="53">
        <f>RECEITAS!L4</f>
        <v>10582.44</v>
      </c>
      <c r="M5" s="53">
        <f>RECEITAS!M4</f>
        <v>59832.52</v>
      </c>
      <c r="N5" s="176">
        <f>SUM(B5:M5)</f>
        <v>277865.91000000003</v>
      </c>
      <c r="O5" s="51"/>
      <c r="R5" s="62" t="str">
        <f>A10</f>
        <v>2- RECEITA DE TRANSFERÊNCIAS CONSTITUCIONAIS E LEGAIS</v>
      </c>
      <c r="S5" s="123">
        <f>N10</f>
        <v>50728955.200000003</v>
      </c>
    </row>
    <row r="6" spans="1:21">
      <c r="A6" s="47" t="s">
        <v>94</v>
      </c>
      <c r="B6" s="177">
        <f>RECEITAS!B6</f>
        <v>13936.23</v>
      </c>
      <c r="C6" s="177">
        <f>RECEITAS!C6</f>
        <v>20283.900000000001</v>
      </c>
      <c r="D6" s="177">
        <f>RECEITAS!D6</f>
        <v>14786.17</v>
      </c>
      <c r="E6" s="177">
        <f>RECEITAS!E6</f>
        <v>49051.08</v>
      </c>
      <c r="F6" s="177">
        <f>RECEITAS!F6</f>
        <v>31103.14</v>
      </c>
      <c r="G6" s="177">
        <f>RECEITAS!G6</f>
        <v>719.13</v>
      </c>
      <c r="H6" s="177">
        <f>RECEITAS!H6</f>
        <v>400</v>
      </c>
      <c r="I6" s="177">
        <f>RECEITAS!I6</f>
        <v>156800.18</v>
      </c>
      <c r="J6" s="177">
        <f>RECEITAS!J6</f>
        <v>11124.36</v>
      </c>
      <c r="K6" s="177">
        <f>RECEITAS!K6</f>
        <v>84188.26</v>
      </c>
      <c r="L6" s="177">
        <f>RECEITAS!L6</f>
        <v>34797.050000000003</v>
      </c>
      <c r="M6" s="177">
        <f>RECEITAS!M6</f>
        <v>9869.56</v>
      </c>
      <c r="N6" s="176">
        <f>SUM(B6:M6)</f>
        <v>427059.06</v>
      </c>
      <c r="O6" s="51"/>
      <c r="R6" s="62" t="str">
        <f>A20</f>
        <v>3- TOTAL DA RECEITA DE IMPOSTOS (1 + 2)</v>
      </c>
      <c r="S6" s="123">
        <f>N20</f>
        <v>54539541.710000001</v>
      </c>
    </row>
    <row r="7" spans="1:21">
      <c r="A7" s="47" t="s">
        <v>95</v>
      </c>
      <c r="B7" s="178">
        <f>RECEITAS!B5</f>
        <v>62866.38</v>
      </c>
      <c r="C7" s="178">
        <f>RECEITAS!C5</f>
        <v>71472.929999999993</v>
      </c>
      <c r="D7" s="178">
        <f>RECEITAS!D5</f>
        <v>59419.09</v>
      </c>
      <c r="E7" s="178">
        <f>RECEITAS!E5</f>
        <v>97097.01</v>
      </c>
      <c r="F7" s="178">
        <f>RECEITAS!F5</f>
        <v>98974.27</v>
      </c>
      <c r="G7" s="178">
        <f>RECEITAS!G5</f>
        <v>46334.61</v>
      </c>
      <c r="H7" s="178">
        <f>RECEITAS!H5</f>
        <v>53563.839999999997</v>
      </c>
      <c r="I7" s="178">
        <f>RECEITAS!I5</f>
        <v>79210.55</v>
      </c>
      <c r="J7" s="178">
        <f>RECEITAS!J5</f>
        <v>72746.45</v>
      </c>
      <c r="K7" s="178">
        <f>RECEITAS!K5</f>
        <v>75667.88</v>
      </c>
      <c r="L7" s="178">
        <f>RECEITAS!L5</f>
        <v>103761.76</v>
      </c>
      <c r="M7" s="178">
        <f>RECEITAS!M5</f>
        <v>159984.64000000001</v>
      </c>
      <c r="N7" s="176">
        <f>SUM(B7:M7)</f>
        <v>981099.41</v>
      </c>
      <c r="O7" s="57"/>
      <c r="R7" s="121" t="s">
        <v>148</v>
      </c>
      <c r="S7" s="126">
        <f>S6/4</f>
        <v>13634885.4275</v>
      </c>
      <c r="T7" s="125"/>
    </row>
    <row r="8" spans="1:21" ht="15" customHeight="1">
      <c r="A8" s="47" t="s">
        <v>96</v>
      </c>
      <c r="B8" s="178">
        <f>RECEITAS!B7</f>
        <v>0</v>
      </c>
      <c r="C8" s="178">
        <f>RECEITAS!C7</f>
        <v>0</v>
      </c>
      <c r="D8" s="178">
        <f>RECEITAS!D7</f>
        <v>19259.419999999998</v>
      </c>
      <c r="E8" s="178">
        <f>RECEITAS!E7</f>
        <v>476879.72</v>
      </c>
      <c r="F8" s="178">
        <f>RECEITAS!F7</f>
        <v>9593.4</v>
      </c>
      <c r="G8" s="178">
        <f>RECEITAS!G7</f>
        <v>0</v>
      </c>
      <c r="H8" s="178">
        <f>RECEITAS!H7</f>
        <v>2400</v>
      </c>
      <c r="I8" s="178">
        <f>RECEITAS!I7</f>
        <v>2384.4</v>
      </c>
      <c r="J8" s="178">
        <f>RECEITAS!J7</f>
        <v>983.88</v>
      </c>
      <c r="K8" s="178">
        <f>RECEITAS!K7</f>
        <v>313503.94</v>
      </c>
      <c r="L8" s="178">
        <f>RECEITAS!L7</f>
        <v>5633.98</v>
      </c>
      <c r="M8" s="178">
        <f>RECEITAS!M7</f>
        <v>1293923.3900000001</v>
      </c>
      <c r="N8" s="176">
        <f>SUM(B8:M8)</f>
        <v>2124562.13</v>
      </c>
      <c r="O8" s="57"/>
      <c r="R8" s="62" t="str">
        <f>A22</f>
        <v>4- TOTAL DESTINADO AO FUNDEB - 20% DE ((2.1) + (2.2) + (2.3) + (2.4) + (2.5))</v>
      </c>
      <c r="S8" s="123">
        <f>N22</f>
        <v>9405762.7999999989</v>
      </c>
      <c r="T8" s="150"/>
      <c r="U8" s="150"/>
    </row>
    <row r="9" spans="1:21">
      <c r="A9" s="61"/>
      <c r="B9" s="41"/>
      <c r="C9" s="41"/>
      <c r="D9" s="41"/>
      <c r="E9" s="41"/>
      <c r="F9" s="45"/>
      <c r="G9" s="45"/>
      <c r="H9" s="45"/>
      <c r="I9" s="45"/>
      <c r="J9" s="45"/>
      <c r="K9" s="45"/>
      <c r="L9" s="45"/>
      <c r="M9" s="45"/>
      <c r="N9" s="50"/>
      <c r="O9" s="58"/>
      <c r="R9" s="117" t="str">
        <f>A24</f>
        <v>5- VALOR MÍNIMO A SER APLICADO ALÉM DO VALOR DESTINADO AO FUNDEB - 5% DE ((2.2) + (2.3) + (2.4) + (2.5)) + 25% DE ((1.1) + (1.2) + (1.3) + (1.4) + (2.1.1) + (2.6)+ (2.7))</v>
      </c>
      <c r="S9" s="118">
        <f>S7-S8</f>
        <v>4229122.6275000013</v>
      </c>
      <c r="T9" s="125"/>
    </row>
    <row r="10" spans="1:21">
      <c r="A10" s="46" t="s">
        <v>97</v>
      </c>
      <c r="B10" s="55">
        <f t="shared" ref="B10:M10" si="2">SUM(B11:B18)</f>
        <v>3949887.24</v>
      </c>
      <c r="C10" s="42">
        <f t="shared" si="2"/>
        <v>4925781.7300000014</v>
      </c>
      <c r="D10" s="42">
        <f t="shared" si="2"/>
        <v>3382739.3800000004</v>
      </c>
      <c r="E10" s="42">
        <f t="shared" si="2"/>
        <v>3756123.4899999998</v>
      </c>
      <c r="F10" s="42">
        <f t="shared" si="2"/>
        <v>3932241.8000000003</v>
      </c>
      <c r="G10" s="42">
        <f t="shared" si="2"/>
        <v>4254845.16</v>
      </c>
      <c r="H10" s="42">
        <f t="shared" si="2"/>
        <v>4724197.3800000008</v>
      </c>
      <c r="I10" s="42">
        <f t="shared" si="2"/>
        <v>3749139.39</v>
      </c>
      <c r="J10" s="42">
        <f t="shared" si="2"/>
        <v>3910358.66</v>
      </c>
      <c r="K10" s="42">
        <f t="shared" si="2"/>
        <v>3675822.2399999998</v>
      </c>
      <c r="L10" s="42">
        <f t="shared" si="2"/>
        <v>4211554.96</v>
      </c>
      <c r="M10" s="42">
        <f t="shared" si="2"/>
        <v>6256263.7699999996</v>
      </c>
      <c r="N10" s="42">
        <f t="shared" ref="N10:N12" si="3">SUM(B10:M10)</f>
        <v>50728955.200000003</v>
      </c>
      <c r="O10" s="57"/>
    </row>
    <row r="11" spans="1:21">
      <c r="A11" s="47" t="s">
        <v>98</v>
      </c>
      <c r="B11" s="161">
        <f>RECEITAS!B14</f>
        <v>2988753.49</v>
      </c>
      <c r="C11" s="161">
        <f>RECEITAS!C14</f>
        <v>4063960.45</v>
      </c>
      <c r="D11" s="161">
        <f>RECEITAS!D14</f>
        <v>2533450.41</v>
      </c>
      <c r="E11" s="161">
        <f>RECEITAS!E14</f>
        <v>2657219.02</v>
      </c>
      <c r="F11" s="161">
        <f>RECEITAS!F14</f>
        <v>3091586.99</v>
      </c>
      <c r="G11" s="161">
        <f>RECEITAS!G14</f>
        <v>3319848.96</v>
      </c>
      <c r="H11" s="161">
        <f>RECEITAS!H14</f>
        <v>2151498.79</v>
      </c>
      <c r="I11" s="161">
        <f>RECEITAS!I14</f>
        <v>2814100.61</v>
      </c>
      <c r="J11" s="161">
        <f>RECEITAS!J14</f>
        <v>2299448.09</v>
      </c>
      <c r="K11" s="161">
        <f>RECEITAS!K14</f>
        <v>2451310.79</v>
      </c>
      <c r="L11" s="161">
        <f>RECEITAS!L14</f>
        <v>3137789.75</v>
      </c>
      <c r="M11" s="161">
        <f>RECEITAS!M14</f>
        <v>3522070.56</v>
      </c>
      <c r="N11" s="175">
        <f t="shared" si="3"/>
        <v>35031037.909999996</v>
      </c>
      <c r="O11" s="57"/>
      <c r="R11" s="62" t="str">
        <f>A26</f>
        <v>6- RECEITAS RECEBIDAS DO FUNDEB</v>
      </c>
      <c r="S11" s="124">
        <f>N26</f>
        <v>26067815.469999999</v>
      </c>
    </row>
    <row r="12" spans="1:21">
      <c r="A12" s="47" t="s">
        <v>104</v>
      </c>
      <c r="B12" s="161">
        <f>RECEITAS!B15</f>
        <v>0</v>
      </c>
      <c r="C12" s="161">
        <f>RECEITAS!C15</f>
        <v>0</v>
      </c>
      <c r="D12" s="161">
        <f>RECEITAS!D15</f>
        <v>0</v>
      </c>
      <c r="E12" s="161">
        <f>RECEITAS!E15</f>
        <v>0</v>
      </c>
      <c r="F12" s="161">
        <f>RECEITAS!F15</f>
        <v>0</v>
      </c>
      <c r="G12" s="161">
        <f>RECEITAS!G15</f>
        <v>0</v>
      </c>
      <c r="H12" s="161">
        <f>RECEITAS!H15</f>
        <v>1445840.15</v>
      </c>
      <c r="I12" s="161">
        <f>RECEITAS!I15</f>
        <v>0</v>
      </c>
      <c r="J12" s="161">
        <f>RECEITAS!J15</f>
        <v>631043.85</v>
      </c>
      <c r="K12" s="161">
        <f>RECEITAS!K15</f>
        <v>0</v>
      </c>
      <c r="L12" s="161">
        <f>RECEITAS!L15</f>
        <v>0</v>
      </c>
      <c r="M12" s="161">
        <f>RECEITAS!M15</f>
        <v>1539598.61</v>
      </c>
      <c r="N12" s="175">
        <f t="shared" si="3"/>
        <v>3616482.6100000003</v>
      </c>
      <c r="O12" s="57"/>
      <c r="R12" s="117" t="str">
        <f>A27</f>
        <v>6.1- FUNDEB - Impostos e Transferências de Impostos</v>
      </c>
      <c r="S12" s="118">
        <f>N27</f>
        <v>15553700.540000001</v>
      </c>
      <c r="T12" s="125"/>
    </row>
    <row r="13" spans="1:21">
      <c r="A13" s="47" t="s">
        <v>99</v>
      </c>
      <c r="B13" s="161">
        <f>RECEITAS!B26</f>
        <v>899650.35</v>
      </c>
      <c r="C13" s="161">
        <f>RECEITAS!C26</f>
        <v>756981.65</v>
      </c>
      <c r="D13" s="161">
        <f>RECEITAS!D26</f>
        <v>793032.01</v>
      </c>
      <c r="E13" s="161">
        <f>RECEITAS!E26</f>
        <v>1038810.04</v>
      </c>
      <c r="F13" s="161">
        <f>RECEITAS!F26</f>
        <v>770879.92</v>
      </c>
      <c r="G13" s="161">
        <f>RECEITAS!G26</f>
        <v>881539.87</v>
      </c>
      <c r="H13" s="161">
        <f>RECEITAS!H26</f>
        <v>1060725.76</v>
      </c>
      <c r="I13" s="161">
        <f>RECEITAS!I26</f>
        <v>844866.76</v>
      </c>
      <c r="J13" s="161">
        <f>RECEITAS!J26</f>
        <v>885016.34</v>
      </c>
      <c r="K13" s="161">
        <f>RECEITAS!K26</f>
        <v>1108234.43</v>
      </c>
      <c r="L13" s="161">
        <f>RECEITAS!L26</f>
        <v>993590.57</v>
      </c>
      <c r="M13" s="161">
        <f>RECEITAS!M26</f>
        <v>1119886.93</v>
      </c>
      <c r="N13" s="175">
        <f t="shared" ref="N13:N18" si="4">SUM(B13:M13)</f>
        <v>11153214.629999999</v>
      </c>
      <c r="O13" s="57"/>
      <c r="R13" s="117" t="s">
        <v>157</v>
      </c>
      <c r="S13" s="118">
        <f>N30+N33</f>
        <v>10514114.930000002</v>
      </c>
    </row>
    <row r="14" spans="1:21" ht="16.5" customHeight="1">
      <c r="A14" s="47" t="s">
        <v>106</v>
      </c>
      <c r="B14" s="161">
        <f>RECEITAS!B28</f>
        <v>5006.01</v>
      </c>
      <c r="C14" s="161">
        <f>RECEITAS!C28</f>
        <v>5206.53</v>
      </c>
      <c r="D14" s="161">
        <f>RECEITAS!D28</f>
        <v>6116.72</v>
      </c>
      <c r="E14" s="161">
        <f>RECEITAS!E28</f>
        <v>5289.73</v>
      </c>
      <c r="F14" s="161">
        <f>RECEITAS!F28</f>
        <v>5567.62</v>
      </c>
      <c r="G14" s="161">
        <f>RECEITAS!G28</f>
        <v>6996.1</v>
      </c>
      <c r="H14" s="161">
        <f>RECEITAS!H28</f>
        <v>6183.96</v>
      </c>
      <c r="I14" s="161">
        <f>RECEITAS!I28</f>
        <v>8368.94</v>
      </c>
      <c r="J14" s="161">
        <f>RECEITAS!J28</f>
        <v>9135.56</v>
      </c>
      <c r="K14" s="161">
        <f>RECEITAS!K28</f>
        <v>6202.4</v>
      </c>
      <c r="L14" s="161">
        <f>RECEITAS!L28</f>
        <v>6887.98</v>
      </c>
      <c r="M14" s="161">
        <f>RECEITAS!M28</f>
        <v>8086.5</v>
      </c>
      <c r="N14" s="175">
        <f t="shared" si="4"/>
        <v>79048.05</v>
      </c>
      <c r="O14" s="57"/>
      <c r="R14" s="62"/>
      <c r="S14" s="119"/>
    </row>
    <row r="15" spans="1:21">
      <c r="A15" s="47" t="s">
        <v>100</v>
      </c>
      <c r="B15" s="161">
        <f>RECEITAS!B16</f>
        <v>1673.54</v>
      </c>
      <c r="C15" s="161">
        <f>RECEITAS!C16</f>
        <v>1118.49</v>
      </c>
      <c r="D15" s="161">
        <f>RECEITAS!D16</f>
        <v>523.6</v>
      </c>
      <c r="E15" s="161">
        <f>RECEITAS!E16</f>
        <v>678.3</v>
      </c>
      <c r="F15" s="161">
        <f>RECEITAS!F16</f>
        <v>1463.27</v>
      </c>
      <c r="G15" s="161">
        <f>RECEITAS!G16</f>
        <v>2580.37</v>
      </c>
      <c r="H15" s="161">
        <f>RECEITAS!H16</f>
        <v>3092.73</v>
      </c>
      <c r="I15" s="161">
        <f>RECEITAS!I16</f>
        <v>3920.98</v>
      </c>
      <c r="J15" s="161">
        <f>RECEITAS!J16</f>
        <v>14047.41</v>
      </c>
      <c r="K15" s="161">
        <f>RECEITAS!K16</f>
        <v>41109.660000000003</v>
      </c>
      <c r="L15" s="161">
        <f>RECEITAS!L16</f>
        <v>6146.71</v>
      </c>
      <c r="M15" s="161">
        <f>RECEITAS!M16</f>
        <v>6258.58</v>
      </c>
      <c r="N15" s="175">
        <f t="shared" si="4"/>
        <v>82613.640000000014</v>
      </c>
      <c r="O15" s="57"/>
    </row>
    <row r="16" spans="1:21">
      <c r="A16" s="47" t="s">
        <v>101</v>
      </c>
      <c r="B16" s="161">
        <f>RECEITAS!B27</f>
        <v>54803.85</v>
      </c>
      <c r="C16" s="161">
        <f>RECEITAS!C27</f>
        <v>98514.61</v>
      </c>
      <c r="D16" s="161">
        <f>RECEITAS!D27</f>
        <v>49616.639999999999</v>
      </c>
      <c r="E16" s="161">
        <f>RECEITAS!E27</f>
        <v>54126.400000000001</v>
      </c>
      <c r="F16" s="161">
        <f>RECEITAS!F27</f>
        <v>62744</v>
      </c>
      <c r="G16" s="161">
        <f>RECEITAS!G27</f>
        <v>43879.86</v>
      </c>
      <c r="H16" s="161">
        <f>RECEITAS!H27</f>
        <v>56855.99</v>
      </c>
      <c r="I16" s="161">
        <f>RECEITAS!I27</f>
        <v>77882.100000000006</v>
      </c>
      <c r="J16" s="161">
        <f>RECEITAS!J27</f>
        <v>71667.41</v>
      </c>
      <c r="K16" s="161">
        <f>RECEITAS!K27</f>
        <v>68964.960000000006</v>
      </c>
      <c r="L16" s="161">
        <f>RECEITAS!L27</f>
        <v>67139.95</v>
      </c>
      <c r="M16" s="161">
        <f>RECEITAS!M27</f>
        <v>60362.59</v>
      </c>
      <c r="N16" s="175">
        <f t="shared" si="4"/>
        <v>766558.35999999987</v>
      </c>
      <c r="O16" s="57"/>
      <c r="R16" s="495" t="s">
        <v>156</v>
      </c>
      <c r="S16" s="496"/>
      <c r="T16" s="125"/>
    </row>
    <row r="17" spans="1:20">
      <c r="A17" s="47" t="s">
        <v>102</v>
      </c>
      <c r="B17" s="56"/>
      <c r="C17" s="56"/>
      <c r="D17" s="56"/>
      <c r="E17" s="161"/>
      <c r="F17" s="161"/>
      <c r="G17" s="161"/>
      <c r="H17" s="161"/>
      <c r="I17" s="161"/>
      <c r="J17" s="161"/>
      <c r="K17" s="161"/>
      <c r="L17" s="161"/>
      <c r="M17" s="161"/>
      <c r="N17" s="175">
        <f t="shared" si="4"/>
        <v>0</v>
      </c>
      <c r="O17" s="57"/>
      <c r="R17" s="62" t="str">
        <f>A44</f>
        <v>FUNDEB - APLICAÇÃO 70%</v>
      </c>
      <c r="S17" s="64">
        <f>N44</f>
        <v>19577713.649999999</v>
      </c>
      <c r="T17" s="65"/>
    </row>
    <row r="18" spans="1:20">
      <c r="A18" s="47" t="s">
        <v>109</v>
      </c>
      <c r="B18" s="56"/>
      <c r="C18" s="56"/>
      <c r="D18" s="56"/>
      <c r="E18" s="161"/>
      <c r="F18" s="161"/>
      <c r="G18" s="161"/>
      <c r="H18" s="161"/>
      <c r="I18" s="161"/>
      <c r="J18" s="161"/>
      <c r="K18" s="161"/>
      <c r="L18" s="161"/>
      <c r="M18" s="161"/>
      <c r="N18" s="175">
        <f t="shared" si="4"/>
        <v>0</v>
      </c>
      <c r="O18" s="57"/>
      <c r="R18" s="62" t="str">
        <f>A49</f>
        <v>FUNDEB - APLICAÇÃO 30%</v>
      </c>
      <c r="S18" s="64">
        <f>N49</f>
        <v>5007970.3600000003</v>
      </c>
    </row>
    <row r="19" spans="1:20">
      <c r="A19" s="40"/>
      <c r="B19" s="41"/>
      <c r="C19" s="41"/>
      <c r="D19" s="41"/>
      <c r="E19" s="45"/>
      <c r="F19" s="45"/>
      <c r="G19" s="45"/>
      <c r="H19" s="45"/>
      <c r="I19" s="45"/>
      <c r="J19" s="45"/>
      <c r="K19" s="45"/>
      <c r="L19" s="45"/>
      <c r="M19" s="45"/>
      <c r="N19" s="50"/>
      <c r="O19" s="58"/>
      <c r="R19" s="62" t="str">
        <f>A57</f>
        <v>MDE - FR 1500.1001</v>
      </c>
      <c r="S19" s="64">
        <f>N56</f>
        <v>4403604.1099999994</v>
      </c>
      <c r="T19" s="65"/>
    </row>
    <row r="20" spans="1:20">
      <c r="A20" s="46" t="s">
        <v>103</v>
      </c>
      <c r="B20" s="42">
        <f t="shared" ref="B20:N20" si="5">B4+B10</f>
        <v>4083237.1300000004</v>
      </c>
      <c r="C20" s="42">
        <f t="shared" si="5"/>
        <v>5045696.6000000015</v>
      </c>
      <c r="D20" s="42">
        <f t="shared" si="5"/>
        <v>3503328.3500000006</v>
      </c>
      <c r="E20" s="42">
        <f t="shared" si="5"/>
        <v>4397398.8999999994</v>
      </c>
      <c r="F20" s="42">
        <f t="shared" si="5"/>
        <v>4089413.2700000005</v>
      </c>
      <c r="G20" s="42">
        <f t="shared" si="5"/>
        <v>4315296.83</v>
      </c>
      <c r="H20" s="42">
        <f t="shared" si="5"/>
        <v>4785746.7700000005</v>
      </c>
      <c r="I20" s="42">
        <f t="shared" si="5"/>
        <v>4003556.19</v>
      </c>
      <c r="J20" s="42">
        <f>J4+J10</f>
        <v>4007017.98</v>
      </c>
      <c r="K20" s="42">
        <f t="shared" si="5"/>
        <v>4162645.6199999996</v>
      </c>
      <c r="L20" s="42">
        <f t="shared" si="5"/>
        <v>4366330.1900000004</v>
      </c>
      <c r="M20" s="42">
        <f>M4+M10</f>
        <v>7779873.8799999999</v>
      </c>
      <c r="N20" s="42">
        <f t="shared" si="5"/>
        <v>54539541.710000001</v>
      </c>
      <c r="O20" s="57"/>
      <c r="R20" s="165" t="s">
        <v>156</v>
      </c>
      <c r="S20" s="169">
        <f>SUM(S17:S19)</f>
        <v>28989288.119999997</v>
      </c>
      <c r="T20" s="150"/>
    </row>
    <row r="21" spans="1:20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8"/>
      <c r="T21" s="160"/>
    </row>
    <row r="22" spans="1:20">
      <c r="A22" s="46" t="s">
        <v>105</v>
      </c>
      <c r="B22" s="42">
        <f>RECEITAS!B34</f>
        <v>788976.12</v>
      </c>
      <c r="C22" s="42">
        <f>RECEITAS!C34</f>
        <v>984114.91</v>
      </c>
      <c r="D22" s="42">
        <f>RECEITAS!D34</f>
        <v>675324.41</v>
      </c>
      <c r="E22" s="42">
        <f>RECEITAS!E34</f>
        <v>750166.57</v>
      </c>
      <c r="F22" s="42">
        <f>RECEITAS!F34</f>
        <v>785334.68</v>
      </c>
      <c r="G22" s="42">
        <f>RECEITAS!G34</f>
        <v>849569.66</v>
      </c>
      <c r="H22" s="42">
        <f>RECEITAS!H34</f>
        <v>654434.51</v>
      </c>
      <c r="I22" s="42">
        <f>RECEITAS!I34</f>
        <v>748153.93</v>
      </c>
      <c r="J22" s="42">
        <f>RECEITAS!J34</f>
        <v>654035.86</v>
      </c>
      <c r="K22" s="42">
        <f>RECEITAS!K34</f>
        <v>733923.82</v>
      </c>
      <c r="L22" s="42">
        <f>RECEITAS!L34</f>
        <v>840012.75</v>
      </c>
      <c r="M22" s="42">
        <f>RECEITAS!M34</f>
        <v>941715.58</v>
      </c>
      <c r="N22" s="42">
        <f>SUM(B22:M22)</f>
        <v>9405762.7999999989</v>
      </c>
      <c r="O22" s="57"/>
      <c r="S22" s="125"/>
    </row>
    <row r="23" spans="1:20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>
        <f>N23-M22</f>
        <v>1617.4520000001648</v>
      </c>
      <c r="N23" s="50">
        <f>SUM(M11+M13+M14+M15+M16)*20%</f>
        <v>943333.03200000012</v>
      </c>
      <c r="O23" s="50"/>
      <c r="P23" s="58"/>
    </row>
    <row r="24" spans="1:20" ht="45.75" customHeight="1">
      <c r="A24" s="60" t="s">
        <v>107</v>
      </c>
      <c r="B24" s="42">
        <f>((B11+B13+B14+B15+B16)*5%)+((B4+B12+B17+B18)*25%)</f>
        <v>230831.83450000003</v>
      </c>
      <c r="C24" s="42">
        <f t="shared" ref="C24:L24" si="6">((C11+C13+C14+C15+C16)*5%)+((C4+C12+C17+C18)*25%)</f>
        <v>276267.80400000012</v>
      </c>
      <c r="D24" s="42">
        <f t="shared" si="6"/>
        <v>199284.21150000003</v>
      </c>
      <c r="E24" s="42">
        <f t="shared" si="6"/>
        <v>348125.027</v>
      </c>
      <c r="F24" s="42">
        <f t="shared" si="6"/>
        <v>235904.95750000002</v>
      </c>
      <c r="G24" s="42">
        <f t="shared" si="6"/>
        <v>227855.17550000004</v>
      </c>
      <c r="H24" s="42">
        <f>((H11+H13+H14+H15+H16)*5%)+((H4+H12+H17+H18)*25%)</f>
        <v>540765.24649999989</v>
      </c>
      <c r="I24" s="42">
        <f t="shared" si="6"/>
        <v>251061.16950000002</v>
      </c>
      <c r="J24" s="42">
        <f>((J11+J13+J14+J15+J16)*5%)+((J4+J12+J17+J18)*25%)</f>
        <v>345891.533</v>
      </c>
      <c r="K24" s="42">
        <f>((K11+K13+K14+K15+K16)*5%)+((K4+K12+K17+K18)*25%)</f>
        <v>305496.95699999999</v>
      </c>
      <c r="L24" s="42">
        <f t="shared" si="6"/>
        <v>249271.55550000002</v>
      </c>
      <c r="M24" s="42">
        <f>((M11+M13+M14+M15+M16)*5%)+((M4+M12+M17+M18)*25%)</f>
        <v>1001635.4380000001</v>
      </c>
      <c r="N24" s="42">
        <f>SUM(B24:M24)</f>
        <v>4212390.9095000001</v>
      </c>
      <c r="O24" s="151"/>
      <c r="P24" s="160"/>
      <c r="R24" s="122" t="s">
        <v>146</v>
      </c>
      <c r="S24" s="120" t="s">
        <v>154</v>
      </c>
    </row>
    <row r="25" spans="1:20" ht="19.5" customHeight="1">
      <c r="A25" s="52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8"/>
    </row>
    <row r="26" spans="1:20" s="49" customFormat="1" ht="19.5" customHeight="1">
      <c r="A26" s="60" t="s">
        <v>110</v>
      </c>
      <c r="B26" s="111">
        <f t="shared" ref="B26:K26" si="7">B27+B30+B33</f>
        <v>3201631.9000000004</v>
      </c>
      <c r="C26" s="111">
        <f t="shared" si="7"/>
        <v>2030096.62</v>
      </c>
      <c r="D26" s="111">
        <f t="shared" si="7"/>
        <v>1723004.8899999997</v>
      </c>
      <c r="E26" s="111">
        <f t="shared" si="7"/>
        <v>1923212.49</v>
      </c>
      <c r="F26" s="111">
        <f t="shared" si="7"/>
        <v>2058528.69</v>
      </c>
      <c r="G26" s="111">
        <f t="shared" si="7"/>
        <v>2094313</v>
      </c>
      <c r="H26" s="111">
        <f t="shared" si="7"/>
        <v>1999892.3</v>
      </c>
      <c r="I26" s="111">
        <f>I27+I30+I33</f>
        <v>2034232.3899999997</v>
      </c>
      <c r="J26" s="111">
        <f t="shared" si="7"/>
        <v>2046951.56</v>
      </c>
      <c r="K26" s="111">
        <f t="shared" si="7"/>
        <v>2234869.4</v>
      </c>
      <c r="L26" s="111">
        <f>L27+L30+L33</f>
        <v>2276248.87</v>
      </c>
      <c r="M26" s="111">
        <f>M27+M30+M33</f>
        <v>2444833.3600000003</v>
      </c>
      <c r="N26" s="175">
        <f>SUM(B26:M26)</f>
        <v>26067815.469999999</v>
      </c>
      <c r="O26" s="163">
        <f>N26*70%</f>
        <v>18247470.828999996</v>
      </c>
      <c r="R26" s="62" t="s">
        <v>144</v>
      </c>
      <c r="S26" s="43">
        <f>S17/S11</f>
        <v>0.75103008430188178</v>
      </c>
    </row>
    <row r="27" spans="1:20" s="49" customFormat="1" ht="19.5" customHeight="1">
      <c r="A27" s="60" t="s">
        <v>111</v>
      </c>
      <c r="B27" s="111">
        <f t="shared" ref="B27:L27" si="8">B28+B29</f>
        <v>1310076.1700000002</v>
      </c>
      <c r="C27" s="111">
        <f t="shared" si="8"/>
        <v>1469831.68</v>
      </c>
      <c r="D27" s="111">
        <f t="shared" si="8"/>
        <v>1112222.1399999999</v>
      </c>
      <c r="E27" s="111">
        <f t="shared" si="8"/>
        <v>1178434.75</v>
      </c>
      <c r="F27" s="111">
        <f t="shared" si="8"/>
        <v>1341473.24</v>
      </c>
      <c r="G27" s="111">
        <f t="shared" si="8"/>
        <v>1326387</v>
      </c>
      <c r="H27" s="111">
        <f t="shared" si="8"/>
        <v>1231966.3</v>
      </c>
      <c r="I27" s="111">
        <f t="shared" si="8"/>
        <v>1216067.1599999999</v>
      </c>
      <c r="J27" s="111">
        <f t="shared" si="8"/>
        <v>1137718.98</v>
      </c>
      <c r="K27" s="111">
        <f t="shared" si="8"/>
        <v>1325636.82</v>
      </c>
      <c r="L27" s="111">
        <f t="shared" si="8"/>
        <v>1367016.29</v>
      </c>
      <c r="M27" s="111">
        <f>M28+M29</f>
        <v>1536870.01</v>
      </c>
      <c r="N27" s="175">
        <f>SUM(B27:M27)</f>
        <v>15553700.540000001</v>
      </c>
      <c r="O27" s="163">
        <f>O26-N44-N54</f>
        <v>-2195103.6610000022</v>
      </c>
      <c r="R27" s="38"/>
      <c r="S27" s="38"/>
    </row>
    <row r="28" spans="1:20" ht="19.5" customHeight="1">
      <c r="A28" s="63" t="s">
        <v>112</v>
      </c>
      <c r="B28" s="161">
        <f>RECEITAS!B46</f>
        <v>1307380.0900000001</v>
      </c>
      <c r="C28" s="161">
        <f>RECEITAS!C46</f>
        <v>1457185.27</v>
      </c>
      <c r="D28" s="161">
        <f>RECEITAS!D46</f>
        <v>1099226.1599999999</v>
      </c>
      <c r="E28" s="161">
        <f>RECEITAS!E46</f>
        <v>1165386.01</v>
      </c>
      <c r="F28" s="161">
        <f>RECEITAS!F46</f>
        <v>1329855.23</v>
      </c>
      <c r="G28" s="161">
        <f>RECEITAS!G46</f>
        <v>1318306.02</v>
      </c>
      <c r="H28" s="161">
        <f>RECEITAS!H46</f>
        <v>1224787.69</v>
      </c>
      <c r="I28" s="161">
        <f>RECEITAS!I46</f>
        <v>1209253.03</v>
      </c>
      <c r="J28" s="161">
        <f>RECEITAS!J46</f>
        <v>1131763.6499999999</v>
      </c>
      <c r="K28" s="161">
        <f>RECEITAS!K46</f>
        <v>1325636.82</v>
      </c>
      <c r="L28" s="161">
        <f>RECEITAS!L46</f>
        <v>1367016.29</v>
      </c>
      <c r="M28" s="161">
        <f>RECEITAS!M46</f>
        <v>1536870.01</v>
      </c>
      <c r="N28" s="175">
        <f>SUM(B28:M28)</f>
        <v>15472666.269999998</v>
      </c>
      <c r="O28" s="163"/>
      <c r="R28" s="62" t="s">
        <v>394</v>
      </c>
      <c r="S28" s="43">
        <f>C68/N33</f>
        <v>0.75224870823225298</v>
      </c>
    </row>
    <row r="29" spans="1:20" ht="19.5" customHeight="1">
      <c r="A29" s="63" t="s">
        <v>113</v>
      </c>
      <c r="B29" s="161">
        <f>RECEITAS!B47</f>
        <v>2696.0800000000004</v>
      </c>
      <c r="C29" s="161">
        <f>RECEITAS!C47</f>
        <v>12646.41</v>
      </c>
      <c r="D29" s="161">
        <f>RECEITAS!D47</f>
        <v>12995.98</v>
      </c>
      <c r="E29" s="161">
        <f>RECEITAS!E47</f>
        <v>13048.74</v>
      </c>
      <c r="F29" s="161">
        <f>RECEITAS!F47</f>
        <v>11618.01</v>
      </c>
      <c r="G29" s="161">
        <f>RECEITAS!G47</f>
        <v>8080.9800000000005</v>
      </c>
      <c r="H29" s="161">
        <f>RECEITAS!H47</f>
        <v>7178.61</v>
      </c>
      <c r="I29" s="161">
        <f>RECEITAS!I47</f>
        <v>6814.13</v>
      </c>
      <c r="J29" s="161">
        <f>RECEITAS!J47</f>
        <v>5955.33</v>
      </c>
      <c r="K29" s="161">
        <f>RECEITAS!K47</f>
        <v>0</v>
      </c>
      <c r="L29" s="161">
        <f>RECEITAS!L47</f>
        <v>0</v>
      </c>
      <c r="M29" s="161">
        <f>RECEITAS!M47</f>
        <v>0</v>
      </c>
      <c r="N29" s="175">
        <f>SUM(B29:M29)</f>
        <v>81034.27</v>
      </c>
      <c r="O29" s="163"/>
    </row>
    <row r="30" spans="1:20" s="49" customFormat="1" ht="19.5" customHeight="1">
      <c r="A30" s="60" t="s">
        <v>114</v>
      </c>
      <c r="B30" s="111">
        <f t="shared" ref="B30:F30" si="9">B31+B32</f>
        <v>1146198.3500000001</v>
      </c>
      <c r="C30" s="111">
        <f t="shared" si="9"/>
        <v>255364.6</v>
      </c>
      <c r="D30" s="111">
        <f t="shared" si="9"/>
        <v>278461.89</v>
      </c>
      <c r="E30" s="111">
        <f t="shared" si="9"/>
        <v>319128.68</v>
      </c>
      <c r="F30" s="111">
        <f t="shared" si="9"/>
        <v>325632.01</v>
      </c>
      <c r="G30" s="175">
        <f>RECEITAS!G48</f>
        <v>348733.54</v>
      </c>
      <c r="H30" s="175">
        <f>RECEITAS!H48</f>
        <v>348733.54</v>
      </c>
      <c r="I30" s="175">
        <f>RECEITAS!I48</f>
        <v>369624.6</v>
      </c>
      <c r="J30" s="175">
        <f>RECEITAS!J48</f>
        <v>421519.44</v>
      </c>
      <c r="K30" s="175">
        <f>RECEITAS!K48</f>
        <v>421519.44</v>
      </c>
      <c r="L30" s="175">
        <f>RECEITAS!L48</f>
        <v>421519.44</v>
      </c>
      <c r="M30" s="175">
        <f>RECEITAS!M48</f>
        <v>421406.11</v>
      </c>
      <c r="N30" s="175">
        <f t="shared" ref="N30:N35" si="10">SUM(B30:M30)</f>
        <v>5077841.6400000015</v>
      </c>
      <c r="O30" s="163"/>
      <c r="R30" s="62" t="s">
        <v>395</v>
      </c>
      <c r="S30" s="43">
        <f>C69/N33</f>
        <v>0.15909075829408864</v>
      </c>
    </row>
    <row r="31" spans="1:20" ht="19.5" customHeight="1">
      <c r="A31" s="63" t="s">
        <v>115</v>
      </c>
      <c r="B31" s="161">
        <f>RECEITAS!B49</f>
        <v>1146198.3500000001</v>
      </c>
      <c r="C31" s="161">
        <f>RECEITAS!C49</f>
        <v>255364.6</v>
      </c>
      <c r="D31" s="161">
        <f>RECEITAS!D49</f>
        <v>278461.89</v>
      </c>
      <c r="E31" s="161">
        <f>RECEITAS!E49</f>
        <v>319128.68</v>
      </c>
      <c r="F31" s="161">
        <f>RECEITAS!F49</f>
        <v>325632.01</v>
      </c>
      <c r="G31" s="161">
        <f>RECEITAS!G49</f>
        <v>348733.54</v>
      </c>
      <c r="H31" s="161">
        <f>RECEITAS!H49</f>
        <v>348733.54</v>
      </c>
      <c r="I31" s="161">
        <f>RECEITAS!I49</f>
        <v>369624.6</v>
      </c>
      <c r="J31" s="161">
        <f>RECEITAS!J49</f>
        <v>421519.44</v>
      </c>
      <c r="K31" s="161">
        <f>RECEITAS!K49</f>
        <v>421519.44</v>
      </c>
      <c r="L31" s="161">
        <f>RECEITAS!L49</f>
        <v>421519.44</v>
      </c>
      <c r="M31" s="161">
        <f>RECEITAS!M49</f>
        <v>421406.11</v>
      </c>
      <c r="N31" s="175">
        <f t="shared" si="10"/>
        <v>5077841.6400000015</v>
      </c>
      <c r="O31" s="168"/>
    </row>
    <row r="32" spans="1:20" ht="19.5" customHeight="1">
      <c r="A32" s="63" t="s">
        <v>116</v>
      </c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75">
        <f t="shared" si="10"/>
        <v>0</v>
      </c>
      <c r="O32" s="168"/>
      <c r="R32" s="62" t="s">
        <v>396</v>
      </c>
      <c r="S32" s="43">
        <f>SUM(S19/S9)</f>
        <v>1.0412571348405522</v>
      </c>
    </row>
    <row r="33" spans="1:20" s="49" customFormat="1" ht="19.5" customHeight="1">
      <c r="A33" s="60" t="s">
        <v>117</v>
      </c>
      <c r="B33" s="111">
        <f t="shared" ref="B33:E33" si="11">B34+B35</f>
        <v>745357.38</v>
      </c>
      <c r="C33" s="111">
        <f t="shared" si="11"/>
        <v>304900.34000000003</v>
      </c>
      <c r="D33" s="111">
        <f t="shared" si="11"/>
        <v>332320.86</v>
      </c>
      <c r="E33" s="111">
        <f t="shared" si="11"/>
        <v>425649.06</v>
      </c>
      <c r="F33" s="111">
        <f t="shared" ref="F33:M33" si="12">F34+F35</f>
        <v>391423.44</v>
      </c>
      <c r="G33" s="111">
        <f t="shared" si="12"/>
        <v>419192.46</v>
      </c>
      <c r="H33" s="111">
        <f t="shared" si="12"/>
        <v>419192.46</v>
      </c>
      <c r="I33" s="111">
        <f t="shared" si="12"/>
        <v>448540.63</v>
      </c>
      <c r="J33" s="111">
        <f t="shared" si="12"/>
        <v>487713.14</v>
      </c>
      <c r="K33" s="111">
        <f t="shared" si="12"/>
        <v>487713.14</v>
      </c>
      <c r="L33" s="111">
        <f t="shared" si="12"/>
        <v>487713.14</v>
      </c>
      <c r="M33" s="111">
        <f t="shared" si="12"/>
        <v>486557.24</v>
      </c>
      <c r="N33" s="175">
        <f>SUM(B33:M33)</f>
        <v>5436273.29</v>
      </c>
      <c r="O33" s="163"/>
      <c r="R33" s="38"/>
      <c r="S33" s="38"/>
    </row>
    <row r="34" spans="1:20" ht="19.5" customHeight="1">
      <c r="A34" s="63" t="s">
        <v>118</v>
      </c>
      <c r="B34" s="161">
        <f>RECEITAS!B52</f>
        <v>745357.38</v>
      </c>
      <c r="C34" s="161">
        <f>RECEITAS!C52</f>
        <v>304900.34000000003</v>
      </c>
      <c r="D34" s="161">
        <f>RECEITAS!D52</f>
        <v>332320.86</v>
      </c>
      <c r="E34" s="161">
        <f>RECEITAS!E52</f>
        <v>425649.06</v>
      </c>
      <c r="F34" s="161">
        <f>RECEITAS!F52</f>
        <v>391423.44</v>
      </c>
      <c r="G34" s="161">
        <f>RECEITAS!G52</f>
        <v>419192.46</v>
      </c>
      <c r="H34" s="161">
        <f>RECEITAS!H52</f>
        <v>419192.46</v>
      </c>
      <c r="I34" s="161">
        <f>RECEITAS!I52</f>
        <v>448540.63</v>
      </c>
      <c r="J34" s="161">
        <f>RECEITAS!J52</f>
        <v>487713.14</v>
      </c>
      <c r="K34" s="161">
        <f>RECEITAS!K52</f>
        <v>487713.14</v>
      </c>
      <c r="L34" s="161">
        <f>RECEITAS!L52</f>
        <v>487713.14</v>
      </c>
      <c r="M34" s="161">
        <f>RECEITAS!M52</f>
        <v>486557.24</v>
      </c>
      <c r="N34" s="175">
        <f t="shared" si="10"/>
        <v>5436273.29</v>
      </c>
      <c r="O34" s="163">
        <f>N34*15%</f>
        <v>815440.99349999998</v>
      </c>
      <c r="R34" s="127" t="s">
        <v>149</v>
      </c>
      <c r="S34" s="128">
        <f>SUM(S8+S19)/S6</f>
        <v>0.25319917397597064</v>
      </c>
      <c r="T34" s="208">
        <f>S8+S19</f>
        <v>13809366.909999998</v>
      </c>
    </row>
    <row r="35" spans="1:20" ht="16.5" customHeight="1">
      <c r="A35" s="63" t="s">
        <v>119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75">
        <f t="shared" si="10"/>
        <v>0</v>
      </c>
      <c r="O35" s="163">
        <f>O34-N54</f>
        <v>-49419.846500000102</v>
      </c>
    </row>
    <row r="36" spans="1:20" ht="9" customHeight="1">
      <c r="A36" s="60"/>
      <c r="B36" s="161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254"/>
      <c r="O36" s="163"/>
    </row>
    <row r="37" spans="1:20" s="49" customFormat="1" ht="18" customHeight="1">
      <c r="A37" s="60" t="s">
        <v>120</v>
      </c>
      <c r="B37" s="111">
        <f>B28-B22</f>
        <v>518403.97000000009</v>
      </c>
      <c r="C37" s="111">
        <f>C28-C22</f>
        <v>473070.36</v>
      </c>
      <c r="D37" s="111">
        <f>D28-D22</f>
        <v>423901.74999999988</v>
      </c>
      <c r="E37" s="111">
        <f t="shared" ref="E37:M37" si="13">E28-E22</f>
        <v>415219.44000000006</v>
      </c>
      <c r="F37" s="111">
        <f t="shared" si="13"/>
        <v>544520.54999999993</v>
      </c>
      <c r="G37" s="111">
        <f t="shared" si="13"/>
        <v>468736.36</v>
      </c>
      <c r="H37" s="111">
        <f t="shared" si="13"/>
        <v>570353.17999999993</v>
      </c>
      <c r="I37" s="111">
        <f t="shared" si="13"/>
        <v>461099.1</v>
      </c>
      <c r="J37" s="111">
        <f t="shared" si="13"/>
        <v>477727.78999999992</v>
      </c>
      <c r="K37" s="111">
        <f t="shared" si="13"/>
        <v>591713.00000000012</v>
      </c>
      <c r="L37" s="111">
        <f t="shared" si="13"/>
        <v>527003.54</v>
      </c>
      <c r="M37" s="111">
        <f t="shared" si="13"/>
        <v>595154.43000000005</v>
      </c>
      <c r="N37" s="269">
        <f>SUM(B37:M37)</f>
        <v>6066903.4699999988</v>
      </c>
      <c r="O37" s="163"/>
    </row>
    <row r="38" spans="1:20" s="49" customFormat="1" ht="18" customHeight="1">
      <c r="A38" s="52"/>
      <c r="B38" s="66"/>
      <c r="C38" s="66"/>
      <c r="D38" s="66"/>
      <c r="E38" s="66"/>
      <c r="F38" s="66"/>
      <c r="G38" s="66"/>
      <c r="H38" s="66"/>
      <c r="J38" s="66"/>
      <c r="K38" s="66"/>
      <c r="L38" s="66"/>
      <c r="M38" s="66"/>
      <c r="N38" s="66"/>
      <c r="O38" s="67"/>
      <c r="P38" s="163"/>
      <c r="R38" s="49" t="s">
        <v>194</v>
      </c>
      <c r="S38" s="209">
        <f>S17+S18-S13</f>
        <v>14071569.079999996</v>
      </c>
    </row>
    <row r="39" spans="1:20" s="49" customFormat="1" ht="18" customHeight="1">
      <c r="A39" s="52" t="s">
        <v>28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7"/>
      <c r="P39" s="58"/>
      <c r="R39" s="49" t="s">
        <v>195</v>
      </c>
      <c r="S39" s="210">
        <f>S8</f>
        <v>9405762.7999999989</v>
      </c>
    </row>
    <row r="40" spans="1:20" s="49" customFormat="1" ht="18" customHeight="1">
      <c r="A40" s="419" t="s">
        <v>142</v>
      </c>
      <c r="B40" s="420"/>
      <c r="C40" s="420"/>
      <c r="D40" s="420"/>
      <c r="E40" s="420"/>
      <c r="F40" s="420"/>
      <c r="G40" s="420"/>
      <c r="H40" s="420"/>
      <c r="I40" s="420"/>
      <c r="J40" s="421"/>
      <c r="K40" s="157"/>
      <c r="L40" s="157"/>
      <c r="M40" s="157"/>
      <c r="N40" s="157"/>
      <c r="O40" s="114" t="s">
        <v>108</v>
      </c>
      <c r="P40" s="114" t="s">
        <v>7</v>
      </c>
      <c r="R40" s="49" t="s">
        <v>196</v>
      </c>
      <c r="S40" s="210">
        <f>S19</f>
        <v>4403604.1099999994</v>
      </c>
    </row>
    <row r="41" spans="1:20" s="49" customFormat="1" ht="18" customHeight="1">
      <c r="A41" s="158"/>
      <c r="B41" s="159" t="s">
        <v>29</v>
      </c>
      <c r="C41" s="159" t="s">
        <v>30</v>
      </c>
      <c r="D41" s="159" t="s">
        <v>31</v>
      </c>
      <c r="E41" s="159" t="s">
        <v>32</v>
      </c>
      <c r="F41" s="159" t="s">
        <v>33</v>
      </c>
      <c r="G41" s="159" t="s">
        <v>34</v>
      </c>
      <c r="H41" s="159" t="s">
        <v>35</v>
      </c>
      <c r="I41" s="159" t="s">
        <v>36</v>
      </c>
      <c r="J41" s="159" t="s">
        <v>37</v>
      </c>
      <c r="K41" s="159" t="s">
        <v>38</v>
      </c>
      <c r="L41" s="159" t="s">
        <v>39</v>
      </c>
      <c r="M41" s="159" t="s">
        <v>40</v>
      </c>
      <c r="N41" s="114"/>
      <c r="O41" s="114"/>
    </row>
    <row r="42" spans="1:20" s="49" customFormat="1" ht="18" customHeight="1">
      <c r="A42" s="110" t="s">
        <v>153</v>
      </c>
      <c r="B42" s="112">
        <f t="shared" ref="B42:D42" si="14">B43+B56</f>
        <v>0</v>
      </c>
      <c r="C42" s="112">
        <f t="shared" si="14"/>
        <v>0</v>
      </c>
      <c r="D42" s="112">
        <f t="shared" si="14"/>
        <v>0</v>
      </c>
      <c r="E42" s="112">
        <f t="shared" ref="E42:N42" si="15">E43+E56</f>
        <v>0</v>
      </c>
      <c r="F42" s="112">
        <f t="shared" si="15"/>
        <v>0</v>
      </c>
      <c r="G42" s="112">
        <f t="shared" si="15"/>
        <v>0</v>
      </c>
      <c r="H42" s="112">
        <f t="shared" si="15"/>
        <v>0</v>
      </c>
      <c r="I42" s="112">
        <f t="shared" si="15"/>
        <v>0</v>
      </c>
      <c r="J42" s="112">
        <f t="shared" si="15"/>
        <v>19168136.789999999</v>
      </c>
      <c r="K42" s="112">
        <f t="shared" si="15"/>
        <v>3424190.48</v>
      </c>
      <c r="L42" s="112">
        <f t="shared" si="15"/>
        <v>2615717.83</v>
      </c>
      <c r="M42" s="112">
        <f t="shared" si="15"/>
        <v>3781243.02</v>
      </c>
      <c r="N42" s="112">
        <f t="shared" si="15"/>
        <v>28989288.119999997</v>
      </c>
      <c r="O42" s="110"/>
      <c r="R42" s="49" t="s">
        <v>197</v>
      </c>
      <c r="S42" s="209">
        <f>SUM(S38:S41)</f>
        <v>27880935.989999995</v>
      </c>
    </row>
    <row r="43" spans="1:20" s="49" customFormat="1" ht="18" customHeight="1">
      <c r="A43" s="179" t="s">
        <v>246</v>
      </c>
      <c r="B43" s="111">
        <f>B44+B49</f>
        <v>0</v>
      </c>
      <c r="C43" s="111">
        <f t="shared" ref="C43:M43" si="16">C44+C49</f>
        <v>0</v>
      </c>
      <c r="D43" s="111">
        <f t="shared" si="16"/>
        <v>0</v>
      </c>
      <c r="E43" s="111">
        <f t="shared" si="16"/>
        <v>0</v>
      </c>
      <c r="F43" s="111">
        <f t="shared" si="16"/>
        <v>0</v>
      </c>
      <c r="G43" s="111">
        <f t="shared" si="16"/>
        <v>0</v>
      </c>
      <c r="H43" s="111">
        <f t="shared" si="16"/>
        <v>0</v>
      </c>
      <c r="I43" s="111">
        <f t="shared" si="16"/>
        <v>0</v>
      </c>
      <c r="J43" s="111">
        <f t="shared" si="16"/>
        <v>19168136.789999999</v>
      </c>
      <c r="K43" s="111">
        <f t="shared" si="16"/>
        <v>2151900.06</v>
      </c>
      <c r="L43" s="111">
        <f t="shared" si="16"/>
        <v>1464406.8399999999</v>
      </c>
      <c r="M43" s="111">
        <f t="shared" si="16"/>
        <v>1801240.3200000003</v>
      </c>
      <c r="N43" s="269">
        <f>SUM(B43:M43)</f>
        <v>24585684.009999998</v>
      </c>
      <c r="O43" s="57"/>
    </row>
    <row r="44" spans="1:20" ht="18" customHeight="1">
      <c r="A44" s="180" t="s">
        <v>392</v>
      </c>
      <c r="B44" s="181">
        <f>SUM(B45:B48)</f>
        <v>0</v>
      </c>
      <c r="C44" s="181">
        <f t="shared" ref="C44:M44" si="17">SUM(C45:C48)</f>
        <v>0</v>
      </c>
      <c r="D44" s="181">
        <f t="shared" si="17"/>
        <v>0</v>
      </c>
      <c r="E44" s="181">
        <f t="shared" si="17"/>
        <v>0</v>
      </c>
      <c r="F44" s="181">
        <f t="shared" si="17"/>
        <v>0</v>
      </c>
      <c r="G44" s="181">
        <f t="shared" si="17"/>
        <v>0</v>
      </c>
      <c r="H44" s="181">
        <f t="shared" si="17"/>
        <v>0</v>
      </c>
      <c r="I44" s="181">
        <f t="shared" si="17"/>
        <v>0</v>
      </c>
      <c r="J44" s="181">
        <f t="shared" si="17"/>
        <v>15797302.27</v>
      </c>
      <c r="K44" s="181">
        <f t="shared" si="17"/>
        <v>1750039.47</v>
      </c>
      <c r="L44" s="181">
        <f t="shared" si="17"/>
        <v>1046157.0199999999</v>
      </c>
      <c r="M44" s="181">
        <f t="shared" si="17"/>
        <v>984214.89000000013</v>
      </c>
      <c r="N44" s="270">
        <f>SUM(B44:M44)</f>
        <v>19577713.649999999</v>
      </c>
      <c r="O44" s="184">
        <f>N44/N26</f>
        <v>0.75103008430188178</v>
      </c>
      <c r="R44" s="172"/>
    </row>
    <row r="45" spans="1:20" ht="18" customHeight="1">
      <c r="A45" s="63" t="s">
        <v>237</v>
      </c>
      <c r="B45" s="156"/>
      <c r="C45" s="156"/>
      <c r="D45" s="161"/>
      <c r="E45" s="156"/>
      <c r="F45" s="156"/>
      <c r="G45" s="156"/>
      <c r="H45" s="156"/>
      <c r="I45" s="156"/>
      <c r="J45" s="156">
        <v>9751920.3000000007</v>
      </c>
      <c r="K45" s="211">
        <v>1313021.33</v>
      </c>
      <c r="L45" s="156">
        <f>122678.35+869433.25</f>
        <v>992111.6</v>
      </c>
      <c r="M45" s="271">
        <v>729597.15</v>
      </c>
      <c r="N45" s="270">
        <f t="shared" ref="N45:N54" si="18">SUM(B45:M45)</f>
        <v>12786650.380000001</v>
      </c>
      <c r="O45" s="43"/>
      <c r="R45" s="172"/>
    </row>
    <row r="46" spans="1:20" ht="18" customHeight="1">
      <c r="A46" s="63" t="s">
        <v>238</v>
      </c>
      <c r="B46" s="156"/>
      <c r="C46" s="156"/>
      <c r="D46" s="161"/>
      <c r="E46" s="156"/>
      <c r="F46" s="156"/>
      <c r="G46" s="156"/>
      <c r="H46" s="156"/>
      <c r="I46" s="156"/>
      <c r="J46" s="156">
        <v>2706846.63</v>
      </c>
      <c r="K46" s="211">
        <v>15884.15</v>
      </c>
      <c r="L46" s="156">
        <v>14552.34</v>
      </c>
      <c r="M46" s="271">
        <v>14105.43</v>
      </c>
      <c r="N46" s="270">
        <f t="shared" si="18"/>
        <v>2751388.55</v>
      </c>
      <c r="O46" s="43"/>
      <c r="R46" s="172"/>
    </row>
    <row r="47" spans="1:20" ht="18" customHeight="1">
      <c r="A47" s="63" t="s">
        <v>239</v>
      </c>
      <c r="B47" s="156"/>
      <c r="C47" s="156"/>
      <c r="D47" s="161"/>
      <c r="E47" s="156">
        <v>0</v>
      </c>
      <c r="F47" s="156"/>
      <c r="G47" s="156"/>
      <c r="H47" s="156"/>
      <c r="I47" s="156"/>
      <c r="J47" s="156">
        <v>0</v>
      </c>
      <c r="K47" s="156"/>
      <c r="L47" s="156"/>
      <c r="M47" s="271"/>
      <c r="N47" s="270">
        <f t="shared" si="18"/>
        <v>0</v>
      </c>
      <c r="O47" s="43"/>
      <c r="R47" s="172"/>
    </row>
    <row r="48" spans="1:20" ht="18" customHeight="1">
      <c r="A48" s="63" t="s">
        <v>247</v>
      </c>
      <c r="B48" s="156"/>
      <c r="C48" s="156"/>
      <c r="D48" s="161"/>
      <c r="E48" s="156"/>
      <c r="F48" s="156"/>
      <c r="G48" s="156"/>
      <c r="H48" s="156"/>
      <c r="I48" s="156"/>
      <c r="J48" s="156">
        <v>3338535.34</v>
      </c>
      <c r="K48" s="211">
        <v>421133.99</v>
      </c>
      <c r="L48" s="156">
        <f>39493.08</f>
        <v>39493.08</v>
      </c>
      <c r="M48" s="271">
        <v>240512.31</v>
      </c>
      <c r="N48" s="270">
        <f t="shared" si="18"/>
        <v>4039674.72</v>
      </c>
      <c r="O48" s="43"/>
      <c r="R48" s="172"/>
    </row>
    <row r="49" spans="1:18" ht="18" customHeight="1">
      <c r="A49" s="180" t="s">
        <v>393</v>
      </c>
      <c r="B49" s="181">
        <f>SUM(B50:B54)</f>
        <v>0</v>
      </c>
      <c r="C49" s="181">
        <f t="shared" ref="C49:M49" si="19">SUM(C50:C54)</f>
        <v>0</v>
      </c>
      <c r="D49" s="181">
        <f t="shared" si="19"/>
        <v>0</v>
      </c>
      <c r="E49" s="181">
        <f t="shared" si="19"/>
        <v>0</v>
      </c>
      <c r="F49" s="181">
        <f t="shared" si="19"/>
        <v>0</v>
      </c>
      <c r="G49" s="181">
        <f t="shared" si="19"/>
        <v>0</v>
      </c>
      <c r="H49" s="181">
        <f t="shared" si="19"/>
        <v>0</v>
      </c>
      <c r="I49" s="181">
        <f t="shared" si="19"/>
        <v>0</v>
      </c>
      <c r="J49" s="181">
        <f t="shared" si="19"/>
        <v>3370834.5200000005</v>
      </c>
      <c r="K49" s="181">
        <f t="shared" si="19"/>
        <v>401860.59</v>
      </c>
      <c r="L49" s="181">
        <f t="shared" si="19"/>
        <v>418249.81999999995</v>
      </c>
      <c r="M49" s="181">
        <f t="shared" si="19"/>
        <v>817025.43</v>
      </c>
      <c r="N49" s="270">
        <f t="shared" si="18"/>
        <v>5007970.3600000003</v>
      </c>
      <c r="O49" s="182">
        <f>N49/N26</f>
        <v>0.1921131583029424</v>
      </c>
      <c r="Q49" s="164"/>
    </row>
    <row r="50" spans="1:18" ht="18" customHeight="1">
      <c r="A50" s="63" t="s">
        <v>240</v>
      </c>
      <c r="B50" s="156"/>
      <c r="C50" s="156"/>
      <c r="D50" s="161"/>
      <c r="E50" s="156"/>
      <c r="F50" s="156"/>
      <c r="G50" s="156"/>
      <c r="H50" s="156"/>
      <c r="I50" s="211"/>
      <c r="J50" s="211">
        <v>1547899.21</v>
      </c>
      <c r="K50" s="211">
        <v>43213.89</v>
      </c>
      <c r="L50" s="156">
        <v>41418.44</v>
      </c>
      <c r="M50" s="271">
        <v>41620.1</v>
      </c>
      <c r="N50" s="270">
        <f t="shared" si="18"/>
        <v>1674151.64</v>
      </c>
      <c r="O50" s="43"/>
      <c r="Q50" s="164"/>
    </row>
    <row r="51" spans="1:18" ht="18" customHeight="1">
      <c r="A51" s="63" t="s">
        <v>241</v>
      </c>
      <c r="B51" s="156"/>
      <c r="C51" s="156"/>
      <c r="D51" s="161"/>
      <c r="E51" s="156"/>
      <c r="F51" s="156"/>
      <c r="G51" s="156"/>
      <c r="H51" s="156"/>
      <c r="I51" s="211"/>
      <c r="J51" s="211">
        <v>1190770.45</v>
      </c>
      <c r="K51" s="211">
        <f>175847.91+165472.34</f>
        <v>341320.25</v>
      </c>
      <c r="L51" s="156">
        <v>166974.60999999999</v>
      </c>
      <c r="M51" s="271">
        <v>164049.75</v>
      </c>
      <c r="N51" s="270">
        <f t="shared" si="18"/>
        <v>1863115.06</v>
      </c>
      <c r="O51" s="43"/>
      <c r="Q51" s="164"/>
    </row>
    <row r="52" spans="1:18" ht="18" customHeight="1">
      <c r="A52" s="63" t="s">
        <v>244</v>
      </c>
      <c r="B52" s="156">
        <v>0</v>
      </c>
      <c r="C52" s="156">
        <v>0</v>
      </c>
      <c r="D52" s="161">
        <v>0</v>
      </c>
      <c r="E52" s="156">
        <v>0</v>
      </c>
      <c r="F52" s="156">
        <v>0</v>
      </c>
      <c r="G52" s="156">
        <v>0</v>
      </c>
      <c r="H52" s="156">
        <v>0</v>
      </c>
      <c r="I52" s="156">
        <v>0</v>
      </c>
      <c r="J52" s="156">
        <f>502768.84+35992.69</f>
        <v>538761.53</v>
      </c>
      <c r="K52" s="156">
        <v>17326.45</v>
      </c>
      <c r="L52" s="156"/>
      <c r="M52" s="271"/>
      <c r="N52" s="270">
        <f t="shared" si="18"/>
        <v>556087.98</v>
      </c>
      <c r="O52" s="43"/>
      <c r="Q52" s="164"/>
    </row>
    <row r="53" spans="1:18" ht="18" customHeight="1">
      <c r="A53" s="63" t="s">
        <v>243</v>
      </c>
      <c r="B53" s="156">
        <v>0</v>
      </c>
      <c r="C53" s="156">
        <v>0</v>
      </c>
      <c r="D53" s="161">
        <v>0</v>
      </c>
      <c r="E53" s="156"/>
      <c r="F53" s="156">
        <v>0</v>
      </c>
      <c r="G53" s="156">
        <v>0</v>
      </c>
      <c r="H53" s="156">
        <v>0</v>
      </c>
      <c r="I53" s="156">
        <v>0</v>
      </c>
      <c r="J53" s="156">
        <v>49754.84</v>
      </c>
      <c r="K53" s="156">
        <v>0</v>
      </c>
      <c r="L53" s="156"/>
      <c r="M53" s="271"/>
      <c r="N53" s="270">
        <f t="shared" si="18"/>
        <v>49754.84</v>
      </c>
      <c r="O53" s="43"/>
      <c r="Q53" s="164"/>
    </row>
    <row r="54" spans="1:18" ht="18" customHeight="1">
      <c r="A54" s="63" t="s">
        <v>242</v>
      </c>
      <c r="B54" s="156">
        <v>0</v>
      </c>
      <c r="C54" s="156">
        <v>0</v>
      </c>
      <c r="D54" s="161">
        <v>0</v>
      </c>
      <c r="E54" s="156">
        <v>0</v>
      </c>
      <c r="F54" s="156">
        <v>0</v>
      </c>
      <c r="G54" s="211">
        <v>0</v>
      </c>
      <c r="H54" s="156">
        <v>0</v>
      </c>
      <c r="I54" s="156">
        <v>0</v>
      </c>
      <c r="J54" s="156">
        <f>28993.01+14655.48</f>
        <v>43648.49</v>
      </c>
      <c r="K54" s="156">
        <v>0</v>
      </c>
      <c r="L54" s="271">
        <v>209856.77</v>
      </c>
      <c r="M54" s="211">
        <f>406355.58+205000</f>
        <v>611355.58000000007</v>
      </c>
      <c r="N54" s="270">
        <f t="shared" si="18"/>
        <v>864860.84000000008</v>
      </c>
      <c r="O54" s="43">
        <f>N54/N33</f>
        <v>0.15909075829408864</v>
      </c>
      <c r="Q54" s="164"/>
    </row>
    <row r="55" spans="1:18" s="49" customFormat="1" ht="9.75" customHeight="1">
      <c r="A55" s="52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3"/>
      <c r="O55" s="58"/>
    </row>
    <row r="56" spans="1:18" s="49" customFormat="1" ht="18" customHeight="1">
      <c r="A56" s="183" t="s">
        <v>143</v>
      </c>
      <c r="B56" s="181">
        <f>B57</f>
        <v>0</v>
      </c>
      <c r="C56" s="181">
        <f t="shared" ref="C56:M56" si="20">C57</f>
        <v>0</v>
      </c>
      <c r="D56" s="181">
        <f t="shared" si="20"/>
        <v>0</v>
      </c>
      <c r="E56" s="181">
        <f t="shared" si="20"/>
        <v>0</v>
      </c>
      <c r="F56" s="181">
        <f t="shared" si="20"/>
        <v>0</v>
      </c>
      <c r="G56" s="181">
        <f t="shared" si="20"/>
        <v>0</v>
      </c>
      <c r="H56" s="181">
        <f t="shared" si="20"/>
        <v>0</v>
      </c>
      <c r="I56" s="181">
        <f t="shared" si="20"/>
        <v>0</v>
      </c>
      <c r="J56" s="181">
        <f t="shared" si="20"/>
        <v>0</v>
      </c>
      <c r="K56" s="181">
        <f t="shared" si="20"/>
        <v>1272290.42</v>
      </c>
      <c r="L56" s="181">
        <f t="shared" si="20"/>
        <v>1151310.99</v>
      </c>
      <c r="M56" s="181">
        <f t="shared" si="20"/>
        <v>1980002.6999999997</v>
      </c>
      <c r="N56" s="270">
        <f>SUM(B56:M56)</f>
        <v>4403604.1099999994</v>
      </c>
      <c r="O56" s="184"/>
      <c r="R56" s="172"/>
    </row>
    <row r="57" spans="1:18" s="49" customFormat="1" ht="18" customHeight="1">
      <c r="A57" s="63" t="s">
        <v>245</v>
      </c>
      <c r="B57" s="156"/>
      <c r="C57" s="156"/>
      <c r="D57" s="161"/>
      <c r="E57" s="156"/>
      <c r="F57" s="156"/>
      <c r="G57" s="271"/>
      <c r="H57" s="271"/>
      <c r="I57" s="211"/>
      <c r="J57" s="271"/>
      <c r="K57" s="271">
        <v>1272290.42</v>
      </c>
      <c r="L57" s="271">
        <v>1151310.99</v>
      </c>
      <c r="M57" s="271">
        <f>58780+878824.07+195000+571398.63+162000+114000</f>
        <v>1980002.6999999997</v>
      </c>
      <c r="N57" s="269">
        <f>SUM(B57:M57)</f>
        <v>4403604.1099999994</v>
      </c>
      <c r="O57" s="57">
        <f>N64</f>
        <v>0.25319917397597064</v>
      </c>
      <c r="P57" s="210">
        <f>N24-K57</f>
        <v>2940100.4895000001</v>
      </c>
    </row>
    <row r="58" spans="1:18" ht="15">
      <c r="O58" s="38"/>
    </row>
    <row r="59" spans="1:18" ht="15">
      <c r="O59" s="38"/>
    </row>
    <row r="60" spans="1:18">
      <c r="K60" s="447" t="s">
        <v>248</v>
      </c>
      <c r="L60" s="447"/>
      <c r="M60" s="447"/>
      <c r="N60" s="447"/>
      <c r="O60" s="38"/>
    </row>
    <row r="61" spans="1:18">
      <c r="A61" s="190" t="s">
        <v>177</v>
      </c>
      <c r="B61" s="190" t="s">
        <v>178</v>
      </c>
      <c r="C61" s="190" t="s">
        <v>179</v>
      </c>
      <c r="D61" s="190" t="s">
        <v>253</v>
      </c>
      <c r="E61" s="190" t="s">
        <v>180</v>
      </c>
      <c r="I61" s="160"/>
      <c r="J61" s="3"/>
      <c r="K61" s="448" t="s">
        <v>290</v>
      </c>
      <c r="L61" s="448"/>
      <c r="M61" s="448"/>
      <c r="N61" s="185">
        <f>N22</f>
        <v>9405762.7999999989</v>
      </c>
    </row>
    <row r="62" spans="1:18">
      <c r="I62" s="160"/>
      <c r="K62" s="448" t="s">
        <v>291</v>
      </c>
      <c r="L62" s="448"/>
      <c r="M62" s="448"/>
      <c r="N62" s="185">
        <f>N57</f>
        <v>4403604.1099999994</v>
      </c>
    </row>
    <row r="63" spans="1:18">
      <c r="A63" s="62" t="str">
        <f>A27</f>
        <v>6.1- FUNDEB - Impostos e Transferências de Impostos</v>
      </c>
      <c r="B63" s="64">
        <f>N27</f>
        <v>15553700.540000001</v>
      </c>
      <c r="C63" s="64">
        <f>N45+N50</f>
        <v>14460802.020000001</v>
      </c>
      <c r="D63" s="43">
        <f>C63/B63</f>
        <v>0.92973385869238301</v>
      </c>
      <c r="E63" s="64">
        <f>B63-C63</f>
        <v>1092898.5199999996</v>
      </c>
      <c r="G63" s="170"/>
      <c r="I63" s="160"/>
      <c r="J63" s="160"/>
      <c r="K63" s="448" t="s">
        <v>170</v>
      </c>
      <c r="L63" s="448"/>
      <c r="M63" s="448"/>
      <c r="N63" s="186">
        <f>SUM(N61:N62)</f>
        <v>13809366.909999998</v>
      </c>
      <c r="O63" s="274"/>
      <c r="P63" s="150">
        <v>23950</v>
      </c>
    </row>
    <row r="64" spans="1:18">
      <c r="D64" s="113"/>
      <c r="E64" s="65"/>
      <c r="I64" s="160"/>
      <c r="K64" s="424" t="s">
        <v>252</v>
      </c>
      <c r="L64" s="425"/>
      <c r="M64" s="426"/>
      <c r="N64" s="57">
        <f>N63/N20</f>
        <v>0.25319917397597064</v>
      </c>
      <c r="P64" s="150">
        <v>6572</v>
      </c>
    </row>
    <row r="65" spans="1:16">
      <c r="A65" s="62" t="str">
        <f>A30</f>
        <v>6.2- FUNDEB - Complementação da União - VAAF</v>
      </c>
      <c r="B65" s="64">
        <f>N30</f>
        <v>5077841.6400000015</v>
      </c>
      <c r="C65" s="64">
        <f>N46+N51</f>
        <v>4614503.6099999994</v>
      </c>
      <c r="D65" s="43">
        <f>C65/B65</f>
        <v>0.90875295788074206</v>
      </c>
      <c r="E65" s="64">
        <f>B65-C65</f>
        <v>463338.03000000212</v>
      </c>
      <c r="G65" s="170"/>
      <c r="J65" s="150"/>
      <c r="P65" s="150">
        <v>8708</v>
      </c>
    </row>
    <row r="66" spans="1:16">
      <c r="D66" s="113"/>
      <c r="E66" s="65"/>
      <c r="G66" s="170"/>
      <c r="M66" s="489"/>
      <c r="N66" s="489"/>
      <c r="O66" s="163"/>
      <c r="P66" s="150">
        <v>9650.9500000000007</v>
      </c>
    </row>
    <row r="67" spans="1:16">
      <c r="A67" s="62" t="str">
        <f>A33</f>
        <v>6.3- FUNDEB - Complementação da União - VAAT</v>
      </c>
      <c r="B67" s="433">
        <f>N33</f>
        <v>5436273.29</v>
      </c>
      <c r="C67" s="64">
        <f>N47+N52</f>
        <v>556087.98</v>
      </c>
      <c r="D67" s="43">
        <f>C67/B67</f>
        <v>0.10229213108599991</v>
      </c>
      <c r="E67" s="433">
        <f>B67-SUM(C67:C69)</f>
        <v>-74105.089999999851</v>
      </c>
      <c r="G67" s="170"/>
      <c r="P67" s="150">
        <v>9904.85</v>
      </c>
    </row>
    <row r="68" spans="1:16">
      <c r="A68" s="62" t="s">
        <v>198</v>
      </c>
      <c r="B68" s="434"/>
      <c r="C68" s="64">
        <f>N48+N53</f>
        <v>4089429.56</v>
      </c>
      <c r="D68" s="43">
        <f>C68/B67</f>
        <v>0.75224870823225298</v>
      </c>
      <c r="E68" s="434"/>
      <c r="G68" s="170"/>
      <c r="P68" s="150"/>
    </row>
    <row r="69" spans="1:16">
      <c r="A69" s="62" t="s">
        <v>199</v>
      </c>
      <c r="B69" s="435"/>
      <c r="C69" s="64">
        <f>N54</f>
        <v>864860.84000000008</v>
      </c>
      <c r="D69" s="43">
        <f>C69/B67</f>
        <v>0.15909075829408864</v>
      </c>
      <c r="E69" s="435"/>
      <c r="G69" s="170"/>
      <c r="J69" s="65"/>
      <c r="P69" s="150"/>
    </row>
    <row r="70" spans="1:16" ht="15.75" customHeight="1">
      <c r="D70" s="113"/>
      <c r="J70" s="160"/>
      <c r="K70" s="447" t="s">
        <v>249</v>
      </c>
      <c r="L70" s="447"/>
      <c r="M70" s="447"/>
      <c r="N70" s="447"/>
      <c r="O70" s="447"/>
      <c r="P70" s="160">
        <f>SUM(P63:P69)</f>
        <v>58785.799999999996</v>
      </c>
    </row>
    <row r="71" spans="1:16">
      <c r="A71" s="206" t="s">
        <v>187</v>
      </c>
      <c r="B71" s="64">
        <f>SUM(B63:B69)</f>
        <v>26067815.470000003</v>
      </c>
      <c r="C71" s="64">
        <f>SUM(C63:C69)</f>
        <v>24585684.010000002</v>
      </c>
      <c r="D71" s="213">
        <f>C71/B71</f>
        <v>0.94314324260482418</v>
      </c>
      <c r="E71" s="64">
        <f>B71-C71</f>
        <v>1482131.4600000009</v>
      </c>
      <c r="K71" s="448" t="s">
        <v>250</v>
      </c>
      <c r="L71" s="448"/>
      <c r="M71" s="448"/>
      <c r="N71" s="448"/>
      <c r="O71" s="187">
        <f>C63+N56</f>
        <v>18864406.130000003</v>
      </c>
    </row>
    <row r="72" spans="1:16">
      <c r="K72" s="448" t="s">
        <v>251</v>
      </c>
      <c r="L72" s="448"/>
      <c r="M72" s="448"/>
      <c r="N72" s="448"/>
      <c r="O72" s="187">
        <f>N28-N22</f>
        <v>6066903.4699999988</v>
      </c>
    </row>
    <row r="73" spans="1:16">
      <c r="K73" s="448" t="s">
        <v>269</v>
      </c>
      <c r="L73" s="448"/>
      <c r="M73" s="448"/>
      <c r="N73" s="448"/>
      <c r="O73" s="187">
        <f>O71-O72</f>
        <v>12797502.660000004</v>
      </c>
    </row>
    <row r="75" spans="1:16">
      <c r="A75" s="460" t="s">
        <v>255</v>
      </c>
      <c r="B75" s="460"/>
      <c r="C75" s="275"/>
      <c r="D75" s="275"/>
      <c r="E75" s="275"/>
      <c r="K75" s="448" t="s">
        <v>252</v>
      </c>
      <c r="L75" s="448"/>
      <c r="M75" s="448"/>
      <c r="N75" s="448"/>
      <c r="O75" s="57">
        <f>O73/N20</f>
        <v>0.23464631822627766</v>
      </c>
    </row>
    <row r="77" spans="1:16">
      <c r="A77" s="62" t="s">
        <v>193</v>
      </c>
      <c r="B77" s="161">
        <f>N33</f>
        <v>5436273.29</v>
      </c>
    </row>
    <row r="78" spans="1:16">
      <c r="A78" s="62" t="s">
        <v>188</v>
      </c>
      <c r="B78" s="161">
        <f>B77*15%</f>
        <v>815440.99349999998</v>
      </c>
    </row>
    <row r="79" spans="1:16">
      <c r="A79" s="62" t="s">
        <v>189</v>
      </c>
      <c r="B79" s="161">
        <f>N54</f>
        <v>864860.84000000008</v>
      </c>
    </row>
    <row r="80" spans="1:16">
      <c r="A80" s="62" t="s">
        <v>190</v>
      </c>
      <c r="B80" s="43">
        <f>B79/B77</f>
        <v>0.15909075829408864</v>
      </c>
      <c r="K80" s="447" t="s">
        <v>275</v>
      </c>
      <c r="L80" s="447"/>
      <c r="M80" s="447"/>
      <c r="N80" s="447"/>
    </row>
    <row r="81" spans="1:15">
      <c r="A81" s="46" t="s">
        <v>191</v>
      </c>
      <c r="B81" s="175">
        <f>B78-B79</f>
        <v>-49419.846500000102</v>
      </c>
      <c r="K81" s="455" t="s">
        <v>370</v>
      </c>
      <c r="L81" s="455"/>
      <c r="M81" s="455"/>
      <c r="N81" s="185">
        <f>(N20/4)-N22</f>
        <v>4229122.6275000013</v>
      </c>
      <c r="O81" s="210"/>
    </row>
    <row r="82" spans="1:15">
      <c r="K82" s="448" t="s">
        <v>170</v>
      </c>
      <c r="L82" s="448"/>
      <c r="M82" s="448"/>
      <c r="N82" s="186">
        <f>N56</f>
        <v>4403604.1099999994</v>
      </c>
      <c r="O82" s="210"/>
    </row>
    <row r="83" spans="1:15">
      <c r="A83" s="62" t="s">
        <v>452</v>
      </c>
      <c r="B83" s="161">
        <v>5769222.8799999999</v>
      </c>
      <c r="K83" s="448" t="s">
        <v>276</v>
      </c>
      <c r="L83" s="448"/>
      <c r="M83" s="448"/>
      <c r="N83" s="151">
        <f>N81-N82</f>
        <v>-174481.48249999806</v>
      </c>
    </row>
    <row r="84" spans="1:15">
      <c r="A84" s="62" t="s">
        <v>192</v>
      </c>
      <c r="B84" s="161">
        <f>B83*15%</f>
        <v>865383.43199999991</v>
      </c>
      <c r="N84" s="65"/>
    </row>
    <row r="85" spans="1:15">
      <c r="A85" s="46" t="s">
        <v>254</v>
      </c>
      <c r="B85" s="162">
        <f>B84-B79</f>
        <v>522.59199999982957</v>
      </c>
    </row>
    <row r="86" spans="1:15" ht="15">
      <c r="N86" s="65"/>
      <c r="O86" s="170"/>
    </row>
    <row r="87" spans="1:15" ht="15">
      <c r="O87" s="150"/>
    </row>
    <row r="93" spans="1:15">
      <c r="H93" s="405"/>
    </row>
    <row r="94" spans="1:15">
      <c r="H94" s="405"/>
    </row>
    <row r="95" spans="1:15">
      <c r="H95" s="405"/>
      <c r="J95" s="405"/>
      <c r="K95" s="170"/>
    </row>
    <row r="97" spans="1:9">
      <c r="H97" s="65"/>
    </row>
    <row r="99" spans="1:9">
      <c r="H99" s="405"/>
      <c r="I99" s="170"/>
    </row>
    <row r="101" spans="1:9">
      <c r="A101" s="38" t="s">
        <v>463</v>
      </c>
      <c r="B101" s="150">
        <v>1800000</v>
      </c>
      <c r="H101" s="405"/>
      <c r="I101" s="170"/>
    </row>
    <row r="103" spans="1:9">
      <c r="A103" s="38" t="s">
        <v>464</v>
      </c>
      <c r="B103" s="150">
        <v>205000</v>
      </c>
    </row>
  </sheetData>
  <mergeCells count="25">
    <mergeCell ref="K80:N80"/>
    <mergeCell ref="K81:M81"/>
    <mergeCell ref="K82:M82"/>
    <mergeCell ref="K83:M83"/>
    <mergeCell ref="R1:S1"/>
    <mergeCell ref="R2:S2"/>
    <mergeCell ref="R16:S16"/>
    <mergeCell ref="A40:J40"/>
    <mergeCell ref="A1:P1"/>
    <mergeCell ref="A2:A3"/>
    <mergeCell ref="B67:B69"/>
    <mergeCell ref="E67:E69"/>
    <mergeCell ref="B2:O2"/>
    <mergeCell ref="K60:N60"/>
    <mergeCell ref="A75:B75"/>
    <mergeCell ref="K61:M61"/>
    <mergeCell ref="K63:M63"/>
    <mergeCell ref="K71:N71"/>
    <mergeCell ref="K72:N72"/>
    <mergeCell ref="K73:N73"/>
    <mergeCell ref="K70:O70"/>
    <mergeCell ref="K75:N75"/>
    <mergeCell ref="M66:N66"/>
    <mergeCell ref="K64:M64"/>
    <mergeCell ref="K62:M62"/>
  </mergeCells>
  <pageMargins left="0.511811024" right="0.511811024" top="0.78740157499999996" bottom="0.78740157499999996" header="0.31496062000000002" footer="0.31496062000000002"/>
  <pageSetup paperSize="9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P98"/>
  <sheetViews>
    <sheetView topLeftCell="B27" zoomScale="60" zoomScaleNormal="60" workbookViewId="0">
      <selection activeCell="M37" sqref="M37"/>
    </sheetView>
  </sheetViews>
  <sheetFormatPr defaultRowHeight="15.75"/>
  <cols>
    <col min="1" max="1" width="64" style="76" customWidth="1"/>
    <col min="2" max="2" width="24.5703125" style="76" customWidth="1"/>
    <col min="3" max="3" width="22.28515625" style="76" bestFit="1" customWidth="1"/>
    <col min="4" max="6" width="23.28515625" style="76" bestFit="1" customWidth="1"/>
    <col min="7" max="7" width="24" style="76" bestFit="1" customWidth="1"/>
    <col min="8" max="8" width="22.7109375" style="76" bestFit="1" customWidth="1"/>
    <col min="9" max="9" width="24" style="76" bestFit="1" customWidth="1"/>
    <col min="10" max="10" width="23.28515625" style="76" bestFit="1" customWidth="1"/>
    <col min="11" max="11" width="24.42578125" style="76" customWidth="1"/>
    <col min="12" max="12" width="22.7109375" style="76" bestFit="1" customWidth="1"/>
    <col min="13" max="13" width="24.42578125" style="76" bestFit="1" customWidth="1"/>
    <col min="14" max="14" width="27.7109375" style="76" customWidth="1"/>
    <col min="15" max="15" width="25.85546875" style="76" customWidth="1"/>
    <col min="16" max="16" width="21" style="76" customWidth="1"/>
    <col min="17" max="255" width="9.140625" style="76"/>
    <col min="256" max="256" width="33" style="76" customWidth="1"/>
    <col min="257" max="257" width="17.42578125" style="76" customWidth="1"/>
    <col min="258" max="258" width="17.140625" style="76" customWidth="1"/>
    <col min="259" max="259" width="16" style="76" customWidth="1"/>
    <col min="260" max="260" width="16.5703125" style="76" customWidth="1"/>
    <col min="261" max="261" width="16.28515625" style="76" customWidth="1"/>
    <col min="262" max="262" width="18.28515625" style="76" customWidth="1"/>
    <col min="263" max="263" width="17.42578125" style="76" customWidth="1"/>
    <col min="264" max="264" width="15.85546875" style="76" customWidth="1"/>
    <col min="265" max="265" width="17" style="76" customWidth="1"/>
    <col min="266" max="266" width="19.7109375" style="76" customWidth="1"/>
    <col min="267" max="267" width="17.28515625" style="76" customWidth="1"/>
    <col min="268" max="268" width="18.140625" style="76" customWidth="1"/>
    <col min="269" max="269" width="21.7109375" style="76" customWidth="1"/>
    <col min="270" max="270" width="0.42578125" style="76" customWidth="1"/>
    <col min="271" max="271" width="16.140625" style="76" bestFit="1" customWidth="1"/>
    <col min="272" max="272" width="11.5703125" style="76" bestFit="1" customWidth="1"/>
    <col min="273" max="511" width="9.140625" style="76"/>
    <col min="512" max="512" width="33" style="76" customWidth="1"/>
    <col min="513" max="513" width="17.42578125" style="76" customWidth="1"/>
    <col min="514" max="514" width="17.140625" style="76" customWidth="1"/>
    <col min="515" max="515" width="16" style="76" customWidth="1"/>
    <col min="516" max="516" width="16.5703125" style="76" customWidth="1"/>
    <col min="517" max="517" width="16.28515625" style="76" customWidth="1"/>
    <col min="518" max="518" width="18.28515625" style="76" customWidth="1"/>
    <col min="519" max="519" width="17.42578125" style="76" customWidth="1"/>
    <col min="520" max="520" width="15.85546875" style="76" customWidth="1"/>
    <col min="521" max="521" width="17" style="76" customWidth="1"/>
    <col min="522" max="522" width="19.7109375" style="76" customWidth="1"/>
    <col min="523" max="523" width="17.28515625" style="76" customWidth="1"/>
    <col min="524" max="524" width="18.140625" style="76" customWidth="1"/>
    <col min="525" max="525" width="21.7109375" style="76" customWidth="1"/>
    <col min="526" max="526" width="0.42578125" style="76" customWidth="1"/>
    <col min="527" max="527" width="16.140625" style="76" bestFit="1" customWidth="1"/>
    <col min="528" max="528" width="11.5703125" style="76" bestFit="1" customWidth="1"/>
    <col min="529" max="767" width="9.140625" style="76"/>
    <col min="768" max="768" width="33" style="76" customWidth="1"/>
    <col min="769" max="769" width="17.42578125" style="76" customWidth="1"/>
    <col min="770" max="770" width="17.140625" style="76" customWidth="1"/>
    <col min="771" max="771" width="16" style="76" customWidth="1"/>
    <col min="772" max="772" width="16.5703125" style="76" customWidth="1"/>
    <col min="773" max="773" width="16.28515625" style="76" customWidth="1"/>
    <col min="774" max="774" width="18.28515625" style="76" customWidth="1"/>
    <col min="775" max="775" width="17.42578125" style="76" customWidth="1"/>
    <col min="776" max="776" width="15.85546875" style="76" customWidth="1"/>
    <col min="777" max="777" width="17" style="76" customWidth="1"/>
    <col min="778" max="778" width="19.7109375" style="76" customWidth="1"/>
    <col min="779" max="779" width="17.28515625" style="76" customWidth="1"/>
    <col min="780" max="780" width="18.140625" style="76" customWidth="1"/>
    <col min="781" max="781" width="21.7109375" style="76" customWidth="1"/>
    <col min="782" max="782" width="0.42578125" style="76" customWidth="1"/>
    <col min="783" max="783" width="16.140625" style="76" bestFit="1" customWidth="1"/>
    <col min="784" max="784" width="11.5703125" style="76" bestFit="1" customWidth="1"/>
    <col min="785" max="1023" width="9.140625" style="76"/>
    <col min="1024" max="1024" width="33" style="76" customWidth="1"/>
    <col min="1025" max="1025" width="17.42578125" style="76" customWidth="1"/>
    <col min="1026" max="1026" width="17.140625" style="76" customWidth="1"/>
    <col min="1027" max="1027" width="16" style="76" customWidth="1"/>
    <col min="1028" max="1028" width="16.5703125" style="76" customWidth="1"/>
    <col min="1029" max="1029" width="16.28515625" style="76" customWidth="1"/>
    <col min="1030" max="1030" width="18.28515625" style="76" customWidth="1"/>
    <col min="1031" max="1031" width="17.42578125" style="76" customWidth="1"/>
    <col min="1032" max="1032" width="15.85546875" style="76" customWidth="1"/>
    <col min="1033" max="1033" width="17" style="76" customWidth="1"/>
    <col min="1034" max="1034" width="19.7109375" style="76" customWidth="1"/>
    <col min="1035" max="1035" width="17.28515625" style="76" customWidth="1"/>
    <col min="1036" max="1036" width="18.140625" style="76" customWidth="1"/>
    <col min="1037" max="1037" width="21.7109375" style="76" customWidth="1"/>
    <col min="1038" max="1038" width="0.42578125" style="76" customWidth="1"/>
    <col min="1039" max="1039" width="16.140625" style="76" bestFit="1" customWidth="1"/>
    <col min="1040" max="1040" width="11.5703125" style="76" bestFit="1" customWidth="1"/>
    <col min="1041" max="1279" width="9.140625" style="76"/>
    <col min="1280" max="1280" width="33" style="76" customWidth="1"/>
    <col min="1281" max="1281" width="17.42578125" style="76" customWidth="1"/>
    <col min="1282" max="1282" width="17.140625" style="76" customWidth="1"/>
    <col min="1283" max="1283" width="16" style="76" customWidth="1"/>
    <col min="1284" max="1284" width="16.5703125" style="76" customWidth="1"/>
    <col min="1285" max="1285" width="16.28515625" style="76" customWidth="1"/>
    <col min="1286" max="1286" width="18.28515625" style="76" customWidth="1"/>
    <col min="1287" max="1287" width="17.42578125" style="76" customWidth="1"/>
    <col min="1288" max="1288" width="15.85546875" style="76" customWidth="1"/>
    <col min="1289" max="1289" width="17" style="76" customWidth="1"/>
    <col min="1290" max="1290" width="19.7109375" style="76" customWidth="1"/>
    <col min="1291" max="1291" width="17.28515625" style="76" customWidth="1"/>
    <col min="1292" max="1292" width="18.140625" style="76" customWidth="1"/>
    <col min="1293" max="1293" width="21.7109375" style="76" customWidth="1"/>
    <col min="1294" max="1294" width="0.42578125" style="76" customWidth="1"/>
    <col min="1295" max="1295" width="16.140625" style="76" bestFit="1" customWidth="1"/>
    <col min="1296" max="1296" width="11.5703125" style="76" bestFit="1" customWidth="1"/>
    <col min="1297" max="1535" width="9.140625" style="76"/>
    <col min="1536" max="1536" width="33" style="76" customWidth="1"/>
    <col min="1537" max="1537" width="17.42578125" style="76" customWidth="1"/>
    <col min="1538" max="1538" width="17.140625" style="76" customWidth="1"/>
    <col min="1539" max="1539" width="16" style="76" customWidth="1"/>
    <col min="1540" max="1540" width="16.5703125" style="76" customWidth="1"/>
    <col min="1541" max="1541" width="16.28515625" style="76" customWidth="1"/>
    <col min="1542" max="1542" width="18.28515625" style="76" customWidth="1"/>
    <col min="1543" max="1543" width="17.42578125" style="76" customWidth="1"/>
    <col min="1544" max="1544" width="15.85546875" style="76" customWidth="1"/>
    <col min="1545" max="1545" width="17" style="76" customWidth="1"/>
    <col min="1546" max="1546" width="19.7109375" style="76" customWidth="1"/>
    <col min="1547" max="1547" width="17.28515625" style="76" customWidth="1"/>
    <col min="1548" max="1548" width="18.140625" style="76" customWidth="1"/>
    <col min="1549" max="1549" width="21.7109375" style="76" customWidth="1"/>
    <col min="1550" max="1550" width="0.42578125" style="76" customWidth="1"/>
    <col min="1551" max="1551" width="16.140625" style="76" bestFit="1" customWidth="1"/>
    <col min="1552" max="1552" width="11.5703125" style="76" bestFit="1" customWidth="1"/>
    <col min="1553" max="1791" width="9.140625" style="76"/>
    <col min="1792" max="1792" width="33" style="76" customWidth="1"/>
    <col min="1793" max="1793" width="17.42578125" style="76" customWidth="1"/>
    <col min="1794" max="1794" width="17.140625" style="76" customWidth="1"/>
    <col min="1795" max="1795" width="16" style="76" customWidth="1"/>
    <col min="1796" max="1796" width="16.5703125" style="76" customWidth="1"/>
    <col min="1797" max="1797" width="16.28515625" style="76" customWidth="1"/>
    <col min="1798" max="1798" width="18.28515625" style="76" customWidth="1"/>
    <col min="1799" max="1799" width="17.42578125" style="76" customWidth="1"/>
    <col min="1800" max="1800" width="15.85546875" style="76" customWidth="1"/>
    <col min="1801" max="1801" width="17" style="76" customWidth="1"/>
    <col min="1802" max="1802" width="19.7109375" style="76" customWidth="1"/>
    <col min="1803" max="1803" width="17.28515625" style="76" customWidth="1"/>
    <col min="1804" max="1804" width="18.140625" style="76" customWidth="1"/>
    <col min="1805" max="1805" width="21.7109375" style="76" customWidth="1"/>
    <col min="1806" max="1806" width="0.42578125" style="76" customWidth="1"/>
    <col min="1807" max="1807" width="16.140625" style="76" bestFit="1" customWidth="1"/>
    <col min="1808" max="1808" width="11.5703125" style="76" bestFit="1" customWidth="1"/>
    <col min="1809" max="2047" width="9.140625" style="76"/>
    <col min="2048" max="2048" width="33" style="76" customWidth="1"/>
    <col min="2049" max="2049" width="17.42578125" style="76" customWidth="1"/>
    <col min="2050" max="2050" width="17.140625" style="76" customWidth="1"/>
    <col min="2051" max="2051" width="16" style="76" customWidth="1"/>
    <col min="2052" max="2052" width="16.5703125" style="76" customWidth="1"/>
    <col min="2053" max="2053" width="16.28515625" style="76" customWidth="1"/>
    <col min="2054" max="2054" width="18.28515625" style="76" customWidth="1"/>
    <col min="2055" max="2055" width="17.42578125" style="76" customWidth="1"/>
    <col min="2056" max="2056" width="15.85546875" style="76" customWidth="1"/>
    <col min="2057" max="2057" width="17" style="76" customWidth="1"/>
    <col min="2058" max="2058" width="19.7109375" style="76" customWidth="1"/>
    <col min="2059" max="2059" width="17.28515625" style="76" customWidth="1"/>
    <col min="2060" max="2060" width="18.140625" style="76" customWidth="1"/>
    <col min="2061" max="2061" width="21.7109375" style="76" customWidth="1"/>
    <col min="2062" max="2062" width="0.42578125" style="76" customWidth="1"/>
    <col min="2063" max="2063" width="16.140625" style="76" bestFit="1" customWidth="1"/>
    <col min="2064" max="2064" width="11.5703125" style="76" bestFit="1" customWidth="1"/>
    <col min="2065" max="2303" width="9.140625" style="76"/>
    <col min="2304" max="2304" width="33" style="76" customWidth="1"/>
    <col min="2305" max="2305" width="17.42578125" style="76" customWidth="1"/>
    <col min="2306" max="2306" width="17.140625" style="76" customWidth="1"/>
    <col min="2307" max="2307" width="16" style="76" customWidth="1"/>
    <col min="2308" max="2308" width="16.5703125" style="76" customWidth="1"/>
    <col min="2309" max="2309" width="16.28515625" style="76" customWidth="1"/>
    <col min="2310" max="2310" width="18.28515625" style="76" customWidth="1"/>
    <col min="2311" max="2311" width="17.42578125" style="76" customWidth="1"/>
    <col min="2312" max="2312" width="15.85546875" style="76" customWidth="1"/>
    <col min="2313" max="2313" width="17" style="76" customWidth="1"/>
    <col min="2314" max="2314" width="19.7109375" style="76" customWidth="1"/>
    <col min="2315" max="2315" width="17.28515625" style="76" customWidth="1"/>
    <col min="2316" max="2316" width="18.140625" style="76" customWidth="1"/>
    <col min="2317" max="2317" width="21.7109375" style="76" customWidth="1"/>
    <col min="2318" max="2318" width="0.42578125" style="76" customWidth="1"/>
    <col min="2319" max="2319" width="16.140625" style="76" bestFit="1" customWidth="1"/>
    <col min="2320" max="2320" width="11.5703125" style="76" bestFit="1" customWidth="1"/>
    <col min="2321" max="2559" width="9.140625" style="76"/>
    <col min="2560" max="2560" width="33" style="76" customWidth="1"/>
    <col min="2561" max="2561" width="17.42578125" style="76" customWidth="1"/>
    <col min="2562" max="2562" width="17.140625" style="76" customWidth="1"/>
    <col min="2563" max="2563" width="16" style="76" customWidth="1"/>
    <col min="2564" max="2564" width="16.5703125" style="76" customWidth="1"/>
    <col min="2565" max="2565" width="16.28515625" style="76" customWidth="1"/>
    <col min="2566" max="2566" width="18.28515625" style="76" customWidth="1"/>
    <col min="2567" max="2567" width="17.42578125" style="76" customWidth="1"/>
    <col min="2568" max="2568" width="15.85546875" style="76" customWidth="1"/>
    <col min="2569" max="2569" width="17" style="76" customWidth="1"/>
    <col min="2570" max="2570" width="19.7109375" style="76" customWidth="1"/>
    <col min="2571" max="2571" width="17.28515625" style="76" customWidth="1"/>
    <col min="2572" max="2572" width="18.140625" style="76" customWidth="1"/>
    <col min="2573" max="2573" width="21.7109375" style="76" customWidth="1"/>
    <col min="2574" max="2574" width="0.42578125" style="76" customWidth="1"/>
    <col min="2575" max="2575" width="16.140625" style="76" bestFit="1" customWidth="1"/>
    <col min="2576" max="2576" width="11.5703125" style="76" bestFit="1" customWidth="1"/>
    <col min="2577" max="2815" width="9.140625" style="76"/>
    <col min="2816" max="2816" width="33" style="76" customWidth="1"/>
    <col min="2817" max="2817" width="17.42578125" style="76" customWidth="1"/>
    <col min="2818" max="2818" width="17.140625" style="76" customWidth="1"/>
    <col min="2819" max="2819" width="16" style="76" customWidth="1"/>
    <col min="2820" max="2820" width="16.5703125" style="76" customWidth="1"/>
    <col min="2821" max="2821" width="16.28515625" style="76" customWidth="1"/>
    <col min="2822" max="2822" width="18.28515625" style="76" customWidth="1"/>
    <col min="2823" max="2823" width="17.42578125" style="76" customWidth="1"/>
    <col min="2824" max="2824" width="15.85546875" style="76" customWidth="1"/>
    <col min="2825" max="2825" width="17" style="76" customWidth="1"/>
    <col min="2826" max="2826" width="19.7109375" style="76" customWidth="1"/>
    <col min="2827" max="2827" width="17.28515625" style="76" customWidth="1"/>
    <col min="2828" max="2828" width="18.140625" style="76" customWidth="1"/>
    <col min="2829" max="2829" width="21.7109375" style="76" customWidth="1"/>
    <col min="2830" max="2830" width="0.42578125" style="76" customWidth="1"/>
    <col min="2831" max="2831" width="16.140625" style="76" bestFit="1" customWidth="1"/>
    <col min="2832" max="2832" width="11.5703125" style="76" bestFit="1" customWidth="1"/>
    <col min="2833" max="3071" width="9.140625" style="76"/>
    <col min="3072" max="3072" width="33" style="76" customWidth="1"/>
    <col min="3073" max="3073" width="17.42578125" style="76" customWidth="1"/>
    <col min="3074" max="3074" width="17.140625" style="76" customWidth="1"/>
    <col min="3075" max="3075" width="16" style="76" customWidth="1"/>
    <col min="3076" max="3076" width="16.5703125" style="76" customWidth="1"/>
    <col min="3077" max="3077" width="16.28515625" style="76" customWidth="1"/>
    <col min="3078" max="3078" width="18.28515625" style="76" customWidth="1"/>
    <col min="3079" max="3079" width="17.42578125" style="76" customWidth="1"/>
    <col min="3080" max="3080" width="15.85546875" style="76" customWidth="1"/>
    <col min="3081" max="3081" width="17" style="76" customWidth="1"/>
    <col min="3082" max="3082" width="19.7109375" style="76" customWidth="1"/>
    <col min="3083" max="3083" width="17.28515625" style="76" customWidth="1"/>
    <col min="3084" max="3084" width="18.140625" style="76" customWidth="1"/>
    <col min="3085" max="3085" width="21.7109375" style="76" customWidth="1"/>
    <col min="3086" max="3086" width="0.42578125" style="76" customWidth="1"/>
    <col min="3087" max="3087" width="16.140625" style="76" bestFit="1" customWidth="1"/>
    <col min="3088" max="3088" width="11.5703125" style="76" bestFit="1" customWidth="1"/>
    <col min="3089" max="3327" width="9.140625" style="76"/>
    <col min="3328" max="3328" width="33" style="76" customWidth="1"/>
    <col min="3329" max="3329" width="17.42578125" style="76" customWidth="1"/>
    <col min="3330" max="3330" width="17.140625" style="76" customWidth="1"/>
    <col min="3331" max="3331" width="16" style="76" customWidth="1"/>
    <col min="3332" max="3332" width="16.5703125" style="76" customWidth="1"/>
    <col min="3333" max="3333" width="16.28515625" style="76" customWidth="1"/>
    <col min="3334" max="3334" width="18.28515625" style="76" customWidth="1"/>
    <col min="3335" max="3335" width="17.42578125" style="76" customWidth="1"/>
    <col min="3336" max="3336" width="15.85546875" style="76" customWidth="1"/>
    <col min="3337" max="3337" width="17" style="76" customWidth="1"/>
    <col min="3338" max="3338" width="19.7109375" style="76" customWidth="1"/>
    <col min="3339" max="3339" width="17.28515625" style="76" customWidth="1"/>
    <col min="3340" max="3340" width="18.140625" style="76" customWidth="1"/>
    <col min="3341" max="3341" width="21.7109375" style="76" customWidth="1"/>
    <col min="3342" max="3342" width="0.42578125" style="76" customWidth="1"/>
    <col min="3343" max="3343" width="16.140625" style="76" bestFit="1" customWidth="1"/>
    <col min="3344" max="3344" width="11.5703125" style="76" bestFit="1" customWidth="1"/>
    <col min="3345" max="3583" width="9.140625" style="76"/>
    <col min="3584" max="3584" width="33" style="76" customWidth="1"/>
    <col min="3585" max="3585" width="17.42578125" style="76" customWidth="1"/>
    <col min="3586" max="3586" width="17.140625" style="76" customWidth="1"/>
    <col min="3587" max="3587" width="16" style="76" customWidth="1"/>
    <col min="3588" max="3588" width="16.5703125" style="76" customWidth="1"/>
    <col min="3589" max="3589" width="16.28515625" style="76" customWidth="1"/>
    <col min="3590" max="3590" width="18.28515625" style="76" customWidth="1"/>
    <col min="3591" max="3591" width="17.42578125" style="76" customWidth="1"/>
    <col min="3592" max="3592" width="15.85546875" style="76" customWidth="1"/>
    <col min="3593" max="3593" width="17" style="76" customWidth="1"/>
    <col min="3594" max="3594" width="19.7109375" style="76" customWidth="1"/>
    <col min="3595" max="3595" width="17.28515625" style="76" customWidth="1"/>
    <col min="3596" max="3596" width="18.140625" style="76" customWidth="1"/>
    <col min="3597" max="3597" width="21.7109375" style="76" customWidth="1"/>
    <col min="3598" max="3598" width="0.42578125" style="76" customWidth="1"/>
    <col min="3599" max="3599" width="16.140625" style="76" bestFit="1" customWidth="1"/>
    <col min="3600" max="3600" width="11.5703125" style="76" bestFit="1" customWidth="1"/>
    <col min="3601" max="3839" width="9.140625" style="76"/>
    <col min="3840" max="3840" width="33" style="76" customWidth="1"/>
    <col min="3841" max="3841" width="17.42578125" style="76" customWidth="1"/>
    <col min="3842" max="3842" width="17.140625" style="76" customWidth="1"/>
    <col min="3843" max="3843" width="16" style="76" customWidth="1"/>
    <col min="3844" max="3844" width="16.5703125" style="76" customWidth="1"/>
    <col min="3845" max="3845" width="16.28515625" style="76" customWidth="1"/>
    <col min="3846" max="3846" width="18.28515625" style="76" customWidth="1"/>
    <col min="3847" max="3847" width="17.42578125" style="76" customWidth="1"/>
    <col min="3848" max="3848" width="15.85546875" style="76" customWidth="1"/>
    <col min="3849" max="3849" width="17" style="76" customWidth="1"/>
    <col min="3850" max="3850" width="19.7109375" style="76" customWidth="1"/>
    <col min="3851" max="3851" width="17.28515625" style="76" customWidth="1"/>
    <col min="3852" max="3852" width="18.140625" style="76" customWidth="1"/>
    <col min="3853" max="3853" width="21.7109375" style="76" customWidth="1"/>
    <col min="3854" max="3854" width="0.42578125" style="76" customWidth="1"/>
    <col min="3855" max="3855" width="16.140625" style="76" bestFit="1" customWidth="1"/>
    <col min="3856" max="3856" width="11.5703125" style="76" bestFit="1" customWidth="1"/>
    <col min="3857" max="4095" width="9.140625" style="76"/>
    <col min="4096" max="4096" width="33" style="76" customWidth="1"/>
    <col min="4097" max="4097" width="17.42578125" style="76" customWidth="1"/>
    <col min="4098" max="4098" width="17.140625" style="76" customWidth="1"/>
    <col min="4099" max="4099" width="16" style="76" customWidth="1"/>
    <col min="4100" max="4100" width="16.5703125" style="76" customWidth="1"/>
    <col min="4101" max="4101" width="16.28515625" style="76" customWidth="1"/>
    <col min="4102" max="4102" width="18.28515625" style="76" customWidth="1"/>
    <col min="4103" max="4103" width="17.42578125" style="76" customWidth="1"/>
    <col min="4104" max="4104" width="15.85546875" style="76" customWidth="1"/>
    <col min="4105" max="4105" width="17" style="76" customWidth="1"/>
    <col min="4106" max="4106" width="19.7109375" style="76" customWidth="1"/>
    <col min="4107" max="4107" width="17.28515625" style="76" customWidth="1"/>
    <col min="4108" max="4108" width="18.140625" style="76" customWidth="1"/>
    <col min="4109" max="4109" width="21.7109375" style="76" customWidth="1"/>
    <col min="4110" max="4110" width="0.42578125" style="76" customWidth="1"/>
    <col min="4111" max="4111" width="16.140625" style="76" bestFit="1" customWidth="1"/>
    <col min="4112" max="4112" width="11.5703125" style="76" bestFit="1" customWidth="1"/>
    <col min="4113" max="4351" width="9.140625" style="76"/>
    <col min="4352" max="4352" width="33" style="76" customWidth="1"/>
    <col min="4353" max="4353" width="17.42578125" style="76" customWidth="1"/>
    <col min="4354" max="4354" width="17.140625" style="76" customWidth="1"/>
    <col min="4355" max="4355" width="16" style="76" customWidth="1"/>
    <col min="4356" max="4356" width="16.5703125" style="76" customWidth="1"/>
    <col min="4357" max="4357" width="16.28515625" style="76" customWidth="1"/>
    <col min="4358" max="4358" width="18.28515625" style="76" customWidth="1"/>
    <col min="4359" max="4359" width="17.42578125" style="76" customWidth="1"/>
    <col min="4360" max="4360" width="15.85546875" style="76" customWidth="1"/>
    <col min="4361" max="4361" width="17" style="76" customWidth="1"/>
    <col min="4362" max="4362" width="19.7109375" style="76" customWidth="1"/>
    <col min="4363" max="4363" width="17.28515625" style="76" customWidth="1"/>
    <col min="4364" max="4364" width="18.140625" style="76" customWidth="1"/>
    <col min="4365" max="4365" width="21.7109375" style="76" customWidth="1"/>
    <col min="4366" max="4366" width="0.42578125" style="76" customWidth="1"/>
    <col min="4367" max="4367" width="16.140625" style="76" bestFit="1" customWidth="1"/>
    <col min="4368" max="4368" width="11.5703125" style="76" bestFit="1" customWidth="1"/>
    <col min="4369" max="4607" width="9.140625" style="76"/>
    <col min="4608" max="4608" width="33" style="76" customWidth="1"/>
    <col min="4609" max="4609" width="17.42578125" style="76" customWidth="1"/>
    <col min="4610" max="4610" width="17.140625" style="76" customWidth="1"/>
    <col min="4611" max="4611" width="16" style="76" customWidth="1"/>
    <col min="4612" max="4612" width="16.5703125" style="76" customWidth="1"/>
    <col min="4613" max="4613" width="16.28515625" style="76" customWidth="1"/>
    <col min="4614" max="4614" width="18.28515625" style="76" customWidth="1"/>
    <col min="4615" max="4615" width="17.42578125" style="76" customWidth="1"/>
    <col min="4616" max="4616" width="15.85546875" style="76" customWidth="1"/>
    <col min="4617" max="4617" width="17" style="76" customWidth="1"/>
    <col min="4618" max="4618" width="19.7109375" style="76" customWidth="1"/>
    <col min="4619" max="4619" width="17.28515625" style="76" customWidth="1"/>
    <col min="4620" max="4620" width="18.140625" style="76" customWidth="1"/>
    <col min="4621" max="4621" width="21.7109375" style="76" customWidth="1"/>
    <col min="4622" max="4622" width="0.42578125" style="76" customWidth="1"/>
    <col min="4623" max="4623" width="16.140625" style="76" bestFit="1" customWidth="1"/>
    <col min="4624" max="4624" width="11.5703125" style="76" bestFit="1" customWidth="1"/>
    <col min="4625" max="4863" width="9.140625" style="76"/>
    <col min="4864" max="4864" width="33" style="76" customWidth="1"/>
    <col min="4865" max="4865" width="17.42578125" style="76" customWidth="1"/>
    <col min="4866" max="4866" width="17.140625" style="76" customWidth="1"/>
    <col min="4867" max="4867" width="16" style="76" customWidth="1"/>
    <col min="4868" max="4868" width="16.5703125" style="76" customWidth="1"/>
    <col min="4869" max="4869" width="16.28515625" style="76" customWidth="1"/>
    <col min="4870" max="4870" width="18.28515625" style="76" customWidth="1"/>
    <col min="4871" max="4871" width="17.42578125" style="76" customWidth="1"/>
    <col min="4872" max="4872" width="15.85546875" style="76" customWidth="1"/>
    <col min="4873" max="4873" width="17" style="76" customWidth="1"/>
    <col min="4874" max="4874" width="19.7109375" style="76" customWidth="1"/>
    <col min="4875" max="4875" width="17.28515625" style="76" customWidth="1"/>
    <col min="4876" max="4876" width="18.140625" style="76" customWidth="1"/>
    <col min="4877" max="4877" width="21.7109375" style="76" customWidth="1"/>
    <col min="4878" max="4878" width="0.42578125" style="76" customWidth="1"/>
    <col min="4879" max="4879" width="16.140625" style="76" bestFit="1" customWidth="1"/>
    <col min="4880" max="4880" width="11.5703125" style="76" bestFit="1" customWidth="1"/>
    <col min="4881" max="5119" width="9.140625" style="76"/>
    <col min="5120" max="5120" width="33" style="76" customWidth="1"/>
    <col min="5121" max="5121" width="17.42578125" style="76" customWidth="1"/>
    <col min="5122" max="5122" width="17.140625" style="76" customWidth="1"/>
    <col min="5123" max="5123" width="16" style="76" customWidth="1"/>
    <col min="5124" max="5124" width="16.5703125" style="76" customWidth="1"/>
    <col min="5125" max="5125" width="16.28515625" style="76" customWidth="1"/>
    <col min="5126" max="5126" width="18.28515625" style="76" customWidth="1"/>
    <col min="5127" max="5127" width="17.42578125" style="76" customWidth="1"/>
    <col min="5128" max="5128" width="15.85546875" style="76" customWidth="1"/>
    <col min="5129" max="5129" width="17" style="76" customWidth="1"/>
    <col min="5130" max="5130" width="19.7109375" style="76" customWidth="1"/>
    <col min="5131" max="5131" width="17.28515625" style="76" customWidth="1"/>
    <col min="5132" max="5132" width="18.140625" style="76" customWidth="1"/>
    <col min="5133" max="5133" width="21.7109375" style="76" customWidth="1"/>
    <col min="5134" max="5134" width="0.42578125" style="76" customWidth="1"/>
    <col min="5135" max="5135" width="16.140625" style="76" bestFit="1" customWidth="1"/>
    <col min="5136" max="5136" width="11.5703125" style="76" bestFit="1" customWidth="1"/>
    <col min="5137" max="5375" width="9.140625" style="76"/>
    <col min="5376" max="5376" width="33" style="76" customWidth="1"/>
    <col min="5377" max="5377" width="17.42578125" style="76" customWidth="1"/>
    <col min="5378" max="5378" width="17.140625" style="76" customWidth="1"/>
    <col min="5379" max="5379" width="16" style="76" customWidth="1"/>
    <col min="5380" max="5380" width="16.5703125" style="76" customWidth="1"/>
    <col min="5381" max="5381" width="16.28515625" style="76" customWidth="1"/>
    <col min="5382" max="5382" width="18.28515625" style="76" customWidth="1"/>
    <col min="5383" max="5383" width="17.42578125" style="76" customWidth="1"/>
    <col min="5384" max="5384" width="15.85546875" style="76" customWidth="1"/>
    <col min="5385" max="5385" width="17" style="76" customWidth="1"/>
    <col min="5386" max="5386" width="19.7109375" style="76" customWidth="1"/>
    <col min="5387" max="5387" width="17.28515625" style="76" customWidth="1"/>
    <col min="5388" max="5388" width="18.140625" style="76" customWidth="1"/>
    <col min="5389" max="5389" width="21.7109375" style="76" customWidth="1"/>
    <col min="5390" max="5390" width="0.42578125" style="76" customWidth="1"/>
    <col min="5391" max="5391" width="16.140625" style="76" bestFit="1" customWidth="1"/>
    <col min="5392" max="5392" width="11.5703125" style="76" bestFit="1" customWidth="1"/>
    <col min="5393" max="5631" width="9.140625" style="76"/>
    <col min="5632" max="5632" width="33" style="76" customWidth="1"/>
    <col min="5633" max="5633" width="17.42578125" style="76" customWidth="1"/>
    <col min="5634" max="5634" width="17.140625" style="76" customWidth="1"/>
    <col min="5635" max="5635" width="16" style="76" customWidth="1"/>
    <col min="5636" max="5636" width="16.5703125" style="76" customWidth="1"/>
    <col min="5637" max="5637" width="16.28515625" style="76" customWidth="1"/>
    <col min="5638" max="5638" width="18.28515625" style="76" customWidth="1"/>
    <col min="5639" max="5639" width="17.42578125" style="76" customWidth="1"/>
    <col min="5640" max="5640" width="15.85546875" style="76" customWidth="1"/>
    <col min="5641" max="5641" width="17" style="76" customWidth="1"/>
    <col min="5642" max="5642" width="19.7109375" style="76" customWidth="1"/>
    <col min="5643" max="5643" width="17.28515625" style="76" customWidth="1"/>
    <col min="5644" max="5644" width="18.140625" style="76" customWidth="1"/>
    <col min="5645" max="5645" width="21.7109375" style="76" customWidth="1"/>
    <col min="5646" max="5646" width="0.42578125" style="76" customWidth="1"/>
    <col min="5647" max="5647" width="16.140625" style="76" bestFit="1" customWidth="1"/>
    <col min="5648" max="5648" width="11.5703125" style="76" bestFit="1" customWidth="1"/>
    <col min="5649" max="5887" width="9.140625" style="76"/>
    <col min="5888" max="5888" width="33" style="76" customWidth="1"/>
    <col min="5889" max="5889" width="17.42578125" style="76" customWidth="1"/>
    <col min="5890" max="5890" width="17.140625" style="76" customWidth="1"/>
    <col min="5891" max="5891" width="16" style="76" customWidth="1"/>
    <col min="5892" max="5892" width="16.5703125" style="76" customWidth="1"/>
    <col min="5893" max="5893" width="16.28515625" style="76" customWidth="1"/>
    <col min="5894" max="5894" width="18.28515625" style="76" customWidth="1"/>
    <col min="5895" max="5895" width="17.42578125" style="76" customWidth="1"/>
    <col min="5896" max="5896" width="15.85546875" style="76" customWidth="1"/>
    <col min="5897" max="5897" width="17" style="76" customWidth="1"/>
    <col min="5898" max="5898" width="19.7109375" style="76" customWidth="1"/>
    <col min="5899" max="5899" width="17.28515625" style="76" customWidth="1"/>
    <col min="5900" max="5900" width="18.140625" style="76" customWidth="1"/>
    <col min="5901" max="5901" width="21.7109375" style="76" customWidth="1"/>
    <col min="5902" max="5902" width="0.42578125" style="76" customWidth="1"/>
    <col min="5903" max="5903" width="16.140625" style="76" bestFit="1" customWidth="1"/>
    <col min="5904" max="5904" width="11.5703125" style="76" bestFit="1" customWidth="1"/>
    <col min="5905" max="6143" width="9.140625" style="76"/>
    <col min="6144" max="6144" width="33" style="76" customWidth="1"/>
    <col min="6145" max="6145" width="17.42578125" style="76" customWidth="1"/>
    <col min="6146" max="6146" width="17.140625" style="76" customWidth="1"/>
    <col min="6147" max="6147" width="16" style="76" customWidth="1"/>
    <col min="6148" max="6148" width="16.5703125" style="76" customWidth="1"/>
    <col min="6149" max="6149" width="16.28515625" style="76" customWidth="1"/>
    <col min="6150" max="6150" width="18.28515625" style="76" customWidth="1"/>
    <col min="6151" max="6151" width="17.42578125" style="76" customWidth="1"/>
    <col min="6152" max="6152" width="15.85546875" style="76" customWidth="1"/>
    <col min="6153" max="6153" width="17" style="76" customWidth="1"/>
    <col min="6154" max="6154" width="19.7109375" style="76" customWidth="1"/>
    <col min="6155" max="6155" width="17.28515625" style="76" customWidth="1"/>
    <col min="6156" max="6156" width="18.140625" style="76" customWidth="1"/>
    <col min="6157" max="6157" width="21.7109375" style="76" customWidth="1"/>
    <col min="6158" max="6158" width="0.42578125" style="76" customWidth="1"/>
    <col min="6159" max="6159" width="16.140625" style="76" bestFit="1" customWidth="1"/>
    <col min="6160" max="6160" width="11.5703125" style="76" bestFit="1" customWidth="1"/>
    <col min="6161" max="6399" width="9.140625" style="76"/>
    <col min="6400" max="6400" width="33" style="76" customWidth="1"/>
    <col min="6401" max="6401" width="17.42578125" style="76" customWidth="1"/>
    <col min="6402" max="6402" width="17.140625" style="76" customWidth="1"/>
    <col min="6403" max="6403" width="16" style="76" customWidth="1"/>
    <col min="6404" max="6404" width="16.5703125" style="76" customWidth="1"/>
    <col min="6405" max="6405" width="16.28515625" style="76" customWidth="1"/>
    <col min="6406" max="6406" width="18.28515625" style="76" customWidth="1"/>
    <col min="6407" max="6407" width="17.42578125" style="76" customWidth="1"/>
    <col min="6408" max="6408" width="15.85546875" style="76" customWidth="1"/>
    <col min="6409" max="6409" width="17" style="76" customWidth="1"/>
    <col min="6410" max="6410" width="19.7109375" style="76" customWidth="1"/>
    <col min="6411" max="6411" width="17.28515625" style="76" customWidth="1"/>
    <col min="6412" max="6412" width="18.140625" style="76" customWidth="1"/>
    <col min="6413" max="6413" width="21.7109375" style="76" customWidth="1"/>
    <col min="6414" max="6414" width="0.42578125" style="76" customWidth="1"/>
    <col min="6415" max="6415" width="16.140625" style="76" bestFit="1" customWidth="1"/>
    <col min="6416" max="6416" width="11.5703125" style="76" bestFit="1" customWidth="1"/>
    <col min="6417" max="6655" width="9.140625" style="76"/>
    <col min="6656" max="6656" width="33" style="76" customWidth="1"/>
    <col min="6657" max="6657" width="17.42578125" style="76" customWidth="1"/>
    <col min="6658" max="6658" width="17.140625" style="76" customWidth="1"/>
    <col min="6659" max="6659" width="16" style="76" customWidth="1"/>
    <col min="6660" max="6660" width="16.5703125" style="76" customWidth="1"/>
    <col min="6661" max="6661" width="16.28515625" style="76" customWidth="1"/>
    <col min="6662" max="6662" width="18.28515625" style="76" customWidth="1"/>
    <col min="6663" max="6663" width="17.42578125" style="76" customWidth="1"/>
    <col min="6664" max="6664" width="15.85546875" style="76" customWidth="1"/>
    <col min="6665" max="6665" width="17" style="76" customWidth="1"/>
    <col min="6666" max="6666" width="19.7109375" style="76" customWidth="1"/>
    <col min="6667" max="6667" width="17.28515625" style="76" customWidth="1"/>
    <col min="6668" max="6668" width="18.140625" style="76" customWidth="1"/>
    <col min="6669" max="6669" width="21.7109375" style="76" customWidth="1"/>
    <col min="6670" max="6670" width="0.42578125" style="76" customWidth="1"/>
    <col min="6671" max="6671" width="16.140625" style="76" bestFit="1" customWidth="1"/>
    <col min="6672" max="6672" width="11.5703125" style="76" bestFit="1" customWidth="1"/>
    <col min="6673" max="6911" width="9.140625" style="76"/>
    <col min="6912" max="6912" width="33" style="76" customWidth="1"/>
    <col min="6913" max="6913" width="17.42578125" style="76" customWidth="1"/>
    <col min="6914" max="6914" width="17.140625" style="76" customWidth="1"/>
    <col min="6915" max="6915" width="16" style="76" customWidth="1"/>
    <col min="6916" max="6916" width="16.5703125" style="76" customWidth="1"/>
    <col min="6917" max="6917" width="16.28515625" style="76" customWidth="1"/>
    <col min="6918" max="6918" width="18.28515625" style="76" customWidth="1"/>
    <col min="6919" max="6919" width="17.42578125" style="76" customWidth="1"/>
    <col min="6920" max="6920" width="15.85546875" style="76" customWidth="1"/>
    <col min="6921" max="6921" width="17" style="76" customWidth="1"/>
    <col min="6922" max="6922" width="19.7109375" style="76" customWidth="1"/>
    <col min="6923" max="6923" width="17.28515625" style="76" customWidth="1"/>
    <col min="6924" max="6924" width="18.140625" style="76" customWidth="1"/>
    <col min="6925" max="6925" width="21.7109375" style="76" customWidth="1"/>
    <col min="6926" max="6926" width="0.42578125" style="76" customWidth="1"/>
    <col min="6927" max="6927" width="16.140625" style="76" bestFit="1" customWidth="1"/>
    <col min="6928" max="6928" width="11.5703125" style="76" bestFit="1" customWidth="1"/>
    <col min="6929" max="7167" width="9.140625" style="76"/>
    <col min="7168" max="7168" width="33" style="76" customWidth="1"/>
    <col min="7169" max="7169" width="17.42578125" style="76" customWidth="1"/>
    <col min="7170" max="7170" width="17.140625" style="76" customWidth="1"/>
    <col min="7171" max="7171" width="16" style="76" customWidth="1"/>
    <col min="7172" max="7172" width="16.5703125" style="76" customWidth="1"/>
    <col min="7173" max="7173" width="16.28515625" style="76" customWidth="1"/>
    <col min="7174" max="7174" width="18.28515625" style="76" customWidth="1"/>
    <col min="7175" max="7175" width="17.42578125" style="76" customWidth="1"/>
    <col min="7176" max="7176" width="15.85546875" style="76" customWidth="1"/>
    <col min="7177" max="7177" width="17" style="76" customWidth="1"/>
    <col min="7178" max="7178" width="19.7109375" style="76" customWidth="1"/>
    <col min="7179" max="7179" width="17.28515625" style="76" customWidth="1"/>
    <col min="7180" max="7180" width="18.140625" style="76" customWidth="1"/>
    <col min="7181" max="7181" width="21.7109375" style="76" customWidth="1"/>
    <col min="7182" max="7182" width="0.42578125" style="76" customWidth="1"/>
    <col min="7183" max="7183" width="16.140625" style="76" bestFit="1" customWidth="1"/>
    <col min="7184" max="7184" width="11.5703125" style="76" bestFit="1" customWidth="1"/>
    <col min="7185" max="7423" width="9.140625" style="76"/>
    <col min="7424" max="7424" width="33" style="76" customWidth="1"/>
    <col min="7425" max="7425" width="17.42578125" style="76" customWidth="1"/>
    <col min="7426" max="7426" width="17.140625" style="76" customWidth="1"/>
    <col min="7427" max="7427" width="16" style="76" customWidth="1"/>
    <col min="7428" max="7428" width="16.5703125" style="76" customWidth="1"/>
    <col min="7429" max="7429" width="16.28515625" style="76" customWidth="1"/>
    <col min="7430" max="7430" width="18.28515625" style="76" customWidth="1"/>
    <col min="7431" max="7431" width="17.42578125" style="76" customWidth="1"/>
    <col min="7432" max="7432" width="15.85546875" style="76" customWidth="1"/>
    <col min="7433" max="7433" width="17" style="76" customWidth="1"/>
    <col min="7434" max="7434" width="19.7109375" style="76" customWidth="1"/>
    <col min="7435" max="7435" width="17.28515625" style="76" customWidth="1"/>
    <col min="7436" max="7436" width="18.140625" style="76" customWidth="1"/>
    <col min="7437" max="7437" width="21.7109375" style="76" customWidth="1"/>
    <col min="7438" max="7438" width="0.42578125" style="76" customWidth="1"/>
    <col min="7439" max="7439" width="16.140625" style="76" bestFit="1" customWidth="1"/>
    <col min="7440" max="7440" width="11.5703125" style="76" bestFit="1" customWidth="1"/>
    <col min="7441" max="7679" width="9.140625" style="76"/>
    <col min="7680" max="7680" width="33" style="76" customWidth="1"/>
    <col min="7681" max="7681" width="17.42578125" style="76" customWidth="1"/>
    <col min="7682" max="7682" width="17.140625" style="76" customWidth="1"/>
    <col min="7683" max="7683" width="16" style="76" customWidth="1"/>
    <col min="7684" max="7684" width="16.5703125" style="76" customWidth="1"/>
    <col min="7685" max="7685" width="16.28515625" style="76" customWidth="1"/>
    <col min="7686" max="7686" width="18.28515625" style="76" customWidth="1"/>
    <col min="7687" max="7687" width="17.42578125" style="76" customWidth="1"/>
    <col min="7688" max="7688" width="15.85546875" style="76" customWidth="1"/>
    <col min="7689" max="7689" width="17" style="76" customWidth="1"/>
    <col min="7690" max="7690" width="19.7109375" style="76" customWidth="1"/>
    <col min="7691" max="7691" width="17.28515625" style="76" customWidth="1"/>
    <col min="7692" max="7692" width="18.140625" style="76" customWidth="1"/>
    <col min="7693" max="7693" width="21.7109375" style="76" customWidth="1"/>
    <col min="7694" max="7694" width="0.42578125" style="76" customWidth="1"/>
    <col min="7695" max="7695" width="16.140625" style="76" bestFit="1" customWidth="1"/>
    <col min="7696" max="7696" width="11.5703125" style="76" bestFit="1" customWidth="1"/>
    <col min="7697" max="7935" width="9.140625" style="76"/>
    <col min="7936" max="7936" width="33" style="76" customWidth="1"/>
    <col min="7937" max="7937" width="17.42578125" style="76" customWidth="1"/>
    <col min="7938" max="7938" width="17.140625" style="76" customWidth="1"/>
    <col min="7939" max="7939" width="16" style="76" customWidth="1"/>
    <col min="7940" max="7940" width="16.5703125" style="76" customWidth="1"/>
    <col min="7941" max="7941" width="16.28515625" style="76" customWidth="1"/>
    <col min="7942" max="7942" width="18.28515625" style="76" customWidth="1"/>
    <col min="7943" max="7943" width="17.42578125" style="76" customWidth="1"/>
    <col min="7944" max="7944" width="15.85546875" style="76" customWidth="1"/>
    <col min="7945" max="7945" width="17" style="76" customWidth="1"/>
    <col min="7946" max="7946" width="19.7109375" style="76" customWidth="1"/>
    <col min="7947" max="7947" width="17.28515625" style="76" customWidth="1"/>
    <col min="7948" max="7948" width="18.140625" style="76" customWidth="1"/>
    <col min="7949" max="7949" width="21.7109375" style="76" customWidth="1"/>
    <col min="7950" max="7950" width="0.42578125" style="76" customWidth="1"/>
    <col min="7951" max="7951" width="16.140625" style="76" bestFit="1" customWidth="1"/>
    <col min="7952" max="7952" width="11.5703125" style="76" bestFit="1" customWidth="1"/>
    <col min="7953" max="8191" width="9.140625" style="76"/>
    <col min="8192" max="8192" width="33" style="76" customWidth="1"/>
    <col min="8193" max="8193" width="17.42578125" style="76" customWidth="1"/>
    <col min="8194" max="8194" width="17.140625" style="76" customWidth="1"/>
    <col min="8195" max="8195" width="16" style="76" customWidth="1"/>
    <col min="8196" max="8196" width="16.5703125" style="76" customWidth="1"/>
    <col min="8197" max="8197" width="16.28515625" style="76" customWidth="1"/>
    <col min="8198" max="8198" width="18.28515625" style="76" customWidth="1"/>
    <col min="8199" max="8199" width="17.42578125" style="76" customWidth="1"/>
    <col min="8200" max="8200" width="15.85546875" style="76" customWidth="1"/>
    <col min="8201" max="8201" width="17" style="76" customWidth="1"/>
    <col min="8202" max="8202" width="19.7109375" style="76" customWidth="1"/>
    <col min="8203" max="8203" width="17.28515625" style="76" customWidth="1"/>
    <col min="8204" max="8204" width="18.140625" style="76" customWidth="1"/>
    <col min="8205" max="8205" width="21.7109375" style="76" customWidth="1"/>
    <col min="8206" max="8206" width="0.42578125" style="76" customWidth="1"/>
    <col min="8207" max="8207" width="16.140625" style="76" bestFit="1" customWidth="1"/>
    <col min="8208" max="8208" width="11.5703125" style="76" bestFit="1" customWidth="1"/>
    <col min="8209" max="8447" width="9.140625" style="76"/>
    <col min="8448" max="8448" width="33" style="76" customWidth="1"/>
    <col min="8449" max="8449" width="17.42578125" style="76" customWidth="1"/>
    <col min="8450" max="8450" width="17.140625" style="76" customWidth="1"/>
    <col min="8451" max="8451" width="16" style="76" customWidth="1"/>
    <col min="8452" max="8452" width="16.5703125" style="76" customWidth="1"/>
    <col min="8453" max="8453" width="16.28515625" style="76" customWidth="1"/>
    <col min="8454" max="8454" width="18.28515625" style="76" customWidth="1"/>
    <col min="8455" max="8455" width="17.42578125" style="76" customWidth="1"/>
    <col min="8456" max="8456" width="15.85546875" style="76" customWidth="1"/>
    <col min="8457" max="8457" width="17" style="76" customWidth="1"/>
    <col min="8458" max="8458" width="19.7109375" style="76" customWidth="1"/>
    <col min="8459" max="8459" width="17.28515625" style="76" customWidth="1"/>
    <col min="8460" max="8460" width="18.140625" style="76" customWidth="1"/>
    <col min="8461" max="8461" width="21.7109375" style="76" customWidth="1"/>
    <col min="8462" max="8462" width="0.42578125" style="76" customWidth="1"/>
    <col min="8463" max="8463" width="16.140625" style="76" bestFit="1" customWidth="1"/>
    <col min="8464" max="8464" width="11.5703125" style="76" bestFit="1" customWidth="1"/>
    <col min="8465" max="8703" width="9.140625" style="76"/>
    <col min="8704" max="8704" width="33" style="76" customWidth="1"/>
    <col min="8705" max="8705" width="17.42578125" style="76" customWidth="1"/>
    <col min="8706" max="8706" width="17.140625" style="76" customWidth="1"/>
    <col min="8707" max="8707" width="16" style="76" customWidth="1"/>
    <col min="8708" max="8708" width="16.5703125" style="76" customWidth="1"/>
    <col min="8709" max="8709" width="16.28515625" style="76" customWidth="1"/>
    <col min="8710" max="8710" width="18.28515625" style="76" customWidth="1"/>
    <col min="8711" max="8711" width="17.42578125" style="76" customWidth="1"/>
    <col min="8712" max="8712" width="15.85546875" style="76" customWidth="1"/>
    <col min="8713" max="8713" width="17" style="76" customWidth="1"/>
    <col min="8714" max="8714" width="19.7109375" style="76" customWidth="1"/>
    <col min="8715" max="8715" width="17.28515625" style="76" customWidth="1"/>
    <col min="8716" max="8716" width="18.140625" style="76" customWidth="1"/>
    <col min="8717" max="8717" width="21.7109375" style="76" customWidth="1"/>
    <col min="8718" max="8718" width="0.42578125" style="76" customWidth="1"/>
    <col min="8719" max="8719" width="16.140625" style="76" bestFit="1" customWidth="1"/>
    <col min="8720" max="8720" width="11.5703125" style="76" bestFit="1" customWidth="1"/>
    <col min="8721" max="8959" width="9.140625" style="76"/>
    <col min="8960" max="8960" width="33" style="76" customWidth="1"/>
    <col min="8961" max="8961" width="17.42578125" style="76" customWidth="1"/>
    <col min="8962" max="8962" width="17.140625" style="76" customWidth="1"/>
    <col min="8963" max="8963" width="16" style="76" customWidth="1"/>
    <col min="8964" max="8964" width="16.5703125" style="76" customWidth="1"/>
    <col min="8965" max="8965" width="16.28515625" style="76" customWidth="1"/>
    <col min="8966" max="8966" width="18.28515625" style="76" customWidth="1"/>
    <col min="8967" max="8967" width="17.42578125" style="76" customWidth="1"/>
    <col min="8968" max="8968" width="15.85546875" style="76" customWidth="1"/>
    <col min="8969" max="8969" width="17" style="76" customWidth="1"/>
    <col min="8970" max="8970" width="19.7109375" style="76" customWidth="1"/>
    <col min="8971" max="8971" width="17.28515625" style="76" customWidth="1"/>
    <col min="8972" max="8972" width="18.140625" style="76" customWidth="1"/>
    <col min="8973" max="8973" width="21.7109375" style="76" customWidth="1"/>
    <col min="8974" max="8974" width="0.42578125" style="76" customWidth="1"/>
    <col min="8975" max="8975" width="16.140625" style="76" bestFit="1" customWidth="1"/>
    <col min="8976" max="8976" width="11.5703125" style="76" bestFit="1" customWidth="1"/>
    <col min="8977" max="9215" width="9.140625" style="76"/>
    <col min="9216" max="9216" width="33" style="76" customWidth="1"/>
    <col min="9217" max="9217" width="17.42578125" style="76" customWidth="1"/>
    <col min="9218" max="9218" width="17.140625" style="76" customWidth="1"/>
    <col min="9219" max="9219" width="16" style="76" customWidth="1"/>
    <col min="9220" max="9220" width="16.5703125" style="76" customWidth="1"/>
    <col min="9221" max="9221" width="16.28515625" style="76" customWidth="1"/>
    <col min="9222" max="9222" width="18.28515625" style="76" customWidth="1"/>
    <col min="9223" max="9223" width="17.42578125" style="76" customWidth="1"/>
    <col min="9224" max="9224" width="15.85546875" style="76" customWidth="1"/>
    <col min="9225" max="9225" width="17" style="76" customWidth="1"/>
    <col min="9226" max="9226" width="19.7109375" style="76" customWidth="1"/>
    <col min="9227" max="9227" width="17.28515625" style="76" customWidth="1"/>
    <col min="9228" max="9228" width="18.140625" style="76" customWidth="1"/>
    <col min="9229" max="9229" width="21.7109375" style="76" customWidth="1"/>
    <col min="9230" max="9230" width="0.42578125" style="76" customWidth="1"/>
    <col min="9231" max="9231" width="16.140625" style="76" bestFit="1" customWidth="1"/>
    <col min="9232" max="9232" width="11.5703125" style="76" bestFit="1" customWidth="1"/>
    <col min="9233" max="9471" width="9.140625" style="76"/>
    <col min="9472" max="9472" width="33" style="76" customWidth="1"/>
    <col min="9473" max="9473" width="17.42578125" style="76" customWidth="1"/>
    <col min="9474" max="9474" width="17.140625" style="76" customWidth="1"/>
    <col min="9475" max="9475" width="16" style="76" customWidth="1"/>
    <col min="9476" max="9476" width="16.5703125" style="76" customWidth="1"/>
    <col min="9477" max="9477" width="16.28515625" style="76" customWidth="1"/>
    <col min="9478" max="9478" width="18.28515625" style="76" customWidth="1"/>
    <col min="9479" max="9479" width="17.42578125" style="76" customWidth="1"/>
    <col min="9480" max="9480" width="15.85546875" style="76" customWidth="1"/>
    <col min="9481" max="9481" width="17" style="76" customWidth="1"/>
    <col min="9482" max="9482" width="19.7109375" style="76" customWidth="1"/>
    <col min="9483" max="9483" width="17.28515625" style="76" customWidth="1"/>
    <col min="9484" max="9484" width="18.140625" style="76" customWidth="1"/>
    <col min="9485" max="9485" width="21.7109375" style="76" customWidth="1"/>
    <col min="9486" max="9486" width="0.42578125" style="76" customWidth="1"/>
    <col min="9487" max="9487" width="16.140625" style="76" bestFit="1" customWidth="1"/>
    <col min="9488" max="9488" width="11.5703125" style="76" bestFit="1" customWidth="1"/>
    <col min="9489" max="9727" width="9.140625" style="76"/>
    <col min="9728" max="9728" width="33" style="76" customWidth="1"/>
    <col min="9729" max="9729" width="17.42578125" style="76" customWidth="1"/>
    <col min="9730" max="9730" width="17.140625" style="76" customWidth="1"/>
    <col min="9731" max="9731" width="16" style="76" customWidth="1"/>
    <col min="9732" max="9732" width="16.5703125" style="76" customWidth="1"/>
    <col min="9733" max="9733" width="16.28515625" style="76" customWidth="1"/>
    <col min="9734" max="9734" width="18.28515625" style="76" customWidth="1"/>
    <col min="9735" max="9735" width="17.42578125" style="76" customWidth="1"/>
    <col min="9736" max="9736" width="15.85546875" style="76" customWidth="1"/>
    <col min="9737" max="9737" width="17" style="76" customWidth="1"/>
    <col min="9738" max="9738" width="19.7109375" style="76" customWidth="1"/>
    <col min="9739" max="9739" width="17.28515625" style="76" customWidth="1"/>
    <col min="9740" max="9740" width="18.140625" style="76" customWidth="1"/>
    <col min="9741" max="9741" width="21.7109375" style="76" customWidth="1"/>
    <col min="9742" max="9742" width="0.42578125" style="76" customWidth="1"/>
    <col min="9743" max="9743" width="16.140625" style="76" bestFit="1" customWidth="1"/>
    <col min="9744" max="9744" width="11.5703125" style="76" bestFit="1" customWidth="1"/>
    <col min="9745" max="9983" width="9.140625" style="76"/>
    <col min="9984" max="9984" width="33" style="76" customWidth="1"/>
    <col min="9985" max="9985" width="17.42578125" style="76" customWidth="1"/>
    <col min="9986" max="9986" width="17.140625" style="76" customWidth="1"/>
    <col min="9987" max="9987" width="16" style="76" customWidth="1"/>
    <col min="9988" max="9988" width="16.5703125" style="76" customWidth="1"/>
    <col min="9989" max="9989" width="16.28515625" style="76" customWidth="1"/>
    <col min="9990" max="9990" width="18.28515625" style="76" customWidth="1"/>
    <col min="9991" max="9991" width="17.42578125" style="76" customWidth="1"/>
    <col min="9992" max="9992" width="15.85546875" style="76" customWidth="1"/>
    <col min="9993" max="9993" width="17" style="76" customWidth="1"/>
    <col min="9994" max="9994" width="19.7109375" style="76" customWidth="1"/>
    <col min="9995" max="9995" width="17.28515625" style="76" customWidth="1"/>
    <col min="9996" max="9996" width="18.140625" style="76" customWidth="1"/>
    <col min="9997" max="9997" width="21.7109375" style="76" customWidth="1"/>
    <col min="9998" max="9998" width="0.42578125" style="76" customWidth="1"/>
    <col min="9999" max="9999" width="16.140625" style="76" bestFit="1" customWidth="1"/>
    <col min="10000" max="10000" width="11.5703125" style="76" bestFit="1" customWidth="1"/>
    <col min="10001" max="10239" width="9.140625" style="76"/>
    <col min="10240" max="10240" width="33" style="76" customWidth="1"/>
    <col min="10241" max="10241" width="17.42578125" style="76" customWidth="1"/>
    <col min="10242" max="10242" width="17.140625" style="76" customWidth="1"/>
    <col min="10243" max="10243" width="16" style="76" customWidth="1"/>
    <col min="10244" max="10244" width="16.5703125" style="76" customWidth="1"/>
    <col min="10245" max="10245" width="16.28515625" style="76" customWidth="1"/>
    <col min="10246" max="10246" width="18.28515625" style="76" customWidth="1"/>
    <col min="10247" max="10247" width="17.42578125" style="76" customWidth="1"/>
    <col min="10248" max="10248" width="15.85546875" style="76" customWidth="1"/>
    <col min="10249" max="10249" width="17" style="76" customWidth="1"/>
    <col min="10250" max="10250" width="19.7109375" style="76" customWidth="1"/>
    <col min="10251" max="10251" width="17.28515625" style="76" customWidth="1"/>
    <col min="10252" max="10252" width="18.140625" style="76" customWidth="1"/>
    <col min="10253" max="10253" width="21.7109375" style="76" customWidth="1"/>
    <col min="10254" max="10254" width="0.42578125" style="76" customWidth="1"/>
    <col min="10255" max="10255" width="16.140625" style="76" bestFit="1" customWidth="1"/>
    <col min="10256" max="10256" width="11.5703125" style="76" bestFit="1" customWidth="1"/>
    <col min="10257" max="10495" width="9.140625" style="76"/>
    <col min="10496" max="10496" width="33" style="76" customWidth="1"/>
    <col min="10497" max="10497" width="17.42578125" style="76" customWidth="1"/>
    <col min="10498" max="10498" width="17.140625" style="76" customWidth="1"/>
    <col min="10499" max="10499" width="16" style="76" customWidth="1"/>
    <col min="10500" max="10500" width="16.5703125" style="76" customWidth="1"/>
    <col min="10501" max="10501" width="16.28515625" style="76" customWidth="1"/>
    <col min="10502" max="10502" width="18.28515625" style="76" customWidth="1"/>
    <col min="10503" max="10503" width="17.42578125" style="76" customWidth="1"/>
    <col min="10504" max="10504" width="15.85546875" style="76" customWidth="1"/>
    <col min="10505" max="10505" width="17" style="76" customWidth="1"/>
    <col min="10506" max="10506" width="19.7109375" style="76" customWidth="1"/>
    <col min="10507" max="10507" width="17.28515625" style="76" customWidth="1"/>
    <col min="10508" max="10508" width="18.140625" style="76" customWidth="1"/>
    <col min="10509" max="10509" width="21.7109375" style="76" customWidth="1"/>
    <col min="10510" max="10510" width="0.42578125" style="76" customWidth="1"/>
    <col min="10511" max="10511" width="16.140625" style="76" bestFit="1" customWidth="1"/>
    <col min="10512" max="10512" width="11.5703125" style="76" bestFit="1" customWidth="1"/>
    <col min="10513" max="10751" width="9.140625" style="76"/>
    <col min="10752" max="10752" width="33" style="76" customWidth="1"/>
    <col min="10753" max="10753" width="17.42578125" style="76" customWidth="1"/>
    <col min="10754" max="10754" width="17.140625" style="76" customWidth="1"/>
    <col min="10755" max="10755" width="16" style="76" customWidth="1"/>
    <col min="10756" max="10756" width="16.5703125" style="76" customWidth="1"/>
    <col min="10757" max="10757" width="16.28515625" style="76" customWidth="1"/>
    <col min="10758" max="10758" width="18.28515625" style="76" customWidth="1"/>
    <col min="10759" max="10759" width="17.42578125" style="76" customWidth="1"/>
    <col min="10760" max="10760" width="15.85546875" style="76" customWidth="1"/>
    <col min="10761" max="10761" width="17" style="76" customWidth="1"/>
    <col min="10762" max="10762" width="19.7109375" style="76" customWidth="1"/>
    <col min="10763" max="10763" width="17.28515625" style="76" customWidth="1"/>
    <col min="10764" max="10764" width="18.140625" style="76" customWidth="1"/>
    <col min="10765" max="10765" width="21.7109375" style="76" customWidth="1"/>
    <col min="10766" max="10766" width="0.42578125" style="76" customWidth="1"/>
    <col min="10767" max="10767" width="16.140625" style="76" bestFit="1" customWidth="1"/>
    <col min="10768" max="10768" width="11.5703125" style="76" bestFit="1" customWidth="1"/>
    <col min="10769" max="11007" width="9.140625" style="76"/>
    <col min="11008" max="11008" width="33" style="76" customWidth="1"/>
    <col min="11009" max="11009" width="17.42578125" style="76" customWidth="1"/>
    <col min="11010" max="11010" width="17.140625" style="76" customWidth="1"/>
    <col min="11011" max="11011" width="16" style="76" customWidth="1"/>
    <col min="11012" max="11012" width="16.5703125" style="76" customWidth="1"/>
    <col min="11013" max="11013" width="16.28515625" style="76" customWidth="1"/>
    <col min="11014" max="11014" width="18.28515625" style="76" customWidth="1"/>
    <col min="11015" max="11015" width="17.42578125" style="76" customWidth="1"/>
    <col min="11016" max="11016" width="15.85546875" style="76" customWidth="1"/>
    <col min="11017" max="11017" width="17" style="76" customWidth="1"/>
    <col min="11018" max="11018" width="19.7109375" style="76" customWidth="1"/>
    <col min="11019" max="11019" width="17.28515625" style="76" customWidth="1"/>
    <col min="11020" max="11020" width="18.140625" style="76" customWidth="1"/>
    <col min="11021" max="11021" width="21.7109375" style="76" customWidth="1"/>
    <col min="11022" max="11022" width="0.42578125" style="76" customWidth="1"/>
    <col min="11023" max="11023" width="16.140625" style="76" bestFit="1" customWidth="1"/>
    <col min="11024" max="11024" width="11.5703125" style="76" bestFit="1" customWidth="1"/>
    <col min="11025" max="11263" width="9.140625" style="76"/>
    <col min="11264" max="11264" width="33" style="76" customWidth="1"/>
    <col min="11265" max="11265" width="17.42578125" style="76" customWidth="1"/>
    <col min="11266" max="11266" width="17.140625" style="76" customWidth="1"/>
    <col min="11267" max="11267" width="16" style="76" customWidth="1"/>
    <col min="11268" max="11268" width="16.5703125" style="76" customWidth="1"/>
    <col min="11269" max="11269" width="16.28515625" style="76" customWidth="1"/>
    <col min="11270" max="11270" width="18.28515625" style="76" customWidth="1"/>
    <col min="11271" max="11271" width="17.42578125" style="76" customWidth="1"/>
    <col min="11272" max="11272" width="15.85546875" style="76" customWidth="1"/>
    <col min="11273" max="11273" width="17" style="76" customWidth="1"/>
    <col min="11274" max="11274" width="19.7109375" style="76" customWidth="1"/>
    <col min="11275" max="11275" width="17.28515625" style="76" customWidth="1"/>
    <col min="11276" max="11276" width="18.140625" style="76" customWidth="1"/>
    <col min="11277" max="11277" width="21.7109375" style="76" customWidth="1"/>
    <col min="11278" max="11278" width="0.42578125" style="76" customWidth="1"/>
    <col min="11279" max="11279" width="16.140625" style="76" bestFit="1" customWidth="1"/>
    <col min="11280" max="11280" width="11.5703125" style="76" bestFit="1" customWidth="1"/>
    <col min="11281" max="11519" width="9.140625" style="76"/>
    <col min="11520" max="11520" width="33" style="76" customWidth="1"/>
    <col min="11521" max="11521" width="17.42578125" style="76" customWidth="1"/>
    <col min="11522" max="11522" width="17.140625" style="76" customWidth="1"/>
    <col min="11523" max="11523" width="16" style="76" customWidth="1"/>
    <col min="11524" max="11524" width="16.5703125" style="76" customWidth="1"/>
    <col min="11525" max="11525" width="16.28515625" style="76" customWidth="1"/>
    <col min="11526" max="11526" width="18.28515625" style="76" customWidth="1"/>
    <col min="11527" max="11527" width="17.42578125" style="76" customWidth="1"/>
    <col min="11528" max="11528" width="15.85546875" style="76" customWidth="1"/>
    <col min="11529" max="11529" width="17" style="76" customWidth="1"/>
    <col min="11530" max="11530" width="19.7109375" style="76" customWidth="1"/>
    <col min="11531" max="11531" width="17.28515625" style="76" customWidth="1"/>
    <col min="11532" max="11532" width="18.140625" style="76" customWidth="1"/>
    <col min="11533" max="11533" width="21.7109375" style="76" customWidth="1"/>
    <col min="11534" max="11534" width="0.42578125" style="76" customWidth="1"/>
    <col min="11535" max="11535" width="16.140625" style="76" bestFit="1" customWidth="1"/>
    <col min="11536" max="11536" width="11.5703125" style="76" bestFit="1" customWidth="1"/>
    <col min="11537" max="11775" width="9.140625" style="76"/>
    <col min="11776" max="11776" width="33" style="76" customWidth="1"/>
    <col min="11777" max="11777" width="17.42578125" style="76" customWidth="1"/>
    <col min="11778" max="11778" width="17.140625" style="76" customWidth="1"/>
    <col min="11779" max="11779" width="16" style="76" customWidth="1"/>
    <col min="11780" max="11780" width="16.5703125" style="76" customWidth="1"/>
    <col min="11781" max="11781" width="16.28515625" style="76" customWidth="1"/>
    <col min="11782" max="11782" width="18.28515625" style="76" customWidth="1"/>
    <col min="11783" max="11783" width="17.42578125" style="76" customWidth="1"/>
    <col min="11784" max="11784" width="15.85546875" style="76" customWidth="1"/>
    <col min="11785" max="11785" width="17" style="76" customWidth="1"/>
    <col min="11786" max="11786" width="19.7109375" style="76" customWidth="1"/>
    <col min="11787" max="11787" width="17.28515625" style="76" customWidth="1"/>
    <col min="11788" max="11788" width="18.140625" style="76" customWidth="1"/>
    <col min="11789" max="11789" width="21.7109375" style="76" customWidth="1"/>
    <col min="11790" max="11790" width="0.42578125" style="76" customWidth="1"/>
    <col min="11791" max="11791" width="16.140625" style="76" bestFit="1" customWidth="1"/>
    <col min="11792" max="11792" width="11.5703125" style="76" bestFit="1" customWidth="1"/>
    <col min="11793" max="12031" width="9.140625" style="76"/>
    <col min="12032" max="12032" width="33" style="76" customWidth="1"/>
    <col min="12033" max="12033" width="17.42578125" style="76" customWidth="1"/>
    <col min="12034" max="12034" width="17.140625" style="76" customWidth="1"/>
    <col min="12035" max="12035" width="16" style="76" customWidth="1"/>
    <col min="12036" max="12036" width="16.5703125" style="76" customWidth="1"/>
    <col min="12037" max="12037" width="16.28515625" style="76" customWidth="1"/>
    <col min="12038" max="12038" width="18.28515625" style="76" customWidth="1"/>
    <col min="12039" max="12039" width="17.42578125" style="76" customWidth="1"/>
    <col min="12040" max="12040" width="15.85546875" style="76" customWidth="1"/>
    <col min="12041" max="12041" width="17" style="76" customWidth="1"/>
    <col min="12042" max="12042" width="19.7109375" style="76" customWidth="1"/>
    <col min="12043" max="12043" width="17.28515625" style="76" customWidth="1"/>
    <col min="12044" max="12044" width="18.140625" style="76" customWidth="1"/>
    <col min="12045" max="12045" width="21.7109375" style="76" customWidth="1"/>
    <col min="12046" max="12046" width="0.42578125" style="76" customWidth="1"/>
    <col min="12047" max="12047" width="16.140625" style="76" bestFit="1" customWidth="1"/>
    <col min="12048" max="12048" width="11.5703125" style="76" bestFit="1" customWidth="1"/>
    <col min="12049" max="12287" width="9.140625" style="76"/>
    <col min="12288" max="12288" width="33" style="76" customWidth="1"/>
    <col min="12289" max="12289" width="17.42578125" style="76" customWidth="1"/>
    <col min="12290" max="12290" width="17.140625" style="76" customWidth="1"/>
    <col min="12291" max="12291" width="16" style="76" customWidth="1"/>
    <col min="12292" max="12292" width="16.5703125" style="76" customWidth="1"/>
    <col min="12293" max="12293" width="16.28515625" style="76" customWidth="1"/>
    <col min="12294" max="12294" width="18.28515625" style="76" customWidth="1"/>
    <col min="12295" max="12295" width="17.42578125" style="76" customWidth="1"/>
    <col min="12296" max="12296" width="15.85546875" style="76" customWidth="1"/>
    <col min="12297" max="12297" width="17" style="76" customWidth="1"/>
    <col min="12298" max="12298" width="19.7109375" style="76" customWidth="1"/>
    <col min="12299" max="12299" width="17.28515625" style="76" customWidth="1"/>
    <col min="12300" max="12300" width="18.140625" style="76" customWidth="1"/>
    <col min="12301" max="12301" width="21.7109375" style="76" customWidth="1"/>
    <col min="12302" max="12302" width="0.42578125" style="76" customWidth="1"/>
    <col min="12303" max="12303" width="16.140625" style="76" bestFit="1" customWidth="1"/>
    <col min="12304" max="12304" width="11.5703125" style="76" bestFit="1" customWidth="1"/>
    <col min="12305" max="12543" width="9.140625" style="76"/>
    <col min="12544" max="12544" width="33" style="76" customWidth="1"/>
    <col min="12545" max="12545" width="17.42578125" style="76" customWidth="1"/>
    <col min="12546" max="12546" width="17.140625" style="76" customWidth="1"/>
    <col min="12547" max="12547" width="16" style="76" customWidth="1"/>
    <col min="12548" max="12548" width="16.5703125" style="76" customWidth="1"/>
    <col min="12549" max="12549" width="16.28515625" style="76" customWidth="1"/>
    <col min="12550" max="12550" width="18.28515625" style="76" customWidth="1"/>
    <col min="12551" max="12551" width="17.42578125" style="76" customWidth="1"/>
    <col min="12552" max="12552" width="15.85546875" style="76" customWidth="1"/>
    <col min="12553" max="12553" width="17" style="76" customWidth="1"/>
    <col min="12554" max="12554" width="19.7109375" style="76" customWidth="1"/>
    <col min="12555" max="12555" width="17.28515625" style="76" customWidth="1"/>
    <col min="12556" max="12556" width="18.140625" style="76" customWidth="1"/>
    <col min="12557" max="12557" width="21.7109375" style="76" customWidth="1"/>
    <col min="12558" max="12558" width="0.42578125" style="76" customWidth="1"/>
    <col min="12559" max="12559" width="16.140625" style="76" bestFit="1" customWidth="1"/>
    <col min="12560" max="12560" width="11.5703125" style="76" bestFit="1" customWidth="1"/>
    <col min="12561" max="12799" width="9.140625" style="76"/>
    <col min="12800" max="12800" width="33" style="76" customWidth="1"/>
    <col min="12801" max="12801" width="17.42578125" style="76" customWidth="1"/>
    <col min="12802" max="12802" width="17.140625" style="76" customWidth="1"/>
    <col min="12803" max="12803" width="16" style="76" customWidth="1"/>
    <col min="12804" max="12804" width="16.5703125" style="76" customWidth="1"/>
    <col min="12805" max="12805" width="16.28515625" style="76" customWidth="1"/>
    <col min="12806" max="12806" width="18.28515625" style="76" customWidth="1"/>
    <col min="12807" max="12807" width="17.42578125" style="76" customWidth="1"/>
    <col min="12808" max="12808" width="15.85546875" style="76" customWidth="1"/>
    <col min="12809" max="12809" width="17" style="76" customWidth="1"/>
    <col min="12810" max="12810" width="19.7109375" style="76" customWidth="1"/>
    <col min="12811" max="12811" width="17.28515625" style="76" customWidth="1"/>
    <col min="12812" max="12812" width="18.140625" style="76" customWidth="1"/>
    <col min="12813" max="12813" width="21.7109375" style="76" customWidth="1"/>
    <col min="12814" max="12814" width="0.42578125" style="76" customWidth="1"/>
    <col min="12815" max="12815" width="16.140625" style="76" bestFit="1" customWidth="1"/>
    <col min="12816" max="12816" width="11.5703125" style="76" bestFit="1" customWidth="1"/>
    <col min="12817" max="13055" width="9.140625" style="76"/>
    <col min="13056" max="13056" width="33" style="76" customWidth="1"/>
    <col min="13057" max="13057" width="17.42578125" style="76" customWidth="1"/>
    <col min="13058" max="13058" width="17.140625" style="76" customWidth="1"/>
    <col min="13059" max="13059" width="16" style="76" customWidth="1"/>
    <col min="13060" max="13060" width="16.5703125" style="76" customWidth="1"/>
    <col min="13061" max="13061" width="16.28515625" style="76" customWidth="1"/>
    <col min="13062" max="13062" width="18.28515625" style="76" customWidth="1"/>
    <col min="13063" max="13063" width="17.42578125" style="76" customWidth="1"/>
    <col min="13064" max="13064" width="15.85546875" style="76" customWidth="1"/>
    <col min="13065" max="13065" width="17" style="76" customWidth="1"/>
    <col min="13066" max="13066" width="19.7109375" style="76" customWidth="1"/>
    <col min="13067" max="13067" width="17.28515625" style="76" customWidth="1"/>
    <col min="13068" max="13068" width="18.140625" style="76" customWidth="1"/>
    <col min="13069" max="13069" width="21.7109375" style="76" customWidth="1"/>
    <col min="13070" max="13070" width="0.42578125" style="76" customWidth="1"/>
    <col min="13071" max="13071" width="16.140625" style="76" bestFit="1" customWidth="1"/>
    <col min="13072" max="13072" width="11.5703125" style="76" bestFit="1" customWidth="1"/>
    <col min="13073" max="13311" width="9.140625" style="76"/>
    <col min="13312" max="13312" width="33" style="76" customWidth="1"/>
    <col min="13313" max="13313" width="17.42578125" style="76" customWidth="1"/>
    <col min="13314" max="13314" width="17.140625" style="76" customWidth="1"/>
    <col min="13315" max="13315" width="16" style="76" customWidth="1"/>
    <col min="13316" max="13316" width="16.5703125" style="76" customWidth="1"/>
    <col min="13317" max="13317" width="16.28515625" style="76" customWidth="1"/>
    <col min="13318" max="13318" width="18.28515625" style="76" customWidth="1"/>
    <col min="13319" max="13319" width="17.42578125" style="76" customWidth="1"/>
    <col min="13320" max="13320" width="15.85546875" style="76" customWidth="1"/>
    <col min="13321" max="13321" width="17" style="76" customWidth="1"/>
    <col min="13322" max="13322" width="19.7109375" style="76" customWidth="1"/>
    <col min="13323" max="13323" width="17.28515625" style="76" customWidth="1"/>
    <col min="13324" max="13324" width="18.140625" style="76" customWidth="1"/>
    <col min="13325" max="13325" width="21.7109375" style="76" customWidth="1"/>
    <col min="13326" max="13326" width="0.42578125" style="76" customWidth="1"/>
    <col min="13327" max="13327" width="16.140625" style="76" bestFit="1" customWidth="1"/>
    <col min="13328" max="13328" width="11.5703125" style="76" bestFit="1" customWidth="1"/>
    <col min="13329" max="13567" width="9.140625" style="76"/>
    <col min="13568" max="13568" width="33" style="76" customWidth="1"/>
    <col min="13569" max="13569" width="17.42578125" style="76" customWidth="1"/>
    <col min="13570" max="13570" width="17.140625" style="76" customWidth="1"/>
    <col min="13571" max="13571" width="16" style="76" customWidth="1"/>
    <col min="13572" max="13572" width="16.5703125" style="76" customWidth="1"/>
    <col min="13573" max="13573" width="16.28515625" style="76" customWidth="1"/>
    <col min="13574" max="13574" width="18.28515625" style="76" customWidth="1"/>
    <col min="13575" max="13575" width="17.42578125" style="76" customWidth="1"/>
    <col min="13576" max="13576" width="15.85546875" style="76" customWidth="1"/>
    <col min="13577" max="13577" width="17" style="76" customWidth="1"/>
    <col min="13578" max="13578" width="19.7109375" style="76" customWidth="1"/>
    <col min="13579" max="13579" width="17.28515625" style="76" customWidth="1"/>
    <col min="13580" max="13580" width="18.140625" style="76" customWidth="1"/>
    <col min="13581" max="13581" width="21.7109375" style="76" customWidth="1"/>
    <col min="13582" max="13582" width="0.42578125" style="76" customWidth="1"/>
    <col min="13583" max="13583" width="16.140625" style="76" bestFit="1" customWidth="1"/>
    <col min="13584" max="13584" width="11.5703125" style="76" bestFit="1" customWidth="1"/>
    <col min="13585" max="13823" width="9.140625" style="76"/>
    <col min="13824" max="13824" width="33" style="76" customWidth="1"/>
    <col min="13825" max="13825" width="17.42578125" style="76" customWidth="1"/>
    <col min="13826" max="13826" width="17.140625" style="76" customWidth="1"/>
    <col min="13827" max="13827" width="16" style="76" customWidth="1"/>
    <col min="13828" max="13828" width="16.5703125" style="76" customWidth="1"/>
    <col min="13829" max="13829" width="16.28515625" style="76" customWidth="1"/>
    <col min="13830" max="13830" width="18.28515625" style="76" customWidth="1"/>
    <col min="13831" max="13831" width="17.42578125" style="76" customWidth="1"/>
    <col min="13832" max="13832" width="15.85546875" style="76" customWidth="1"/>
    <col min="13833" max="13833" width="17" style="76" customWidth="1"/>
    <col min="13834" max="13834" width="19.7109375" style="76" customWidth="1"/>
    <col min="13835" max="13835" width="17.28515625" style="76" customWidth="1"/>
    <col min="13836" max="13836" width="18.140625" style="76" customWidth="1"/>
    <col min="13837" max="13837" width="21.7109375" style="76" customWidth="1"/>
    <col min="13838" max="13838" width="0.42578125" style="76" customWidth="1"/>
    <col min="13839" max="13839" width="16.140625" style="76" bestFit="1" customWidth="1"/>
    <col min="13840" max="13840" width="11.5703125" style="76" bestFit="1" customWidth="1"/>
    <col min="13841" max="14079" width="9.140625" style="76"/>
    <col min="14080" max="14080" width="33" style="76" customWidth="1"/>
    <col min="14081" max="14081" width="17.42578125" style="76" customWidth="1"/>
    <col min="14082" max="14082" width="17.140625" style="76" customWidth="1"/>
    <col min="14083" max="14083" width="16" style="76" customWidth="1"/>
    <col min="14084" max="14084" width="16.5703125" style="76" customWidth="1"/>
    <col min="14085" max="14085" width="16.28515625" style="76" customWidth="1"/>
    <col min="14086" max="14086" width="18.28515625" style="76" customWidth="1"/>
    <col min="14087" max="14087" width="17.42578125" style="76" customWidth="1"/>
    <col min="14088" max="14088" width="15.85546875" style="76" customWidth="1"/>
    <col min="14089" max="14089" width="17" style="76" customWidth="1"/>
    <col min="14090" max="14090" width="19.7109375" style="76" customWidth="1"/>
    <col min="14091" max="14091" width="17.28515625" style="76" customWidth="1"/>
    <col min="14092" max="14092" width="18.140625" style="76" customWidth="1"/>
    <col min="14093" max="14093" width="21.7109375" style="76" customWidth="1"/>
    <col min="14094" max="14094" width="0.42578125" style="76" customWidth="1"/>
    <col min="14095" max="14095" width="16.140625" style="76" bestFit="1" customWidth="1"/>
    <col min="14096" max="14096" width="11.5703125" style="76" bestFit="1" customWidth="1"/>
    <col min="14097" max="14335" width="9.140625" style="76"/>
    <col min="14336" max="14336" width="33" style="76" customWidth="1"/>
    <col min="14337" max="14337" width="17.42578125" style="76" customWidth="1"/>
    <col min="14338" max="14338" width="17.140625" style="76" customWidth="1"/>
    <col min="14339" max="14339" width="16" style="76" customWidth="1"/>
    <col min="14340" max="14340" width="16.5703125" style="76" customWidth="1"/>
    <col min="14341" max="14341" width="16.28515625" style="76" customWidth="1"/>
    <col min="14342" max="14342" width="18.28515625" style="76" customWidth="1"/>
    <col min="14343" max="14343" width="17.42578125" style="76" customWidth="1"/>
    <col min="14344" max="14344" width="15.85546875" style="76" customWidth="1"/>
    <col min="14345" max="14345" width="17" style="76" customWidth="1"/>
    <col min="14346" max="14346" width="19.7109375" style="76" customWidth="1"/>
    <col min="14347" max="14347" width="17.28515625" style="76" customWidth="1"/>
    <col min="14348" max="14348" width="18.140625" style="76" customWidth="1"/>
    <col min="14349" max="14349" width="21.7109375" style="76" customWidth="1"/>
    <col min="14350" max="14350" width="0.42578125" style="76" customWidth="1"/>
    <col min="14351" max="14351" width="16.140625" style="76" bestFit="1" customWidth="1"/>
    <col min="14352" max="14352" width="11.5703125" style="76" bestFit="1" customWidth="1"/>
    <col min="14353" max="14591" width="9.140625" style="76"/>
    <col min="14592" max="14592" width="33" style="76" customWidth="1"/>
    <col min="14593" max="14593" width="17.42578125" style="76" customWidth="1"/>
    <col min="14594" max="14594" width="17.140625" style="76" customWidth="1"/>
    <col min="14595" max="14595" width="16" style="76" customWidth="1"/>
    <col min="14596" max="14596" width="16.5703125" style="76" customWidth="1"/>
    <col min="14597" max="14597" width="16.28515625" style="76" customWidth="1"/>
    <col min="14598" max="14598" width="18.28515625" style="76" customWidth="1"/>
    <col min="14599" max="14599" width="17.42578125" style="76" customWidth="1"/>
    <col min="14600" max="14600" width="15.85546875" style="76" customWidth="1"/>
    <col min="14601" max="14601" width="17" style="76" customWidth="1"/>
    <col min="14602" max="14602" width="19.7109375" style="76" customWidth="1"/>
    <col min="14603" max="14603" width="17.28515625" style="76" customWidth="1"/>
    <col min="14604" max="14604" width="18.140625" style="76" customWidth="1"/>
    <col min="14605" max="14605" width="21.7109375" style="76" customWidth="1"/>
    <col min="14606" max="14606" width="0.42578125" style="76" customWidth="1"/>
    <col min="14607" max="14607" width="16.140625" style="76" bestFit="1" customWidth="1"/>
    <col min="14608" max="14608" width="11.5703125" style="76" bestFit="1" customWidth="1"/>
    <col min="14609" max="14847" width="9.140625" style="76"/>
    <col min="14848" max="14848" width="33" style="76" customWidth="1"/>
    <col min="14849" max="14849" width="17.42578125" style="76" customWidth="1"/>
    <col min="14850" max="14850" width="17.140625" style="76" customWidth="1"/>
    <col min="14851" max="14851" width="16" style="76" customWidth="1"/>
    <col min="14852" max="14852" width="16.5703125" style="76" customWidth="1"/>
    <col min="14853" max="14853" width="16.28515625" style="76" customWidth="1"/>
    <col min="14854" max="14854" width="18.28515625" style="76" customWidth="1"/>
    <col min="14855" max="14855" width="17.42578125" style="76" customWidth="1"/>
    <col min="14856" max="14856" width="15.85546875" style="76" customWidth="1"/>
    <col min="14857" max="14857" width="17" style="76" customWidth="1"/>
    <col min="14858" max="14858" width="19.7109375" style="76" customWidth="1"/>
    <col min="14859" max="14859" width="17.28515625" style="76" customWidth="1"/>
    <col min="14860" max="14860" width="18.140625" style="76" customWidth="1"/>
    <col min="14861" max="14861" width="21.7109375" style="76" customWidth="1"/>
    <col min="14862" max="14862" width="0.42578125" style="76" customWidth="1"/>
    <col min="14863" max="14863" width="16.140625" style="76" bestFit="1" customWidth="1"/>
    <col min="14864" max="14864" width="11.5703125" style="76" bestFit="1" customWidth="1"/>
    <col min="14865" max="15103" width="9.140625" style="76"/>
    <col min="15104" max="15104" width="33" style="76" customWidth="1"/>
    <col min="15105" max="15105" width="17.42578125" style="76" customWidth="1"/>
    <col min="15106" max="15106" width="17.140625" style="76" customWidth="1"/>
    <col min="15107" max="15107" width="16" style="76" customWidth="1"/>
    <col min="15108" max="15108" width="16.5703125" style="76" customWidth="1"/>
    <col min="15109" max="15109" width="16.28515625" style="76" customWidth="1"/>
    <col min="15110" max="15110" width="18.28515625" style="76" customWidth="1"/>
    <col min="15111" max="15111" width="17.42578125" style="76" customWidth="1"/>
    <col min="15112" max="15112" width="15.85546875" style="76" customWidth="1"/>
    <col min="15113" max="15113" width="17" style="76" customWidth="1"/>
    <col min="15114" max="15114" width="19.7109375" style="76" customWidth="1"/>
    <col min="15115" max="15115" width="17.28515625" style="76" customWidth="1"/>
    <col min="15116" max="15116" width="18.140625" style="76" customWidth="1"/>
    <col min="15117" max="15117" width="21.7109375" style="76" customWidth="1"/>
    <col min="15118" max="15118" width="0.42578125" style="76" customWidth="1"/>
    <col min="15119" max="15119" width="16.140625" style="76" bestFit="1" customWidth="1"/>
    <col min="15120" max="15120" width="11.5703125" style="76" bestFit="1" customWidth="1"/>
    <col min="15121" max="15359" width="9.140625" style="76"/>
    <col min="15360" max="15360" width="33" style="76" customWidth="1"/>
    <col min="15361" max="15361" width="17.42578125" style="76" customWidth="1"/>
    <col min="15362" max="15362" width="17.140625" style="76" customWidth="1"/>
    <col min="15363" max="15363" width="16" style="76" customWidth="1"/>
    <col min="15364" max="15364" width="16.5703125" style="76" customWidth="1"/>
    <col min="15365" max="15365" width="16.28515625" style="76" customWidth="1"/>
    <col min="15366" max="15366" width="18.28515625" style="76" customWidth="1"/>
    <col min="15367" max="15367" width="17.42578125" style="76" customWidth="1"/>
    <col min="15368" max="15368" width="15.85546875" style="76" customWidth="1"/>
    <col min="15369" max="15369" width="17" style="76" customWidth="1"/>
    <col min="15370" max="15370" width="19.7109375" style="76" customWidth="1"/>
    <col min="15371" max="15371" width="17.28515625" style="76" customWidth="1"/>
    <col min="15372" max="15372" width="18.140625" style="76" customWidth="1"/>
    <col min="15373" max="15373" width="21.7109375" style="76" customWidth="1"/>
    <col min="15374" max="15374" width="0.42578125" style="76" customWidth="1"/>
    <col min="15375" max="15375" width="16.140625" style="76" bestFit="1" customWidth="1"/>
    <col min="15376" max="15376" width="11.5703125" style="76" bestFit="1" customWidth="1"/>
    <col min="15377" max="15615" width="9.140625" style="76"/>
    <col min="15616" max="15616" width="33" style="76" customWidth="1"/>
    <col min="15617" max="15617" width="17.42578125" style="76" customWidth="1"/>
    <col min="15618" max="15618" width="17.140625" style="76" customWidth="1"/>
    <col min="15619" max="15619" width="16" style="76" customWidth="1"/>
    <col min="15620" max="15620" width="16.5703125" style="76" customWidth="1"/>
    <col min="15621" max="15621" width="16.28515625" style="76" customWidth="1"/>
    <col min="15622" max="15622" width="18.28515625" style="76" customWidth="1"/>
    <col min="15623" max="15623" width="17.42578125" style="76" customWidth="1"/>
    <col min="15624" max="15624" width="15.85546875" style="76" customWidth="1"/>
    <col min="15625" max="15625" width="17" style="76" customWidth="1"/>
    <col min="15626" max="15626" width="19.7109375" style="76" customWidth="1"/>
    <col min="15627" max="15627" width="17.28515625" style="76" customWidth="1"/>
    <col min="15628" max="15628" width="18.140625" style="76" customWidth="1"/>
    <col min="15629" max="15629" width="21.7109375" style="76" customWidth="1"/>
    <col min="15630" max="15630" width="0.42578125" style="76" customWidth="1"/>
    <col min="15631" max="15631" width="16.140625" style="76" bestFit="1" customWidth="1"/>
    <col min="15632" max="15632" width="11.5703125" style="76" bestFit="1" customWidth="1"/>
    <col min="15633" max="15871" width="9.140625" style="76"/>
    <col min="15872" max="15872" width="33" style="76" customWidth="1"/>
    <col min="15873" max="15873" width="17.42578125" style="76" customWidth="1"/>
    <col min="15874" max="15874" width="17.140625" style="76" customWidth="1"/>
    <col min="15875" max="15875" width="16" style="76" customWidth="1"/>
    <col min="15876" max="15876" width="16.5703125" style="76" customWidth="1"/>
    <col min="15877" max="15877" width="16.28515625" style="76" customWidth="1"/>
    <col min="15878" max="15878" width="18.28515625" style="76" customWidth="1"/>
    <col min="15879" max="15879" width="17.42578125" style="76" customWidth="1"/>
    <col min="15880" max="15880" width="15.85546875" style="76" customWidth="1"/>
    <col min="15881" max="15881" width="17" style="76" customWidth="1"/>
    <col min="15882" max="15882" width="19.7109375" style="76" customWidth="1"/>
    <col min="15883" max="15883" width="17.28515625" style="76" customWidth="1"/>
    <col min="15884" max="15884" width="18.140625" style="76" customWidth="1"/>
    <col min="15885" max="15885" width="21.7109375" style="76" customWidth="1"/>
    <col min="15886" max="15886" width="0.42578125" style="76" customWidth="1"/>
    <col min="15887" max="15887" width="16.140625" style="76" bestFit="1" customWidth="1"/>
    <col min="15888" max="15888" width="11.5703125" style="76" bestFit="1" customWidth="1"/>
    <col min="15889" max="16127" width="9.140625" style="76"/>
    <col min="16128" max="16128" width="33" style="76" customWidth="1"/>
    <col min="16129" max="16129" width="17.42578125" style="76" customWidth="1"/>
    <col min="16130" max="16130" width="17.140625" style="76" customWidth="1"/>
    <col min="16131" max="16131" width="16" style="76" customWidth="1"/>
    <col min="16132" max="16132" width="16.5703125" style="76" customWidth="1"/>
    <col min="16133" max="16133" width="16.28515625" style="76" customWidth="1"/>
    <col min="16134" max="16134" width="18.28515625" style="76" customWidth="1"/>
    <col min="16135" max="16135" width="17.42578125" style="76" customWidth="1"/>
    <col min="16136" max="16136" width="15.85546875" style="76" customWidth="1"/>
    <col min="16137" max="16137" width="17" style="76" customWidth="1"/>
    <col min="16138" max="16138" width="19.7109375" style="76" customWidth="1"/>
    <col min="16139" max="16139" width="17.28515625" style="76" customWidth="1"/>
    <col min="16140" max="16140" width="18.140625" style="76" customWidth="1"/>
    <col min="16141" max="16141" width="21.7109375" style="76" customWidth="1"/>
    <col min="16142" max="16142" width="0.42578125" style="76" customWidth="1"/>
    <col min="16143" max="16143" width="16.140625" style="76" bestFit="1" customWidth="1"/>
    <col min="16144" max="16144" width="11.5703125" style="76" bestFit="1" customWidth="1"/>
    <col min="16145" max="16384" width="9.140625" style="76"/>
  </cols>
  <sheetData>
    <row r="1" spans="1:16" ht="120" customHeight="1">
      <c r="B1" s="6"/>
    </row>
    <row r="2" spans="1:16" ht="25.5" customHeight="1">
      <c r="A2" s="497"/>
      <c r="B2" s="497"/>
      <c r="C2" s="497"/>
      <c r="D2" s="497"/>
      <c r="E2" s="497"/>
      <c r="F2" s="497"/>
      <c r="G2" s="497"/>
      <c r="H2" s="497"/>
      <c r="I2" s="497"/>
      <c r="J2" s="497"/>
      <c r="K2" s="497"/>
      <c r="L2" s="497"/>
      <c r="M2" s="497"/>
      <c r="N2" s="497"/>
    </row>
    <row r="3" spans="1:16">
      <c r="A3" s="437" t="s">
        <v>155</v>
      </c>
      <c r="B3" s="438"/>
      <c r="C3" s="438"/>
      <c r="D3" s="438"/>
      <c r="E3" s="438"/>
      <c r="F3" s="438"/>
      <c r="G3" s="438"/>
      <c r="H3" s="438"/>
      <c r="I3" s="438"/>
      <c r="J3" s="438"/>
      <c r="K3" s="438"/>
      <c r="L3" s="438"/>
      <c r="M3" s="438"/>
      <c r="N3" s="439"/>
    </row>
    <row r="4" spans="1:16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</row>
    <row r="5" spans="1:16" ht="20.100000000000001" customHeight="1">
      <c r="A5" s="79" t="s">
        <v>134</v>
      </c>
      <c r="B5" s="279">
        <v>45292</v>
      </c>
      <c r="C5" s="279">
        <v>45323</v>
      </c>
      <c r="D5" s="279">
        <v>45352</v>
      </c>
      <c r="E5" s="279">
        <v>45383</v>
      </c>
      <c r="F5" s="390">
        <v>45047</v>
      </c>
      <c r="G5" s="390">
        <v>45078</v>
      </c>
      <c r="H5" s="390">
        <v>45108</v>
      </c>
      <c r="I5" s="390">
        <v>45139</v>
      </c>
      <c r="J5" s="390">
        <v>45170</v>
      </c>
      <c r="K5" s="390">
        <v>45200</v>
      </c>
      <c r="L5" s="390">
        <v>45231</v>
      </c>
      <c r="M5" s="390">
        <v>45261</v>
      </c>
      <c r="N5" s="9" t="s">
        <v>1</v>
      </c>
    </row>
    <row r="6" spans="1:16" ht="20.100000000000001" customHeight="1">
      <c r="A6" s="75" t="s">
        <v>121</v>
      </c>
      <c r="B6" s="11">
        <v>3596984.06</v>
      </c>
      <c r="C6" s="11">
        <v>3434339.07</v>
      </c>
      <c r="D6" s="11">
        <v>3333936.77</v>
      </c>
      <c r="E6" s="11">
        <v>3366105.97</v>
      </c>
      <c r="F6" s="11">
        <v>3502787.56</v>
      </c>
      <c r="G6" s="11">
        <v>4993627.8600000003</v>
      </c>
      <c r="H6" s="11">
        <v>6325367.9299999997</v>
      </c>
      <c r="I6" s="11">
        <v>3550104.44</v>
      </c>
      <c r="J6" s="11">
        <v>3599257.34</v>
      </c>
      <c r="K6" s="11">
        <v>3546554.64</v>
      </c>
      <c r="L6" s="11">
        <v>3430168.06</v>
      </c>
      <c r="M6" s="11"/>
      <c r="N6" s="12">
        <f>SUM(B6:M6)</f>
        <v>42679233.700000003</v>
      </c>
      <c r="O6" s="82"/>
      <c r="P6" s="80"/>
    </row>
    <row r="7" spans="1:16" ht="20.100000000000001" customHeight="1">
      <c r="A7" s="75" t="s">
        <v>122</v>
      </c>
      <c r="B7" s="11">
        <v>0</v>
      </c>
      <c r="C7" s="11">
        <v>276500.47999999998</v>
      </c>
      <c r="D7" s="11">
        <v>219153.73</v>
      </c>
      <c r="E7" s="11">
        <v>255119.91</v>
      </c>
      <c r="F7" s="11">
        <v>249447.7</v>
      </c>
      <c r="G7" s="11">
        <v>632362.81000000006</v>
      </c>
      <c r="H7" s="11">
        <v>673418.59</v>
      </c>
      <c r="I7" s="11">
        <v>511204.98</v>
      </c>
      <c r="J7" s="11">
        <v>371661.52</v>
      </c>
      <c r="K7" s="11">
        <v>227698.65</v>
      </c>
      <c r="L7" s="11">
        <v>219407.27</v>
      </c>
      <c r="M7" s="11"/>
      <c r="N7" s="12">
        <f t="shared" ref="N7:N9" si="0">SUM(B7:M7)</f>
        <v>3635975.64</v>
      </c>
      <c r="O7" s="13"/>
      <c r="P7" s="82"/>
    </row>
    <row r="8" spans="1:16" ht="20.100000000000001" customHeight="1">
      <c r="A8" s="75" t="s">
        <v>125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80"/>
      <c r="N8" s="12">
        <f>SUM(B8:M8)</f>
        <v>0</v>
      </c>
      <c r="O8" s="68"/>
      <c r="P8" s="82"/>
    </row>
    <row r="9" spans="1:16" ht="20.100000000000001" customHeight="1">
      <c r="A9" s="75" t="s">
        <v>123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f t="shared" si="0"/>
        <v>0</v>
      </c>
      <c r="O9" s="68"/>
      <c r="P9" s="82"/>
    </row>
    <row r="10" spans="1:16" ht="20.100000000000001" customHeight="1">
      <c r="A10" s="75" t="s">
        <v>127</v>
      </c>
      <c r="B10" s="11">
        <v>0</v>
      </c>
      <c r="C10" s="11">
        <v>11219.64</v>
      </c>
      <c r="D10" s="11">
        <v>11219.64</v>
      </c>
      <c r="E10" s="11">
        <v>11219.64</v>
      </c>
      <c r="F10" s="400">
        <v>11219.64</v>
      </c>
      <c r="G10" s="400">
        <v>11219.64</v>
      </c>
      <c r="H10" s="400">
        <v>11219.64</v>
      </c>
      <c r="I10" s="400">
        <v>11219.64</v>
      </c>
      <c r="J10" s="400">
        <v>11219.64</v>
      </c>
      <c r="K10" s="11"/>
      <c r="L10" s="11"/>
      <c r="M10" s="11"/>
      <c r="N10" s="12">
        <f>SUM(B10:M10)</f>
        <v>89757.119999999995</v>
      </c>
      <c r="O10" s="68"/>
    </row>
    <row r="11" spans="1:16" ht="19.5" customHeight="1">
      <c r="A11" s="75" t="s">
        <v>124</v>
      </c>
      <c r="B11" s="11">
        <f>150000+70000+32060</f>
        <v>252060</v>
      </c>
      <c r="C11" s="11">
        <f>250000+8000+20670</f>
        <v>278670</v>
      </c>
      <c r="D11" s="11">
        <f>150000+138700+70116</f>
        <v>358816</v>
      </c>
      <c r="E11" s="11">
        <f t="shared" ref="E11" si="1">150000+41400+55984</f>
        <v>247384</v>
      </c>
      <c r="F11" s="400">
        <v>252860</v>
      </c>
      <c r="G11" s="400">
        <v>244250</v>
      </c>
      <c r="H11" s="400">
        <v>246680</v>
      </c>
      <c r="I11" s="400">
        <v>267600</v>
      </c>
      <c r="J11" s="400">
        <f>165000+41400+55984</f>
        <v>262384</v>
      </c>
      <c r="K11" s="11">
        <v>248750</v>
      </c>
      <c r="L11" s="11">
        <v>254600</v>
      </c>
      <c r="M11" s="11">
        <v>318400</v>
      </c>
      <c r="N11" s="12">
        <f>SUM(B11:M11)</f>
        <v>3232454</v>
      </c>
      <c r="O11" s="68"/>
    </row>
    <row r="12" spans="1:16" ht="9.75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  <c r="O12" s="68"/>
    </row>
    <row r="13" spans="1:16" s="98" customFormat="1" ht="19.5" customHeight="1">
      <c r="A13" s="10" t="s">
        <v>126</v>
      </c>
      <c r="B13" s="12">
        <f>SUM(B6:B11)</f>
        <v>3849044.06</v>
      </c>
      <c r="C13" s="12">
        <f>SUM(C6:C11)</f>
        <v>4000729.19</v>
      </c>
      <c r="D13" s="12">
        <f>SUM(D6:D11)</f>
        <v>3923126.14</v>
      </c>
      <c r="E13" s="12">
        <f>SUM(E6:E11)</f>
        <v>3879829.5200000005</v>
      </c>
      <c r="F13" s="12">
        <f t="shared" ref="F13:L13" si="2">SUM(F6:F11)</f>
        <v>4016314.9000000004</v>
      </c>
      <c r="G13" s="12">
        <f t="shared" si="2"/>
        <v>5881460.3099999996</v>
      </c>
      <c r="H13" s="12">
        <f t="shared" si="2"/>
        <v>7256686.1599999992</v>
      </c>
      <c r="I13" s="12">
        <f>SUM(I6:I11)</f>
        <v>4340129.0600000005</v>
      </c>
      <c r="J13" s="12">
        <f t="shared" si="2"/>
        <v>4244522.5</v>
      </c>
      <c r="K13" s="12">
        <f t="shared" si="2"/>
        <v>4023003.29</v>
      </c>
      <c r="L13" s="12">
        <f t="shared" si="2"/>
        <v>3904175.33</v>
      </c>
      <c r="M13" s="12">
        <f>SUM(M6:M11)</f>
        <v>318400</v>
      </c>
      <c r="N13" s="12">
        <f>SUM(N6:N11)</f>
        <v>49637420.460000001</v>
      </c>
      <c r="O13" s="97"/>
    </row>
    <row r="14" spans="1:16" ht="10.5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2"/>
      <c r="O14" s="68"/>
    </row>
    <row r="15" spans="1:16" ht="20.100000000000001" customHeight="1">
      <c r="A15" s="21" t="s">
        <v>62</v>
      </c>
      <c r="B15" s="74">
        <v>0</v>
      </c>
      <c r="C15" s="74">
        <v>0</v>
      </c>
      <c r="D15" s="74">
        <v>0</v>
      </c>
      <c r="E15" s="74">
        <v>0</v>
      </c>
      <c r="F15" s="22"/>
      <c r="G15" s="22"/>
      <c r="H15" s="22">
        <v>2704954.38</v>
      </c>
      <c r="I15" s="22"/>
      <c r="J15" s="22"/>
      <c r="K15" s="22"/>
      <c r="L15" s="22"/>
      <c r="M15" s="22"/>
      <c r="N15" s="12">
        <f>SUM(B15:M15)</f>
        <v>2704954.38</v>
      </c>
    </row>
    <row r="16" spans="1:16" ht="10.5" customHeight="1">
      <c r="A16" s="21"/>
      <c r="B16" s="74"/>
      <c r="C16" s="74"/>
      <c r="D16" s="74"/>
      <c r="E16" s="74"/>
      <c r="F16" s="22"/>
      <c r="G16" s="22"/>
      <c r="H16" s="22"/>
      <c r="I16" s="22"/>
      <c r="J16" s="22"/>
      <c r="K16" s="22"/>
      <c r="L16" s="22"/>
      <c r="M16" s="22"/>
      <c r="N16" s="12"/>
    </row>
    <row r="17" spans="1:16" ht="21" customHeight="1">
      <c r="A17" s="173" t="s">
        <v>427</v>
      </c>
      <c r="B17" s="173">
        <f>B13-B15</f>
        <v>3849044.06</v>
      </c>
      <c r="C17" s="174">
        <f t="shared" ref="C17:H17" si="3">C13-C15</f>
        <v>4000729.19</v>
      </c>
      <c r="D17" s="174">
        <f t="shared" si="3"/>
        <v>3923126.14</v>
      </c>
      <c r="E17" s="173">
        <f>E13-E15</f>
        <v>3879829.5200000005</v>
      </c>
      <c r="F17" s="173">
        <f>F13-F15</f>
        <v>4016314.9000000004</v>
      </c>
      <c r="G17" s="174">
        <f t="shared" si="3"/>
        <v>5881460.3099999996</v>
      </c>
      <c r="H17" s="174">
        <f t="shared" si="3"/>
        <v>4551731.7799999993</v>
      </c>
      <c r="I17" s="174">
        <f>I13-I15</f>
        <v>4340129.0600000005</v>
      </c>
      <c r="J17" s="174">
        <f t="shared" ref="J17:M17" si="4">J13-J15</f>
        <v>4244522.5</v>
      </c>
      <c r="K17" s="174">
        <f t="shared" si="4"/>
        <v>4023003.29</v>
      </c>
      <c r="L17" s="174">
        <f t="shared" si="4"/>
        <v>3904175.33</v>
      </c>
      <c r="M17" s="174">
        <f t="shared" si="4"/>
        <v>318400</v>
      </c>
      <c r="N17" s="11">
        <f>SUM(B17:M17)</f>
        <v>46932466.079999998</v>
      </c>
    </row>
    <row r="18" spans="1:16" ht="6.75" customHeight="1">
      <c r="A18" s="21"/>
      <c r="B18" s="74"/>
      <c r="C18" s="74"/>
      <c r="D18" s="74"/>
      <c r="E18" s="74"/>
      <c r="F18" s="22"/>
      <c r="G18" s="22"/>
      <c r="H18" s="22"/>
      <c r="I18" s="22"/>
      <c r="J18" s="22"/>
      <c r="K18" s="22"/>
      <c r="L18" s="22"/>
      <c r="M18" s="22"/>
      <c r="N18" s="12">
        <f t="shared" ref="N18:N20" si="5">SUM(B18:M18)</f>
        <v>0</v>
      </c>
    </row>
    <row r="19" spans="1:16" ht="20.100000000000001" customHeight="1">
      <c r="A19" s="15" t="s">
        <v>258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v>4858322.8899999997</v>
      </c>
      <c r="N19" s="12">
        <f>SUM(B19:M19)</f>
        <v>4858322.8899999997</v>
      </c>
      <c r="P19" s="80"/>
    </row>
    <row r="20" spans="1:16" ht="9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2">
        <f t="shared" si="5"/>
        <v>0</v>
      </c>
      <c r="P20" s="80"/>
    </row>
    <row r="21" spans="1:16" ht="24" customHeight="1">
      <c r="A21" s="188" t="s">
        <v>171</v>
      </c>
      <c r="B21" s="188">
        <f t="shared" ref="B21:L21" si="6">SUM(B17:B20)</f>
        <v>3849044.06</v>
      </c>
      <c r="C21" s="188">
        <f t="shared" si="6"/>
        <v>4000729.19</v>
      </c>
      <c r="D21" s="188">
        <f t="shared" si="6"/>
        <v>3923126.14</v>
      </c>
      <c r="E21" s="188">
        <f t="shared" si="6"/>
        <v>3879829.5200000005</v>
      </c>
      <c r="F21" s="188">
        <f t="shared" si="6"/>
        <v>4016314.9000000004</v>
      </c>
      <c r="G21" s="188">
        <f t="shared" si="6"/>
        <v>5881460.3099999996</v>
      </c>
      <c r="H21" s="188">
        <f t="shared" si="6"/>
        <v>4551731.7799999993</v>
      </c>
      <c r="I21" s="188">
        <f t="shared" si="6"/>
        <v>4340129.0600000005</v>
      </c>
      <c r="J21" s="188">
        <f t="shared" si="6"/>
        <v>4244522.5</v>
      </c>
      <c r="K21" s="188">
        <f t="shared" si="6"/>
        <v>4023003.29</v>
      </c>
      <c r="L21" s="188">
        <f t="shared" si="6"/>
        <v>3904175.33</v>
      </c>
      <c r="M21" s="188">
        <f>SUM(M17:M20)</f>
        <v>5176722.8899999997</v>
      </c>
      <c r="N21" s="349">
        <f>SUM(B21:M21)</f>
        <v>51790788.969999999</v>
      </c>
      <c r="P21" s="80"/>
    </row>
    <row r="22" spans="1:16" ht="9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2"/>
      <c r="P22" s="80"/>
    </row>
    <row r="23" spans="1:16" ht="18.75" customHeight="1">
      <c r="A23" s="173" t="s">
        <v>428</v>
      </c>
      <c r="B23" s="173">
        <f>RECEITAS!B41</f>
        <v>7372796.2399999993</v>
      </c>
      <c r="C23" s="173">
        <f>RECEITAS!C41</f>
        <v>8437491.9200000018</v>
      </c>
      <c r="D23" s="173">
        <f>RECEITAS!D41</f>
        <v>14021867.640000001</v>
      </c>
      <c r="E23" s="173">
        <f>RECEITAS!E41</f>
        <v>6474962.2600000007</v>
      </c>
      <c r="F23" s="173">
        <f>RECEITAS!F41</f>
        <v>8117073.540000001</v>
      </c>
      <c r="G23" s="173">
        <f>RECEITAS!G41</f>
        <v>7331119.0300000003</v>
      </c>
      <c r="H23" s="173">
        <f>RECEITAS!H41</f>
        <v>7217601.540000001</v>
      </c>
      <c r="I23" s="173">
        <f>RECEITAS!I41</f>
        <v>6622583.8500000006</v>
      </c>
      <c r="J23" s="173">
        <f>RECEITAS!J41</f>
        <v>6527121.7000000002</v>
      </c>
      <c r="K23" s="173">
        <f>RECEITAS!K41</f>
        <v>7230143.7400000012</v>
      </c>
      <c r="L23" s="173">
        <f>RECEITAS!L41</f>
        <v>6866163.4000000013</v>
      </c>
      <c r="M23" s="173">
        <f>RECEITAS!M41</f>
        <v>11149965.620000001</v>
      </c>
      <c r="N23" s="281">
        <f>SUM(B23:M23)</f>
        <v>97368890.480000004</v>
      </c>
      <c r="P23" s="80"/>
    </row>
    <row r="24" spans="1:16" ht="9" customHeight="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P24" s="80"/>
    </row>
    <row r="25" spans="1:16" ht="20.100000000000001" customHeight="1">
      <c r="A25" s="15" t="s">
        <v>261</v>
      </c>
      <c r="B25" s="15">
        <v>0</v>
      </c>
      <c r="C25" s="15">
        <v>0</v>
      </c>
      <c r="D25" s="15">
        <v>0</v>
      </c>
      <c r="E25" s="280">
        <v>0</v>
      </c>
      <c r="F25" s="280"/>
      <c r="G25" s="280"/>
      <c r="H25" s="280"/>
      <c r="I25" s="280"/>
      <c r="J25" s="280"/>
      <c r="K25" s="280"/>
      <c r="L25" s="280"/>
      <c r="M25" s="280">
        <v>9174126.2599999998</v>
      </c>
      <c r="N25" s="99">
        <f>SUM(B25:M25)</f>
        <v>9174126.2599999998</v>
      </c>
      <c r="O25" s="81"/>
    </row>
    <row r="26" spans="1:16" ht="12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99"/>
      <c r="O26" s="81"/>
    </row>
    <row r="27" spans="1:16" ht="20.100000000000001" customHeight="1">
      <c r="A27" s="188" t="s">
        <v>172</v>
      </c>
      <c r="B27" s="188">
        <f>B23+B25</f>
        <v>7372796.2399999993</v>
      </c>
      <c r="C27" s="188">
        <f t="shared" ref="C27:M27" si="7">C23+C25</f>
        <v>8437491.9200000018</v>
      </c>
      <c r="D27" s="188">
        <f t="shared" si="7"/>
        <v>14021867.640000001</v>
      </c>
      <c r="E27" s="188">
        <f t="shared" si="7"/>
        <v>6474962.2600000007</v>
      </c>
      <c r="F27" s="188">
        <f t="shared" si="7"/>
        <v>8117073.540000001</v>
      </c>
      <c r="G27" s="188">
        <f t="shared" si="7"/>
        <v>7331119.0300000003</v>
      </c>
      <c r="H27" s="188">
        <f t="shared" si="7"/>
        <v>7217601.540000001</v>
      </c>
      <c r="I27" s="188">
        <f t="shared" si="7"/>
        <v>6622583.8500000006</v>
      </c>
      <c r="J27" s="188">
        <f t="shared" si="7"/>
        <v>6527121.7000000002</v>
      </c>
      <c r="K27" s="188">
        <f t="shared" si="7"/>
        <v>7230143.7400000012</v>
      </c>
      <c r="L27" s="188">
        <f t="shared" si="7"/>
        <v>6866163.4000000013</v>
      </c>
      <c r="M27" s="188">
        <f t="shared" si="7"/>
        <v>20324091.880000003</v>
      </c>
      <c r="N27" s="188">
        <f>SUM(B27:M27)</f>
        <v>106543016.74000001</v>
      </c>
      <c r="O27" s="81"/>
    </row>
    <row r="28" spans="1:16" ht="9.7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6"/>
      <c r="O28" s="81"/>
    </row>
    <row r="29" spans="1:16" ht="20.100000000000001" customHeight="1">
      <c r="A29" s="14" t="s">
        <v>47</v>
      </c>
      <c r="B29" s="19">
        <f>B21/B23</f>
        <v>0.52206027871997729</v>
      </c>
      <c r="C29" s="19">
        <f t="shared" ref="C29:D29" si="8">C21/C23</f>
        <v>0.47416095066316805</v>
      </c>
      <c r="D29" s="19">
        <f t="shared" si="8"/>
        <v>0.27978627674451506</v>
      </c>
      <c r="E29" s="19">
        <f>E21/E27</f>
        <v>0.59920496277919622</v>
      </c>
      <c r="F29" s="19">
        <f t="shared" ref="F29:M29" si="9">F21/F27</f>
        <v>0.49479838764649159</v>
      </c>
      <c r="G29" s="19">
        <f t="shared" si="9"/>
        <v>0.8022595576380922</v>
      </c>
      <c r="H29" s="19">
        <f t="shared" si="9"/>
        <v>0.63064326213829736</v>
      </c>
      <c r="I29" s="19">
        <f t="shared" si="9"/>
        <v>0.65535282879053314</v>
      </c>
      <c r="J29" s="19">
        <f t="shared" si="9"/>
        <v>0.65029008115476072</v>
      </c>
      <c r="K29" s="19">
        <f t="shared" si="9"/>
        <v>0.55642092808517241</v>
      </c>
      <c r="L29" s="19">
        <f t="shared" si="9"/>
        <v>0.56861089702584111</v>
      </c>
      <c r="M29" s="19">
        <f t="shared" si="9"/>
        <v>0.25470869353302683</v>
      </c>
      <c r="N29" s="19">
        <f>N21/N27</f>
        <v>0.48610214498043125</v>
      </c>
    </row>
    <row r="30" spans="1:16">
      <c r="D30" s="69"/>
      <c r="M30" s="81"/>
    </row>
    <row r="31" spans="1:16" ht="21" customHeight="1">
      <c r="A31" s="282" t="s">
        <v>262</v>
      </c>
      <c r="B31" s="21">
        <v>38905920.25</v>
      </c>
      <c r="C31" s="81"/>
      <c r="D31" s="81">
        <v>14021867.640000001</v>
      </c>
      <c r="E31" s="81">
        <v>6467486.4000000004</v>
      </c>
      <c r="K31" s="498" t="s">
        <v>385</v>
      </c>
      <c r="L31" s="498"/>
      <c r="M31" s="498"/>
      <c r="N31" s="101">
        <f>N29</f>
        <v>0.48610214498043125</v>
      </c>
    </row>
    <row r="32" spans="1:16">
      <c r="A32" s="282" t="s">
        <v>263</v>
      </c>
      <c r="B32" s="21">
        <f>B31/12</f>
        <v>3242160.0208333335</v>
      </c>
      <c r="C32" s="167"/>
      <c r="D32" s="166">
        <f>D23-D31</f>
        <v>0</v>
      </c>
      <c r="E32" s="166">
        <f>E23-E31</f>
        <v>7475.8600000003353</v>
      </c>
      <c r="F32" s="167"/>
      <c r="G32" s="167"/>
      <c r="H32" s="167"/>
      <c r="I32" s="166"/>
      <c r="J32" s="17"/>
      <c r="K32" s="82"/>
      <c r="L32" s="17"/>
      <c r="M32" s="17"/>
      <c r="N32" s="17"/>
    </row>
    <row r="33" spans="1:14" ht="19.5" customHeight="1">
      <c r="B33" s="166"/>
      <c r="C33" s="82"/>
      <c r="D33" s="166"/>
      <c r="E33" s="166"/>
      <c r="F33" s="166"/>
      <c r="G33" s="166"/>
      <c r="H33" s="166"/>
      <c r="I33" s="166"/>
      <c r="J33" s="17"/>
      <c r="K33" s="82"/>
      <c r="L33" s="82"/>
      <c r="M33" s="82"/>
      <c r="N33" s="82"/>
    </row>
    <row r="34" spans="1:14" ht="20.25">
      <c r="A34" s="77"/>
      <c r="B34" s="17"/>
      <c r="C34" s="17"/>
      <c r="D34" s="17"/>
      <c r="E34" s="17"/>
      <c r="F34" s="17"/>
      <c r="G34" s="6"/>
      <c r="H34" s="77"/>
      <c r="K34" s="444" t="s">
        <v>386</v>
      </c>
      <c r="L34" s="444"/>
      <c r="M34" s="444"/>
      <c r="N34" s="346"/>
    </row>
    <row r="35" spans="1:14">
      <c r="A35" s="77"/>
      <c r="B35" s="83"/>
      <c r="C35" s="83"/>
      <c r="D35" s="83"/>
      <c r="E35" s="83"/>
      <c r="F35" s="83"/>
      <c r="G35" s="77"/>
      <c r="H35" s="77"/>
      <c r="K35" s="499"/>
      <c r="L35" s="499"/>
      <c r="M35" s="499"/>
    </row>
    <row r="36" spans="1:14">
      <c r="A36" s="77"/>
      <c r="B36" s="6"/>
      <c r="C36" s="6"/>
      <c r="D36" s="6"/>
      <c r="E36" s="6"/>
      <c r="F36" s="6"/>
      <c r="G36" s="78"/>
      <c r="H36" s="78"/>
      <c r="K36" s="446" t="str">
        <f>A23</f>
        <v>2024 RECEITA CORRENTE LÍQUIDA</v>
      </c>
      <c r="L36" s="443"/>
      <c r="M36" s="80">
        <f>N23</f>
        <v>97368890.480000004</v>
      </c>
    </row>
    <row r="37" spans="1:14">
      <c r="B37" s="18"/>
      <c r="C37" s="18"/>
      <c r="D37" s="18"/>
      <c r="E37" s="18"/>
      <c r="F37" s="18"/>
      <c r="G37" s="18"/>
      <c r="H37" s="18"/>
      <c r="I37" s="18"/>
      <c r="J37" s="18"/>
      <c r="K37" s="436" t="str">
        <f>A25</f>
        <v>2023 RECEITA CORRENTE LÍQUIDA</v>
      </c>
      <c r="L37" s="436"/>
      <c r="M37" s="18">
        <f>N25</f>
        <v>9174126.2599999998</v>
      </c>
      <c r="N37" s="84"/>
    </row>
    <row r="38" spans="1:14">
      <c r="B38" s="18"/>
      <c r="C38" s="18"/>
      <c r="D38" s="18"/>
      <c r="E38" s="18"/>
      <c r="F38" s="18"/>
      <c r="G38" s="18"/>
      <c r="H38" s="18"/>
      <c r="I38" s="18"/>
      <c r="J38" s="18"/>
      <c r="K38" s="436" t="s">
        <v>438</v>
      </c>
      <c r="L38" s="436"/>
      <c r="M38" s="18"/>
      <c r="N38" s="84"/>
    </row>
    <row r="39" spans="1:14">
      <c r="B39" s="18"/>
      <c r="C39" s="18"/>
      <c r="D39" s="18"/>
      <c r="E39" s="18"/>
      <c r="F39" s="18"/>
      <c r="G39" s="18"/>
      <c r="H39" s="17"/>
      <c r="I39" s="18"/>
      <c r="J39" s="18"/>
      <c r="K39" s="436" t="s">
        <v>439</v>
      </c>
      <c r="L39" s="436"/>
      <c r="M39" s="18">
        <f>RECEITAS!D24+RECEITAS!D32</f>
        <v>8276841.3699999992</v>
      </c>
      <c r="N39" s="84"/>
    </row>
    <row r="40" spans="1:14">
      <c r="B40" s="18"/>
      <c r="C40" s="18"/>
      <c r="D40" s="18"/>
      <c r="E40" s="85"/>
      <c r="F40" s="18"/>
      <c r="G40" s="18"/>
      <c r="H40" s="18"/>
      <c r="I40" s="18"/>
      <c r="J40" s="18"/>
      <c r="K40" s="436" t="s">
        <v>387</v>
      </c>
      <c r="L40" s="436"/>
      <c r="M40" s="18">
        <f>M36+M37-M38-M39</f>
        <v>98266175.370000005</v>
      </c>
      <c r="N40" s="84"/>
    </row>
    <row r="41" spans="1:14">
      <c r="B41" s="18"/>
      <c r="C41" s="18"/>
      <c r="D41" s="18"/>
      <c r="E41" s="18"/>
      <c r="F41" s="18"/>
      <c r="G41" s="18"/>
      <c r="H41" s="17"/>
      <c r="I41" s="18"/>
      <c r="J41" s="18"/>
      <c r="K41" s="18"/>
      <c r="L41" s="18"/>
      <c r="M41" s="18"/>
      <c r="N41" s="84"/>
    </row>
    <row r="42" spans="1:14">
      <c r="A42" s="77"/>
      <c r="B42" s="18"/>
      <c r="C42" s="84"/>
      <c r="D42" s="84"/>
      <c r="E42" s="86"/>
      <c r="F42" s="84"/>
      <c r="G42" s="84"/>
      <c r="H42" s="84"/>
      <c r="I42" s="84"/>
      <c r="J42" s="84"/>
      <c r="K42" s="436" t="str">
        <f>A17</f>
        <v>2024 DESPESA LÍQUIDA COM PESSOAL</v>
      </c>
      <c r="L42" s="436"/>
      <c r="M42" s="18">
        <f>N17</f>
        <v>46932466.079999998</v>
      </c>
      <c r="N42" s="84"/>
    </row>
    <row r="43" spans="1:14">
      <c r="A43" s="77"/>
      <c r="B43" s="17"/>
      <c r="C43" s="17"/>
      <c r="D43" s="17"/>
      <c r="E43" s="17"/>
      <c r="F43" s="17"/>
      <c r="G43" s="17"/>
      <c r="H43" s="17"/>
      <c r="I43" s="17"/>
      <c r="J43" s="17"/>
      <c r="K43" s="436" t="str">
        <f>A19</f>
        <v>2023 DESPESA LÍQUIDA COM PESSOAL</v>
      </c>
      <c r="L43" s="436"/>
      <c r="M43" s="17">
        <f>N19</f>
        <v>4858322.8899999997</v>
      </c>
      <c r="N43" s="84"/>
    </row>
    <row r="44" spans="1:14">
      <c r="K44" s="443" t="s">
        <v>388</v>
      </c>
      <c r="L44" s="443"/>
      <c r="M44" s="80">
        <f>M42+M43</f>
        <v>51790788.969999999</v>
      </c>
    </row>
    <row r="46" spans="1:14">
      <c r="D46" s="81"/>
      <c r="K46" s="443" t="s">
        <v>391</v>
      </c>
      <c r="L46" s="443"/>
      <c r="M46" s="347">
        <f>M44/M40</f>
        <v>0.52704594205476096</v>
      </c>
    </row>
    <row r="47" spans="1:14">
      <c r="D47" s="81">
        <v>94297749.319999993</v>
      </c>
    </row>
    <row r="48" spans="1:14">
      <c r="D48" s="81"/>
    </row>
    <row r="49" spans="1:5">
      <c r="D49" s="81">
        <v>48352820.43</v>
      </c>
      <c r="E49" s="347">
        <f>D49/D47</f>
        <v>0.51276749210539907</v>
      </c>
    </row>
    <row r="50" spans="1:5">
      <c r="D50" s="81"/>
    </row>
    <row r="51" spans="1:5">
      <c r="D51" s="81">
        <f>D47*E51</f>
        <v>50920784.632799998</v>
      </c>
      <c r="E51" s="408">
        <v>0.54</v>
      </c>
    </row>
    <row r="53" spans="1:5">
      <c r="D53" s="80">
        <f>D51-D49</f>
        <v>2567964.2027999982</v>
      </c>
    </row>
    <row r="63" spans="1:5">
      <c r="A63" s="6" t="s">
        <v>48</v>
      </c>
    </row>
    <row r="66" spans="1:14" ht="31.5">
      <c r="A66" s="20" t="s">
        <v>48</v>
      </c>
      <c r="B66" s="24">
        <v>43831</v>
      </c>
      <c r="C66" s="24">
        <v>43862</v>
      </c>
      <c r="D66" s="24">
        <v>43525</v>
      </c>
      <c r="E66" s="24">
        <v>43556</v>
      </c>
      <c r="F66" s="24">
        <v>43586</v>
      </c>
      <c r="G66" s="24">
        <v>43617</v>
      </c>
      <c r="H66" s="24">
        <v>43647</v>
      </c>
      <c r="I66" s="24">
        <v>43678</v>
      </c>
      <c r="J66" s="24">
        <v>43709</v>
      </c>
      <c r="K66" s="25">
        <v>43739</v>
      </c>
      <c r="L66" s="24">
        <v>43770</v>
      </c>
      <c r="M66" s="24">
        <v>43800</v>
      </c>
      <c r="N66" s="26" t="s">
        <v>1</v>
      </c>
    </row>
    <row r="67" spans="1:14" ht="21.75" customHeight="1">
      <c r="A67" s="44" t="s">
        <v>59</v>
      </c>
      <c r="B67" s="4">
        <v>13416.82</v>
      </c>
      <c r="C67" s="4">
        <f>13077.75+829.79</f>
        <v>13907.54</v>
      </c>
      <c r="D67" s="4">
        <v>13077.75</v>
      </c>
      <c r="E67" s="4">
        <v>15569.66</v>
      </c>
      <c r="F67" s="4">
        <v>17569.66</v>
      </c>
      <c r="G67" s="4">
        <v>22279.01</v>
      </c>
      <c r="H67" s="4">
        <v>21938.58</v>
      </c>
      <c r="I67" s="4">
        <v>30544.84</v>
      </c>
      <c r="J67" s="4">
        <v>33372.120000000003</v>
      </c>
      <c r="K67" s="4">
        <v>31756</v>
      </c>
      <c r="L67" s="4">
        <v>33884.42</v>
      </c>
      <c r="M67" s="4">
        <v>47995.07</v>
      </c>
      <c r="N67" s="87"/>
    </row>
    <row r="68" spans="1:14" ht="19.5" customHeight="1">
      <c r="A68" s="88" t="s">
        <v>60</v>
      </c>
      <c r="B68" s="23">
        <f>3747.9+829.79</f>
        <v>4577.6900000000005</v>
      </c>
      <c r="C68" s="23">
        <f>3747.9+829.79</f>
        <v>4577.6900000000005</v>
      </c>
      <c r="D68" s="23">
        <v>4344.1000000000004</v>
      </c>
      <c r="E68" s="23">
        <v>3926.78</v>
      </c>
      <c r="F68" s="23">
        <v>3944.24</v>
      </c>
      <c r="G68" s="23">
        <v>5916.37</v>
      </c>
      <c r="H68" s="23">
        <v>4144.24</v>
      </c>
      <c r="I68" s="23">
        <v>4114.24</v>
      </c>
      <c r="J68" s="23">
        <v>4144.24</v>
      </c>
      <c r="K68" s="4">
        <v>4144.24</v>
      </c>
      <c r="L68" s="4">
        <v>4144.24</v>
      </c>
      <c r="M68" s="4">
        <v>6942.36</v>
      </c>
      <c r="N68" s="87"/>
    </row>
    <row r="69" spans="1:14">
      <c r="A69" s="75" t="s">
        <v>56</v>
      </c>
      <c r="B69" s="4">
        <f>59414.36+4765.73</f>
        <v>64180.09</v>
      </c>
      <c r="C69" s="4">
        <f>23658.66+5238.05</f>
        <v>28896.71</v>
      </c>
      <c r="D69" s="4">
        <v>95737.37</v>
      </c>
      <c r="E69" s="4">
        <v>105173.41</v>
      </c>
      <c r="F69" s="4">
        <f>76995+19033.13</f>
        <v>96028.13</v>
      </c>
      <c r="G69" s="4">
        <v>131842.4</v>
      </c>
      <c r="H69" s="4">
        <v>102419.16</v>
      </c>
      <c r="I69" s="4">
        <v>103452.65</v>
      </c>
      <c r="J69" s="4">
        <v>103252.65</v>
      </c>
      <c r="K69" s="4">
        <v>123805.99</v>
      </c>
      <c r="L69" s="4">
        <v>120929.04</v>
      </c>
      <c r="M69" s="4">
        <v>182167.32</v>
      </c>
      <c r="N69" s="59"/>
    </row>
    <row r="70" spans="1:14">
      <c r="A70" s="75" t="s">
        <v>57</v>
      </c>
      <c r="B70" s="4"/>
      <c r="C70" s="4"/>
      <c r="D70" s="4"/>
      <c r="E70" s="4"/>
      <c r="F70" s="59"/>
      <c r="G70" s="59"/>
      <c r="H70" s="59"/>
      <c r="I70" s="59"/>
      <c r="J70" s="59"/>
      <c r="K70" s="4"/>
      <c r="L70" s="59"/>
      <c r="M70" s="59"/>
      <c r="N70" s="59"/>
    </row>
    <row r="71" spans="1:14">
      <c r="A71" s="75" t="s">
        <v>58</v>
      </c>
      <c r="B71" s="4">
        <f>9089.08+2012.32</f>
        <v>11101.4</v>
      </c>
      <c r="C71" s="4">
        <f>9089.08+2012.32</f>
        <v>11101.4</v>
      </c>
      <c r="D71" s="4">
        <v>34600</v>
      </c>
      <c r="E71" s="4">
        <v>34600</v>
      </c>
      <c r="F71" s="4">
        <f>30600+9820.28</f>
        <v>40420.28</v>
      </c>
      <c r="G71" s="4">
        <v>58902.06</v>
      </c>
      <c r="H71" s="4">
        <v>44230.73</v>
      </c>
      <c r="I71" s="4">
        <v>50308.49</v>
      </c>
      <c r="J71" s="4">
        <v>48994</v>
      </c>
      <c r="K71" s="4">
        <v>50578.49</v>
      </c>
      <c r="L71" s="4">
        <v>176246.28</v>
      </c>
      <c r="M71" s="59">
        <v>258219.84</v>
      </c>
      <c r="N71" s="59"/>
    </row>
    <row r="72" spans="1:14">
      <c r="A72" s="75" t="s">
        <v>61</v>
      </c>
      <c r="B72" s="4">
        <f>3577.54+792.07</f>
        <v>4369.6099999999997</v>
      </c>
      <c r="C72" s="4">
        <f>3577.54+792.07</f>
        <v>4369.6099999999997</v>
      </c>
      <c r="D72" s="4">
        <v>4173.74</v>
      </c>
      <c r="E72" s="4">
        <v>3756.42</v>
      </c>
      <c r="F72" s="4">
        <v>3756.42</v>
      </c>
      <c r="G72" s="4">
        <v>5634.64</v>
      </c>
      <c r="H72" s="4">
        <v>3956.42</v>
      </c>
      <c r="I72" s="4">
        <v>3956.42</v>
      </c>
      <c r="J72" s="4">
        <v>3956.42</v>
      </c>
      <c r="K72" s="4">
        <v>3856.42</v>
      </c>
      <c r="L72" s="4">
        <v>3956.42</v>
      </c>
      <c r="M72" s="59">
        <v>6034.62</v>
      </c>
      <c r="N72" s="59"/>
    </row>
    <row r="73" spans="1:14">
      <c r="A73" s="100" t="s">
        <v>1</v>
      </c>
      <c r="B73" s="27">
        <f>SUM(B67:B72)</f>
        <v>97645.61</v>
      </c>
      <c r="C73" s="27">
        <f>SUM(C67:C72)</f>
        <v>62852.950000000004</v>
      </c>
      <c r="D73" s="27">
        <f t="shared" ref="D73:N73" si="10">SUM(D67:D72)</f>
        <v>151932.96</v>
      </c>
      <c r="E73" s="27">
        <f t="shared" si="10"/>
        <v>163026.27000000002</v>
      </c>
      <c r="F73" s="27">
        <f t="shared" si="10"/>
        <v>161718.73000000001</v>
      </c>
      <c r="G73" s="27">
        <f t="shared" si="10"/>
        <v>224574.48</v>
      </c>
      <c r="H73" s="27">
        <f t="shared" si="10"/>
        <v>176689.13000000003</v>
      </c>
      <c r="I73" s="27">
        <f t="shared" si="10"/>
        <v>192376.63999999998</v>
      </c>
      <c r="J73" s="27">
        <f t="shared" si="10"/>
        <v>193719.43000000002</v>
      </c>
      <c r="K73" s="27">
        <f t="shared" si="10"/>
        <v>214141.14</v>
      </c>
      <c r="L73" s="27">
        <f t="shared" si="10"/>
        <v>339160.39999999997</v>
      </c>
      <c r="M73" s="27">
        <f t="shared" si="10"/>
        <v>501359.20999999996</v>
      </c>
      <c r="N73" s="27">
        <f t="shared" si="10"/>
        <v>0</v>
      </c>
    </row>
    <row r="74" spans="1:14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7"/>
    </row>
    <row r="75" spans="1:14">
      <c r="B75" s="8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</row>
    <row r="76" spans="1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90">
        <v>20934.79</v>
      </c>
      <c r="M76" s="77"/>
      <c r="N76" s="77"/>
    </row>
    <row r="77" spans="1:14">
      <c r="A77" s="76" t="s">
        <v>50</v>
      </c>
      <c r="B77" s="6"/>
      <c r="C77" s="77"/>
      <c r="D77" s="77"/>
      <c r="E77" s="77"/>
      <c r="F77" s="77" t="s">
        <v>91</v>
      </c>
      <c r="G77" s="78" t="s">
        <v>86</v>
      </c>
      <c r="H77" s="78" t="s">
        <v>87</v>
      </c>
      <c r="I77" s="78" t="s">
        <v>88</v>
      </c>
      <c r="J77" s="78" t="s">
        <v>89</v>
      </c>
      <c r="K77" s="77" t="s">
        <v>90</v>
      </c>
      <c r="L77" s="91">
        <v>12949.63</v>
      </c>
      <c r="M77" s="77"/>
      <c r="N77" s="77"/>
    </row>
    <row r="78" spans="1:14">
      <c r="A78" s="76" t="s">
        <v>51</v>
      </c>
      <c r="B78" s="77"/>
      <c r="C78" s="77"/>
      <c r="D78" s="77"/>
      <c r="E78" s="77"/>
      <c r="F78" s="77">
        <v>29806.25</v>
      </c>
      <c r="G78" s="91">
        <v>2172.11</v>
      </c>
      <c r="H78" s="91">
        <v>2078.1999999999998</v>
      </c>
      <c r="I78" s="91">
        <v>12459.57</v>
      </c>
      <c r="J78" s="91">
        <v>5184.45</v>
      </c>
      <c r="K78" s="77">
        <v>63659.61</v>
      </c>
      <c r="L78" s="92">
        <f>SUM(L76:L77)</f>
        <v>33884.42</v>
      </c>
      <c r="M78" s="77"/>
      <c r="N78" s="77"/>
    </row>
    <row r="79" spans="1:14">
      <c r="A79" s="76" t="s">
        <v>52</v>
      </c>
      <c r="B79" s="93"/>
      <c r="C79" s="93"/>
      <c r="D79" s="93"/>
      <c r="E79" s="93"/>
      <c r="F79" s="77">
        <v>18188.82</v>
      </c>
      <c r="G79" s="77">
        <v>4770.25</v>
      </c>
      <c r="H79" s="91">
        <v>3956.42</v>
      </c>
      <c r="I79" s="91">
        <v>24621.48</v>
      </c>
      <c r="J79" s="91">
        <v>21950.04</v>
      </c>
      <c r="K79" s="77">
        <v>116737.12</v>
      </c>
      <c r="L79" s="77"/>
      <c r="M79" s="6"/>
      <c r="N79" s="6"/>
    </row>
    <row r="80" spans="1:14">
      <c r="A80" s="76" t="s">
        <v>53</v>
      </c>
      <c r="B80" s="76">
        <v>21427.02</v>
      </c>
      <c r="F80" s="94"/>
      <c r="G80" s="94"/>
      <c r="H80" s="94"/>
      <c r="I80" s="95">
        <v>47656.6</v>
      </c>
      <c r="J80" s="95">
        <v>11188.62</v>
      </c>
      <c r="K80" s="95"/>
      <c r="L80" s="94"/>
    </row>
    <row r="81" spans="1:12">
      <c r="A81" s="76" t="s">
        <v>54</v>
      </c>
      <c r="F81" s="94"/>
      <c r="G81" s="94"/>
      <c r="H81" s="94"/>
      <c r="I81" s="94">
        <v>97426.67</v>
      </c>
      <c r="J81" s="94">
        <v>39500</v>
      </c>
      <c r="K81" s="94"/>
      <c r="L81" s="94"/>
    </row>
    <row r="82" spans="1:12">
      <c r="A82" s="76" t="s">
        <v>55</v>
      </c>
    </row>
    <row r="83" spans="1:12">
      <c r="A83" s="76" t="s">
        <v>64</v>
      </c>
      <c r="B83" s="76">
        <v>37987.339999999997</v>
      </c>
      <c r="F83" s="96">
        <f t="shared" ref="F83:K83" si="11">SUM(F78:F82)</f>
        <v>47995.07</v>
      </c>
      <c r="G83" s="96">
        <f t="shared" si="11"/>
        <v>6942.3600000000006</v>
      </c>
      <c r="H83" s="96">
        <f t="shared" si="11"/>
        <v>6034.62</v>
      </c>
      <c r="I83" s="96">
        <f t="shared" si="11"/>
        <v>182164.32</v>
      </c>
      <c r="J83" s="96">
        <f t="shared" si="11"/>
        <v>77823.11</v>
      </c>
      <c r="K83" s="96">
        <f t="shared" si="11"/>
        <v>180396.72999999998</v>
      </c>
    </row>
    <row r="84" spans="1:12">
      <c r="B84" s="76">
        <v>21427.02</v>
      </c>
    </row>
    <row r="85" spans="1:12">
      <c r="B85" s="76">
        <f>SUM(B83:B84)</f>
        <v>59414.36</v>
      </c>
    </row>
    <row r="87" spans="1:12">
      <c r="G87" s="76">
        <v>29806.25</v>
      </c>
    </row>
    <row r="88" spans="1:12">
      <c r="G88" s="76">
        <v>18</v>
      </c>
    </row>
    <row r="96" spans="1:12">
      <c r="F96" s="76">
        <v>8450.1200000000008</v>
      </c>
    </row>
    <row r="97" spans="6:6">
      <c r="F97" s="76">
        <v>142723.28</v>
      </c>
    </row>
    <row r="98" spans="6:6">
      <c r="F98" s="76">
        <f>SUM(F96:F97)</f>
        <v>151173.4</v>
      </c>
    </row>
  </sheetData>
  <mergeCells count="13">
    <mergeCell ref="A2:N2"/>
    <mergeCell ref="A3:N3"/>
    <mergeCell ref="K31:M31"/>
    <mergeCell ref="K34:M35"/>
    <mergeCell ref="K43:L43"/>
    <mergeCell ref="K44:L44"/>
    <mergeCell ref="K46:L46"/>
    <mergeCell ref="K36:L36"/>
    <mergeCell ref="K37:L37"/>
    <mergeCell ref="K39:L39"/>
    <mergeCell ref="K40:L40"/>
    <mergeCell ref="K42:L42"/>
    <mergeCell ref="K38:L38"/>
  </mergeCells>
  <pageMargins left="0.511811024" right="0.511811024" top="0.78740157499999996" bottom="0.78740157499999996" header="0.31496062000000002" footer="0.31496062000000002"/>
  <pageSetup paperSize="9" scale="47" fitToHeight="0" orientation="landscape" r:id="rId1"/>
  <colBreaks count="1" manualBreakCount="1">
    <brk id="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topLeftCell="A6" zoomScaleNormal="100" workbookViewId="0">
      <selection activeCell="B29" sqref="B29"/>
    </sheetView>
  </sheetViews>
  <sheetFormatPr defaultRowHeight="15"/>
  <cols>
    <col min="1" max="1" width="93.85546875" customWidth="1"/>
    <col min="2" max="2" width="22.7109375" bestFit="1" customWidth="1"/>
    <col min="4" max="4" width="21.5703125" customWidth="1"/>
    <col min="5" max="5" width="14.28515625" bestFit="1" customWidth="1"/>
    <col min="6" max="7" width="13.28515625" bestFit="1" customWidth="1"/>
  </cols>
  <sheetData>
    <row r="1" spans="1:2" ht="18.75" thickBot="1">
      <c r="A1" s="456" t="s">
        <v>151</v>
      </c>
      <c r="B1" s="457"/>
    </row>
    <row r="2" spans="1:2">
      <c r="A2" s="458" t="s">
        <v>11</v>
      </c>
      <c r="B2" s="249" t="s">
        <v>6</v>
      </c>
    </row>
    <row r="3" spans="1:2" ht="15.75" thickBot="1">
      <c r="A3" s="459"/>
      <c r="B3" s="133" t="s">
        <v>2</v>
      </c>
    </row>
    <row r="4" spans="1:2">
      <c r="A4" s="134" t="s">
        <v>12</v>
      </c>
      <c r="B4" s="135">
        <f>SUM(B5:B8)</f>
        <v>3810586.51</v>
      </c>
    </row>
    <row r="5" spans="1:2">
      <c r="A5" s="136" t="s">
        <v>13</v>
      </c>
      <c r="B5" s="137">
        <f>RECEITAS!N4</f>
        <v>277865.91000000003</v>
      </c>
    </row>
    <row r="6" spans="1:2">
      <c r="A6" s="136" t="s">
        <v>14</v>
      </c>
      <c r="B6" s="137">
        <f>RECEITAS!N6</f>
        <v>427059.06</v>
      </c>
    </row>
    <row r="7" spans="1:2">
      <c r="A7" s="136" t="s">
        <v>256</v>
      </c>
      <c r="B7" s="137">
        <f>RECEITAS!N5</f>
        <v>981099.41</v>
      </c>
    </row>
    <row r="8" spans="1:2">
      <c r="A8" s="136" t="s">
        <v>15</v>
      </c>
      <c r="B8" s="137">
        <f>RECEITAS!N7</f>
        <v>2124562.13</v>
      </c>
    </row>
    <row r="9" spans="1:2">
      <c r="A9" s="138" t="s">
        <v>150</v>
      </c>
      <c r="B9" s="135">
        <f>SUM(B10:B16)</f>
        <v>47112472.589999989</v>
      </c>
    </row>
    <row r="10" spans="1:2">
      <c r="A10" s="136" t="s">
        <v>16</v>
      </c>
      <c r="B10" s="137">
        <f>RECEITAS!N14</f>
        <v>35031037.909999996</v>
      </c>
    </row>
    <row r="11" spans="1:2">
      <c r="A11" s="136" t="s">
        <v>17</v>
      </c>
      <c r="B11" s="137">
        <f>RECEITAS!N16</f>
        <v>82613.640000000014</v>
      </c>
    </row>
    <row r="12" spans="1:2">
      <c r="A12" s="136" t="s">
        <v>18</v>
      </c>
      <c r="B12" s="137">
        <f>RECEITAS!N27</f>
        <v>766558.35999999987</v>
      </c>
    </row>
    <row r="13" spans="1:2">
      <c r="A13" s="136" t="s">
        <v>19</v>
      </c>
      <c r="B13" s="137">
        <f>RECEITAS!N26</f>
        <v>11153214.629999999</v>
      </c>
    </row>
    <row r="14" spans="1:2">
      <c r="A14" s="136" t="s">
        <v>20</v>
      </c>
      <c r="B14" s="137">
        <f>RECEITAS!N28</f>
        <v>79048.05</v>
      </c>
    </row>
    <row r="15" spans="1:2">
      <c r="A15" s="136" t="s">
        <v>21</v>
      </c>
      <c r="B15" s="137">
        <v>0</v>
      </c>
    </row>
    <row r="16" spans="1:2">
      <c r="A16" s="136" t="s">
        <v>22</v>
      </c>
      <c r="B16" s="137">
        <v>0</v>
      </c>
    </row>
    <row r="17" spans="1:5" ht="15.75" thickBot="1">
      <c r="A17" s="140" t="s">
        <v>23</v>
      </c>
      <c r="B17" s="139">
        <f>SUM(B4,B9)</f>
        <v>50923059.099999987</v>
      </c>
      <c r="D17" s="277"/>
    </row>
    <row r="18" spans="1:5">
      <c r="D18" s="277"/>
    </row>
    <row r="19" spans="1:5" ht="15.75" thickBot="1"/>
    <row r="20" spans="1:5">
      <c r="A20" s="131" t="s">
        <v>24</v>
      </c>
      <c r="B20" s="250" t="s">
        <v>9</v>
      </c>
      <c r="E20" s="3"/>
    </row>
    <row r="21" spans="1:5" ht="15.75" thickBot="1">
      <c r="A21" s="132" t="s">
        <v>25</v>
      </c>
      <c r="B21" s="207" t="s">
        <v>2</v>
      </c>
      <c r="E21" s="3"/>
    </row>
    <row r="22" spans="1:5">
      <c r="A22" s="1" t="s">
        <v>3</v>
      </c>
      <c r="B22" s="278">
        <v>9713896.2100000009</v>
      </c>
    </row>
    <row r="23" spans="1:5">
      <c r="A23" s="2" t="s">
        <v>4</v>
      </c>
      <c r="B23" s="278">
        <v>0</v>
      </c>
    </row>
    <row r="24" spans="1:5">
      <c r="A24" s="130" t="s">
        <v>265</v>
      </c>
      <c r="B24" s="129">
        <f>SUM(B22:B23)</f>
        <v>9713896.2100000009</v>
      </c>
      <c r="E24" s="168"/>
    </row>
    <row r="25" spans="1:5" ht="15.75" thickBot="1">
      <c r="E25" s="168"/>
    </row>
    <row r="26" spans="1:5" ht="15.75" thickBot="1">
      <c r="A26" s="141" t="s">
        <v>257</v>
      </c>
      <c r="B26" s="276">
        <f>B24/B17</f>
        <v>0.19075633674961218</v>
      </c>
      <c r="E26" s="168"/>
    </row>
    <row r="27" spans="1:5" ht="15.75" thickBot="1">
      <c r="B27" t="s">
        <v>28</v>
      </c>
      <c r="E27" s="171"/>
    </row>
    <row r="28" spans="1:5">
      <c r="A28" s="290" t="s">
        <v>267</v>
      </c>
      <c r="B28" s="291">
        <f>(B24-(B17*15%))</f>
        <v>2075437.3450000035</v>
      </c>
    </row>
    <row r="29" spans="1:5">
      <c r="A29" s="292" t="s">
        <v>268</v>
      </c>
      <c r="B29" s="293">
        <f>B28/B17</f>
        <v>4.0756336749612203E-2</v>
      </c>
    </row>
    <row r="31" spans="1:5">
      <c r="B31" s="277"/>
    </row>
    <row r="35" spans="4:7">
      <c r="E35" t="s">
        <v>286</v>
      </c>
      <c r="F35" t="s">
        <v>287</v>
      </c>
      <c r="G35" t="s">
        <v>288</v>
      </c>
    </row>
    <row r="36" spans="4:7">
      <c r="D36" t="s">
        <v>285</v>
      </c>
      <c r="E36" s="168">
        <v>5458032.0099999998</v>
      </c>
      <c r="F36" s="168">
        <v>4141693.92</v>
      </c>
      <c r="G36" s="168">
        <v>3590220.9</v>
      </c>
    </row>
    <row r="37" spans="4:7">
      <c r="D37" t="s">
        <v>289</v>
      </c>
      <c r="E37" s="168">
        <v>5084532.01</v>
      </c>
      <c r="F37" s="168">
        <v>2662085.1800000002</v>
      </c>
      <c r="G37" s="168">
        <v>2265026.04</v>
      </c>
    </row>
    <row r="38" spans="4:7">
      <c r="E38" s="168"/>
      <c r="F38" s="168"/>
      <c r="G38" s="168"/>
    </row>
    <row r="39" spans="4:7">
      <c r="D39" t="s">
        <v>276</v>
      </c>
      <c r="E39" s="168">
        <f>E36-E37</f>
        <v>373500</v>
      </c>
      <c r="F39" s="168">
        <f t="shared" ref="F39:G39" si="0">F36-F37</f>
        <v>1479608.7399999998</v>
      </c>
      <c r="G39" s="168">
        <f t="shared" si="0"/>
        <v>1325194.8599999999</v>
      </c>
    </row>
  </sheetData>
  <mergeCells count="2">
    <mergeCell ref="A1:B1"/>
    <mergeCell ref="A2:A3"/>
  </mergeCells>
  <pageMargins left="0.511811024" right="0.511811024" top="0.78740157499999996" bottom="0.78740157499999996" header="0.31496062000000002" footer="0.31496062000000002"/>
  <pageSetup paperSize="9" scale="67" fitToHeight="0" orientation="portrait" r:id="rId1"/>
  <rowBreaks count="1" manualBreakCount="1">
    <brk id="2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77D2-948C-492D-BBA6-ABBBE8A5CD5C}">
  <dimension ref="A1:N76"/>
  <sheetViews>
    <sheetView zoomScaleNormal="100" workbookViewId="0">
      <selection activeCell="E3" sqref="E3:E5"/>
    </sheetView>
  </sheetViews>
  <sheetFormatPr defaultColWidth="8.85546875" defaultRowHeight="15" customHeight="1"/>
  <cols>
    <col min="1" max="1" width="9.7109375" style="318" customWidth="1"/>
    <col min="2" max="2" width="55.42578125" style="318" customWidth="1"/>
    <col min="3" max="4" width="14" style="314" bestFit="1" customWidth="1"/>
    <col min="5" max="5" width="9.28515625" style="333" customWidth="1"/>
    <col min="6" max="6" width="14" style="314" bestFit="1" customWidth="1"/>
    <col min="7" max="7" width="8.28515625" style="333" customWidth="1"/>
    <col min="8" max="8" width="14.5703125" style="314" bestFit="1" customWidth="1"/>
    <col min="9" max="9" width="9.5703125" style="333" customWidth="1"/>
    <col min="10" max="10" width="12.85546875" style="318" bestFit="1" customWidth="1"/>
    <col min="11" max="11" width="15.28515625" style="318" bestFit="1" customWidth="1"/>
    <col min="12" max="12" width="8.85546875" style="318"/>
    <col min="13" max="13" width="13.85546875" style="318" customWidth="1"/>
    <col min="14" max="14" width="13.7109375" style="318" customWidth="1"/>
    <col min="15" max="16384" width="8.85546875" style="318"/>
  </cols>
  <sheetData>
    <row r="1" spans="1:14" s="313" customFormat="1" ht="33.75" customHeight="1">
      <c r="A1" s="311" t="s">
        <v>322</v>
      </c>
      <c r="B1" s="328" t="s">
        <v>323</v>
      </c>
      <c r="C1" s="337" t="s">
        <v>316</v>
      </c>
      <c r="D1" s="337" t="s">
        <v>320</v>
      </c>
      <c r="E1" s="312" t="s">
        <v>366</v>
      </c>
      <c r="F1" s="337" t="s">
        <v>317</v>
      </c>
      <c r="G1" s="312" t="s">
        <v>367</v>
      </c>
      <c r="H1" s="337" t="s">
        <v>321</v>
      </c>
      <c r="I1" s="312" t="s">
        <v>368</v>
      </c>
      <c r="J1" s="311" t="s">
        <v>318</v>
      </c>
      <c r="K1" s="311" t="s">
        <v>369</v>
      </c>
    </row>
    <row r="2" spans="1:14" ht="9.75" customHeight="1">
      <c r="A2" s="338"/>
      <c r="B2" s="338"/>
      <c r="C2" s="315"/>
      <c r="D2" s="315"/>
      <c r="E2" s="316"/>
      <c r="F2" s="315"/>
      <c r="G2" s="316"/>
      <c r="H2" s="315"/>
      <c r="I2" s="316"/>
      <c r="J2" s="317"/>
      <c r="K2" s="317"/>
    </row>
    <row r="3" spans="1:14" ht="15" customHeight="1">
      <c r="A3" s="319">
        <v>1500</v>
      </c>
      <c r="B3" s="329" t="s">
        <v>324</v>
      </c>
      <c r="C3" s="511" t="e">
        <f>(RECEITAS!N4+RECEITAS!N5+RECEITAS!N6+RECEITAS!N7+RECEITAS!N14+RECEITAS!N15+RECEITAS!N16+RECEITAS!N26+RECEITAS!N27+RECEITAS!N28)-(RECEITAS!#REF!)</f>
        <v>#REF!</v>
      </c>
      <c r="D3" s="504">
        <f>12619581.3+1494786.1+5458032.01</f>
        <v>19572399.41</v>
      </c>
      <c r="E3" s="500" t="e">
        <f>D3/C3</f>
        <v>#REF!</v>
      </c>
      <c r="F3" s="505">
        <f>6887026.78+720978.57+4141693.92</f>
        <v>11749699.27</v>
      </c>
      <c r="G3" s="506" t="e">
        <f>F3/C3</f>
        <v>#REF!</v>
      </c>
      <c r="H3" s="504">
        <f>6002779.25+626102.68+3590220.9</f>
        <v>10219102.83</v>
      </c>
      <c r="I3" s="500" t="e">
        <f>H3/C3</f>
        <v>#REF!</v>
      </c>
      <c r="J3" s="503">
        <f>716397.78+224.58+358183.46</f>
        <v>1074805.82</v>
      </c>
      <c r="K3" s="502" t="e">
        <f>C3-F3-J3</f>
        <v>#REF!</v>
      </c>
    </row>
    <row r="4" spans="1:14" ht="15" customHeight="1">
      <c r="A4" s="319">
        <v>15001001</v>
      </c>
      <c r="B4" s="329" t="s">
        <v>325</v>
      </c>
      <c r="C4" s="511"/>
      <c r="D4" s="504"/>
      <c r="E4" s="500"/>
      <c r="F4" s="505"/>
      <c r="G4" s="507"/>
      <c r="H4" s="504"/>
      <c r="I4" s="500"/>
      <c r="J4" s="503"/>
      <c r="K4" s="502"/>
    </row>
    <row r="5" spans="1:14" ht="15" customHeight="1">
      <c r="A5" s="319">
        <v>15001002</v>
      </c>
      <c r="B5" s="329" t="s">
        <v>326</v>
      </c>
      <c r="C5" s="511"/>
      <c r="D5" s="504"/>
      <c r="E5" s="500"/>
      <c r="F5" s="505"/>
      <c r="G5" s="508"/>
      <c r="H5" s="504"/>
      <c r="I5" s="500"/>
      <c r="J5" s="503"/>
      <c r="K5" s="502"/>
    </row>
    <row r="6" spans="1:14" ht="15" customHeight="1">
      <c r="A6" s="319">
        <v>1501</v>
      </c>
      <c r="B6" s="329" t="s">
        <v>327</v>
      </c>
      <c r="C6" s="315">
        <v>243060.4</v>
      </c>
      <c r="D6" s="320">
        <v>20600</v>
      </c>
      <c r="E6" s="334">
        <f>D6/C6</f>
        <v>8.4752596473962855E-2</v>
      </c>
      <c r="F6" s="321">
        <v>71.540000000000006</v>
      </c>
      <c r="G6" s="327">
        <f>F6/C6</f>
        <v>2.9433013357996619E-4</v>
      </c>
      <c r="H6" s="320">
        <v>71.540000000000006</v>
      </c>
      <c r="I6" s="334">
        <f>H6/C6</f>
        <v>2.9433013357996619E-4</v>
      </c>
      <c r="J6" s="212"/>
      <c r="K6" s="323">
        <f t="shared" ref="K6:K50" si="0">C6-F6-J6</f>
        <v>242988.86</v>
      </c>
    </row>
    <row r="7" spans="1:14" ht="15" customHeight="1">
      <c r="A7" s="319">
        <v>1540</v>
      </c>
      <c r="B7" s="329" t="s">
        <v>328</v>
      </c>
      <c r="C7" s="512">
        <f>RECEITAS!N31+RECEITAS!N47</f>
        <v>15553700.539999997</v>
      </c>
      <c r="D7" s="504">
        <f>1020000+4800000</f>
        <v>5820000</v>
      </c>
      <c r="E7" s="500">
        <f>D7/C7</f>
        <v>0.37418747937396002</v>
      </c>
      <c r="F7" s="505">
        <f>629121.61+3416534.72</f>
        <v>4045656.33</v>
      </c>
      <c r="G7" s="506">
        <f>F7/C7</f>
        <v>0.26010892517800788</v>
      </c>
      <c r="H7" s="504">
        <f>629121.61+3416534.72</f>
        <v>4045656.33</v>
      </c>
      <c r="I7" s="500">
        <f>H7/C7</f>
        <v>0.26010892517800788</v>
      </c>
      <c r="J7" s="503">
        <f>861586.48-331032.38</f>
        <v>530554.1</v>
      </c>
      <c r="K7" s="502">
        <f t="shared" si="0"/>
        <v>10977490.109999998</v>
      </c>
    </row>
    <row r="8" spans="1:14" ht="15" customHeight="1">
      <c r="A8" s="319">
        <v>15401070</v>
      </c>
      <c r="B8" s="329" t="s">
        <v>328</v>
      </c>
      <c r="C8" s="512"/>
      <c r="D8" s="504"/>
      <c r="E8" s="500"/>
      <c r="F8" s="505"/>
      <c r="G8" s="508"/>
      <c r="H8" s="504"/>
      <c r="I8" s="500"/>
      <c r="J8" s="503"/>
      <c r="K8" s="502"/>
    </row>
    <row r="9" spans="1:14" ht="15" customHeight="1">
      <c r="A9" s="319">
        <v>1541</v>
      </c>
      <c r="B9" s="329" t="s">
        <v>329</v>
      </c>
      <c r="C9" s="512">
        <f>RECEITAS!N21</f>
        <v>5077841.6400000015</v>
      </c>
      <c r="D9" s="504">
        <f>419000+3010000</f>
        <v>3429000</v>
      </c>
      <c r="E9" s="500">
        <f>D9/C9</f>
        <v>0.67528691186202472</v>
      </c>
      <c r="F9" s="505">
        <f>160617.48+2033967.5</f>
        <v>2194584.98</v>
      </c>
      <c r="G9" s="506">
        <f>F9/C9</f>
        <v>0.4321885430046612</v>
      </c>
      <c r="H9" s="504">
        <f>160617.48+2033967.5</f>
        <v>2194584.98</v>
      </c>
      <c r="I9" s="500">
        <f>H9/C9</f>
        <v>0.4321885430046612</v>
      </c>
      <c r="J9" s="503">
        <v>564670.23</v>
      </c>
      <c r="K9" s="502">
        <f t="shared" si="0"/>
        <v>2318586.4300000016</v>
      </c>
    </row>
    <row r="10" spans="1:14" ht="15" customHeight="1">
      <c r="A10" s="319">
        <v>15411070</v>
      </c>
      <c r="B10" s="329" t="s">
        <v>329</v>
      </c>
      <c r="C10" s="512"/>
      <c r="D10" s="504"/>
      <c r="E10" s="500"/>
      <c r="F10" s="505"/>
      <c r="G10" s="508"/>
      <c r="H10" s="504"/>
      <c r="I10" s="500"/>
      <c r="J10" s="503"/>
      <c r="K10" s="502"/>
    </row>
    <row r="11" spans="1:14" ht="15" customHeight="1">
      <c r="A11" s="319">
        <v>1542</v>
      </c>
      <c r="B11" s="329" t="s">
        <v>330</v>
      </c>
      <c r="C11" s="511">
        <f>RECEITAS!N20</f>
        <v>5436273.29</v>
      </c>
      <c r="D11" s="511">
        <f>0+850000</f>
        <v>850000</v>
      </c>
      <c r="E11" s="501">
        <f>D11/C11</f>
        <v>0.15635711353282608</v>
      </c>
      <c r="F11" s="505">
        <f>0+514123.35</f>
        <v>514123.35</v>
      </c>
      <c r="G11" s="506">
        <f>F11/C11</f>
        <v>9.4572756477443384E-2</v>
      </c>
      <c r="H11" s="504">
        <f>0+514123.35</f>
        <v>514123.35</v>
      </c>
      <c r="I11" s="501">
        <f>H11/C11</f>
        <v>9.4572756477443384E-2</v>
      </c>
      <c r="J11" s="503">
        <v>140108.07</v>
      </c>
      <c r="K11" s="502">
        <f t="shared" si="0"/>
        <v>4782041.87</v>
      </c>
      <c r="M11" s="318" t="s">
        <v>382</v>
      </c>
      <c r="N11" s="344">
        <v>260.02999999999997</v>
      </c>
    </row>
    <row r="12" spans="1:14" ht="15" customHeight="1">
      <c r="A12" s="319">
        <v>15421070</v>
      </c>
      <c r="B12" s="329" t="s">
        <v>330</v>
      </c>
      <c r="C12" s="511"/>
      <c r="D12" s="511"/>
      <c r="E12" s="501"/>
      <c r="F12" s="505"/>
      <c r="G12" s="508"/>
      <c r="H12" s="504"/>
      <c r="I12" s="501"/>
      <c r="J12" s="503"/>
      <c r="K12" s="502"/>
      <c r="M12" s="318" t="s">
        <v>382</v>
      </c>
      <c r="N12" s="344">
        <v>217.76</v>
      </c>
    </row>
    <row r="13" spans="1:14" ht="15" customHeight="1">
      <c r="A13" s="319">
        <v>1543</v>
      </c>
      <c r="B13" s="329" t="s">
        <v>331</v>
      </c>
      <c r="C13" s="315">
        <v>0</v>
      </c>
      <c r="D13" s="315">
        <v>0</v>
      </c>
      <c r="E13" s="335"/>
      <c r="F13" s="315"/>
      <c r="G13" s="327"/>
      <c r="H13" s="320">
        <v>0</v>
      </c>
      <c r="I13" s="335"/>
      <c r="J13" s="212">
        <v>0</v>
      </c>
      <c r="K13" s="323">
        <f t="shared" si="0"/>
        <v>0</v>
      </c>
      <c r="M13" s="318" t="s">
        <v>383</v>
      </c>
      <c r="N13" s="344">
        <v>299</v>
      </c>
    </row>
    <row r="14" spans="1:14" ht="15" customHeight="1">
      <c r="A14" s="319">
        <v>1544</v>
      </c>
      <c r="B14" s="329" t="s">
        <v>332</v>
      </c>
      <c r="C14" s="315">
        <v>0</v>
      </c>
      <c r="D14" s="320">
        <v>20000</v>
      </c>
      <c r="E14" s="335"/>
      <c r="F14" s="315"/>
      <c r="G14" s="327"/>
      <c r="H14" s="320">
        <v>0</v>
      </c>
      <c r="I14" s="335"/>
      <c r="J14" s="212">
        <v>0</v>
      </c>
      <c r="K14" s="323">
        <f t="shared" si="0"/>
        <v>0</v>
      </c>
      <c r="M14" s="318" t="s">
        <v>382</v>
      </c>
      <c r="N14" s="344">
        <v>246.02</v>
      </c>
    </row>
    <row r="15" spans="1:14" ht="15" customHeight="1">
      <c r="A15" s="319">
        <v>1550</v>
      </c>
      <c r="B15" s="329" t="s">
        <v>333</v>
      </c>
      <c r="C15" s="332">
        <v>174892.14</v>
      </c>
      <c r="D15" s="320">
        <v>263600</v>
      </c>
      <c r="E15" s="335">
        <f t="shared" ref="E15:E47" si="1">D15/C15</f>
        <v>1.5072146752850071</v>
      </c>
      <c r="F15" s="321">
        <v>166106.09</v>
      </c>
      <c r="G15" s="327">
        <f>F15/C15</f>
        <v>0.94976303680657104</v>
      </c>
      <c r="H15" s="320">
        <v>144520.75</v>
      </c>
      <c r="I15" s="335">
        <f>H15/C15</f>
        <v>0.82634216723518839</v>
      </c>
      <c r="J15" s="212">
        <v>0</v>
      </c>
      <c r="K15" s="323">
        <f t="shared" si="0"/>
        <v>8786.0500000000175</v>
      </c>
      <c r="M15" s="318" t="s">
        <v>384</v>
      </c>
      <c r="N15" s="345">
        <f>SUM(N11:N14)</f>
        <v>1022.81</v>
      </c>
    </row>
    <row r="16" spans="1:14" ht="15" customHeight="1">
      <c r="A16" s="319">
        <v>1551</v>
      </c>
      <c r="B16" s="329" t="s">
        <v>365</v>
      </c>
      <c r="C16" s="332">
        <v>190.67</v>
      </c>
      <c r="D16" s="315">
        <v>0</v>
      </c>
      <c r="E16" s="335">
        <f t="shared" si="1"/>
        <v>0</v>
      </c>
      <c r="F16" s="321">
        <v>0</v>
      </c>
      <c r="G16" s="327">
        <f>F16/C16</f>
        <v>0</v>
      </c>
      <c r="H16" s="320">
        <v>0</v>
      </c>
      <c r="I16" s="335">
        <f t="shared" ref="I16:I47" si="2">H16/C16</f>
        <v>0</v>
      </c>
      <c r="J16" s="212">
        <v>0</v>
      </c>
      <c r="K16" s="323">
        <f t="shared" si="0"/>
        <v>190.67</v>
      </c>
    </row>
    <row r="17" spans="1:11" ht="15" customHeight="1">
      <c r="A17" s="319">
        <v>1552</v>
      </c>
      <c r="B17" s="329" t="s">
        <v>364</v>
      </c>
      <c r="C17" s="332">
        <v>106387.77</v>
      </c>
      <c r="D17" s="320">
        <v>208500</v>
      </c>
      <c r="E17" s="335">
        <f t="shared" si="1"/>
        <v>1.9598117339991241</v>
      </c>
      <c r="F17" s="321">
        <v>131906.5</v>
      </c>
      <c r="G17" s="327">
        <f>F17/C17</f>
        <v>1.2398652589484673</v>
      </c>
      <c r="H17" s="320">
        <v>82465.75</v>
      </c>
      <c r="I17" s="335">
        <f t="shared" si="2"/>
        <v>0.77514313910330102</v>
      </c>
      <c r="J17" s="212">
        <v>0</v>
      </c>
      <c r="K17" s="323">
        <f t="shared" si="0"/>
        <v>-25518.729999999996</v>
      </c>
    </row>
    <row r="18" spans="1:11" ht="15" customHeight="1">
      <c r="A18" s="319">
        <v>1553</v>
      </c>
      <c r="B18" s="329" t="s">
        <v>319</v>
      </c>
      <c r="C18" s="332">
        <v>1171.01</v>
      </c>
      <c r="D18" s="320">
        <v>50000</v>
      </c>
      <c r="E18" s="335">
        <f t="shared" si="1"/>
        <v>42.698183619268839</v>
      </c>
      <c r="F18" s="321">
        <v>0</v>
      </c>
      <c r="G18" s="327">
        <f>F18/C18</f>
        <v>0</v>
      </c>
      <c r="H18" s="320">
        <v>0</v>
      </c>
      <c r="I18" s="335">
        <f t="shared" si="2"/>
        <v>0</v>
      </c>
      <c r="J18" s="212">
        <v>0</v>
      </c>
      <c r="K18" s="323">
        <f t="shared" si="0"/>
        <v>1171.01</v>
      </c>
    </row>
    <row r="19" spans="1:11" ht="15" customHeight="1">
      <c r="A19" s="319">
        <v>1569</v>
      </c>
      <c r="B19" s="329" t="s">
        <v>334</v>
      </c>
      <c r="C19" s="332">
        <v>126.76</v>
      </c>
      <c r="D19" s="315">
        <v>0</v>
      </c>
      <c r="E19" s="335">
        <f t="shared" si="1"/>
        <v>0</v>
      </c>
      <c r="F19" s="321">
        <v>0</v>
      </c>
      <c r="G19" s="327">
        <f>F19/C19</f>
        <v>0</v>
      </c>
      <c r="H19" s="320">
        <v>0</v>
      </c>
      <c r="I19" s="335">
        <f t="shared" si="2"/>
        <v>0</v>
      </c>
      <c r="J19" s="212">
        <v>0</v>
      </c>
      <c r="K19" s="323">
        <f t="shared" si="0"/>
        <v>126.76</v>
      </c>
    </row>
    <row r="20" spans="1:11" ht="15" customHeight="1">
      <c r="A20" s="319">
        <v>1570</v>
      </c>
      <c r="B20" s="329" t="s">
        <v>335</v>
      </c>
      <c r="C20" s="332">
        <v>1806.92</v>
      </c>
      <c r="D20" s="315">
        <v>0</v>
      </c>
      <c r="E20" s="335">
        <f t="shared" si="1"/>
        <v>0</v>
      </c>
      <c r="F20" s="321">
        <v>0</v>
      </c>
      <c r="G20" s="327">
        <f t="shared" ref="G20:G21" si="3">F20/C20</f>
        <v>0</v>
      </c>
      <c r="H20" s="320">
        <v>0</v>
      </c>
      <c r="I20" s="335">
        <f t="shared" si="2"/>
        <v>0</v>
      </c>
      <c r="J20" s="212">
        <v>0</v>
      </c>
      <c r="K20" s="323">
        <f t="shared" si="0"/>
        <v>1806.92</v>
      </c>
    </row>
    <row r="21" spans="1:11" ht="15" customHeight="1">
      <c r="A21" s="319">
        <v>1571</v>
      </c>
      <c r="B21" s="329" t="s">
        <v>360</v>
      </c>
      <c r="C21" s="332">
        <v>58.28</v>
      </c>
      <c r="D21" s="315">
        <v>0</v>
      </c>
      <c r="E21" s="335">
        <f t="shared" si="1"/>
        <v>0</v>
      </c>
      <c r="F21" s="321">
        <v>0</v>
      </c>
      <c r="G21" s="327">
        <f t="shared" si="3"/>
        <v>0</v>
      </c>
      <c r="H21" s="320">
        <v>0</v>
      </c>
      <c r="I21" s="335">
        <f t="shared" si="2"/>
        <v>0</v>
      </c>
      <c r="J21" s="212">
        <v>0</v>
      </c>
      <c r="K21" s="323">
        <f t="shared" si="0"/>
        <v>58.28</v>
      </c>
    </row>
    <row r="22" spans="1:11" ht="15" customHeight="1">
      <c r="A22" s="319">
        <v>1576</v>
      </c>
      <c r="B22" s="329" t="s">
        <v>336</v>
      </c>
      <c r="C22" s="332">
        <v>0</v>
      </c>
      <c r="D22" s="315">
        <v>0</v>
      </c>
      <c r="E22" s="335"/>
      <c r="F22" s="321">
        <v>0</v>
      </c>
      <c r="G22" s="327"/>
      <c r="H22" s="320">
        <v>0</v>
      </c>
      <c r="I22" s="335"/>
      <c r="J22" s="212">
        <v>0</v>
      </c>
      <c r="K22" s="323">
        <f t="shared" si="0"/>
        <v>0</v>
      </c>
    </row>
    <row r="23" spans="1:11" ht="15" customHeight="1">
      <c r="A23" s="319">
        <v>1600</v>
      </c>
      <c r="B23" s="329" t="s">
        <v>337</v>
      </c>
      <c r="C23" s="332">
        <v>613453.48</v>
      </c>
      <c r="D23" s="320">
        <v>2912668</v>
      </c>
      <c r="E23" s="335">
        <f t="shared" si="1"/>
        <v>4.7479851283914796</v>
      </c>
      <c r="F23" s="321">
        <v>1366817.96</v>
      </c>
      <c r="G23" s="327">
        <f>F23/C23</f>
        <v>2.2280710837274897</v>
      </c>
      <c r="H23" s="320">
        <v>1169775.95</v>
      </c>
      <c r="I23" s="335">
        <f t="shared" si="2"/>
        <v>1.9068698575155201</v>
      </c>
      <c r="J23" s="324">
        <v>21232.58</v>
      </c>
      <c r="K23" s="323">
        <f t="shared" si="0"/>
        <v>-774597.05999999994</v>
      </c>
    </row>
    <row r="24" spans="1:11" ht="15" customHeight="1">
      <c r="A24" s="319">
        <v>1601</v>
      </c>
      <c r="B24" s="329" t="s">
        <v>361</v>
      </c>
      <c r="C24" s="332">
        <v>0</v>
      </c>
      <c r="D24" s="320">
        <v>0</v>
      </c>
      <c r="E24" s="335"/>
      <c r="F24" s="321">
        <v>0</v>
      </c>
      <c r="G24" s="327"/>
      <c r="H24" s="320">
        <v>0</v>
      </c>
      <c r="I24" s="335"/>
      <c r="J24" s="317"/>
      <c r="K24" s="323">
        <f t="shared" si="0"/>
        <v>0</v>
      </c>
    </row>
    <row r="25" spans="1:11" ht="15" customHeight="1">
      <c r="A25" s="319">
        <v>1602</v>
      </c>
      <c r="B25" s="329" t="s">
        <v>358</v>
      </c>
      <c r="C25" s="332">
        <v>0</v>
      </c>
      <c r="D25" s="320">
        <v>26500</v>
      </c>
      <c r="E25" s="335"/>
      <c r="F25" s="321">
        <v>0</v>
      </c>
      <c r="G25" s="327"/>
      <c r="H25" s="320">
        <v>0</v>
      </c>
      <c r="I25" s="335"/>
      <c r="J25" s="317"/>
      <c r="K25" s="323">
        <f t="shared" si="0"/>
        <v>0</v>
      </c>
    </row>
    <row r="26" spans="1:11" ht="15" customHeight="1">
      <c r="A26" s="319">
        <v>1604</v>
      </c>
      <c r="B26" s="329" t="s">
        <v>359</v>
      </c>
      <c r="C26" s="332">
        <v>596241.4</v>
      </c>
      <c r="D26" s="320">
        <v>960000</v>
      </c>
      <c r="E26" s="335">
        <f t="shared" si="1"/>
        <v>1.6100861161267901</v>
      </c>
      <c r="F26" s="321">
        <v>475360.3</v>
      </c>
      <c r="G26" s="327">
        <f t="shared" ref="G26:G50" si="4">F26/C26</f>
        <v>0.7972614783206935</v>
      </c>
      <c r="H26" s="320">
        <v>232020.89</v>
      </c>
      <c r="I26" s="335">
        <f t="shared" si="2"/>
        <v>0.38913918087539712</v>
      </c>
      <c r="J26" s="324">
        <v>67576.36</v>
      </c>
      <c r="K26" s="323">
        <f t="shared" si="0"/>
        <v>53304.740000000034</v>
      </c>
    </row>
    <row r="27" spans="1:11" ht="15" customHeight="1">
      <c r="A27" s="319">
        <v>1621</v>
      </c>
      <c r="B27" s="329" t="s">
        <v>338</v>
      </c>
      <c r="C27" s="332">
        <v>130222.88</v>
      </c>
      <c r="D27" s="320">
        <v>240000</v>
      </c>
      <c r="E27" s="335">
        <f t="shared" si="1"/>
        <v>1.842994103647531</v>
      </c>
      <c r="F27" s="321">
        <v>0</v>
      </c>
      <c r="G27" s="327">
        <f t="shared" si="4"/>
        <v>0</v>
      </c>
      <c r="H27" s="320">
        <v>0</v>
      </c>
      <c r="I27" s="335">
        <f t="shared" si="2"/>
        <v>0</v>
      </c>
      <c r="J27" s="317"/>
      <c r="K27" s="323">
        <f t="shared" si="0"/>
        <v>130222.88</v>
      </c>
    </row>
    <row r="28" spans="1:11" ht="15" customHeight="1">
      <c r="A28" s="319">
        <v>1631</v>
      </c>
      <c r="B28" s="329" t="s">
        <v>356</v>
      </c>
      <c r="C28" s="332">
        <v>13.51</v>
      </c>
      <c r="D28" s="315">
        <v>0</v>
      </c>
      <c r="E28" s="335">
        <f t="shared" si="1"/>
        <v>0</v>
      </c>
      <c r="F28" s="321">
        <v>0</v>
      </c>
      <c r="G28" s="327">
        <f t="shared" si="4"/>
        <v>0</v>
      </c>
      <c r="H28" s="320">
        <v>0</v>
      </c>
      <c r="I28" s="335">
        <f t="shared" si="2"/>
        <v>0</v>
      </c>
      <c r="J28" s="317"/>
      <c r="K28" s="323">
        <f t="shared" si="0"/>
        <v>13.51</v>
      </c>
    </row>
    <row r="29" spans="1:11">
      <c r="A29" s="319">
        <v>1632</v>
      </c>
      <c r="B29" s="329" t="s">
        <v>357</v>
      </c>
      <c r="C29" s="332">
        <v>1.65</v>
      </c>
      <c r="D29" s="320">
        <v>0</v>
      </c>
      <c r="E29" s="335">
        <f t="shared" si="1"/>
        <v>0</v>
      </c>
      <c r="F29" s="321">
        <v>0</v>
      </c>
      <c r="G29" s="327">
        <f t="shared" si="4"/>
        <v>0</v>
      </c>
      <c r="H29" s="320">
        <v>0</v>
      </c>
      <c r="I29" s="335">
        <f t="shared" si="2"/>
        <v>0</v>
      </c>
      <c r="J29" s="317"/>
      <c r="K29" s="323">
        <f t="shared" si="0"/>
        <v>1.65</v>
      </c>
    </row>
    <row r="30" spans="1:11" ht="15" customHeight="1">
      <c r="A30" s="319">
        <v>1660</v>
      </c>
      <c r="B30" s="329" t="s">
        <v>339</v>
      </c>
      <c r="C30" s="332">
        <v>58231.51</v>
      </c>
      <c r="D30" s="320">
        <v>120000</v>
      </c>
      <c r="E30" s="335">
        <f t="shared" si="1"/>
        <v>2.0607399670728097</v>
      </c>
      <c r="F30" s="321">
        <v>43025.49</v>
      </c>
      <c r="G30" s="327">
        <f t="shared" si="4"/>
        <v>0.73886955704909585</v>
      </c>
      <c r="H30" s="320">
        <v>43025.49</v>
      </c>
      <c r="I30" s="335">
        <f t="shared" si="2"/>
        <v>0.73886955704909585</v>
      </c>
      <c r="J30" s="324">
        <v>5569.32</v>
      </c>
      <c r="K30" s="323">
        <f t="shared" si="0"/>
        <v>9636.7000000000044</v>
      </c>
    </row>
    <row r="31" spans="1:11" ht="15" customHeight="1">
      <c r="A31" s="319">
        <v>1661</v>
      </c>
      <c r="B31" s="329" t="s">
        <v>340</v>
      </c>
      <c r="C31" s="332">
        <v>16073.96</v>
      </c>
      <c r="D31" s="320">
        <v>10000</v>
      </c>
      <c r="E31" s="335">
        <f t="shared" si="1"/>
        <v>0.62212423074338874</v>
      </c>
      <c r="F31" s="321">
        <v>0</v>
      </c>
      <c r="G31" s="327">
        <f t="shared" si="4"/>
        <v>0</v>
      </c>
      <c r="H31" s="320">
        <v>0</v>
      </c>
      <c r="I31" s="335">
        <f t="shared" si="2"/>
        <v>0</v>
      </c>
      <c r="J31" s="317"/>
      <c r="K31" s="323">
        <f t="shared" si="0"/>
        <v>16073.96</v>
      </c>
    </row>
    <row r="32" spans="1:11">
      <c r="A32" s="319">
        <v>1669</v>
      </c>
      <c r="B32" s="329" t="s">
        <v>341</v>
      </c>
      <c r="C32" s="332">
        <v>0</v>
      </c>
      <c r="D32" s="320">
        <v>0</v>
      </c>
      <c r="E32" s="335"/>
      <c r="F32" s="321">
        <v>0</v>
      </c>
      <c r="G32" s="327"/>
      <c r="H32" s="320">
        <v>0</v>
      </c>
      <c r="I32" s="335"/>
      <c r="J32" s="317"/>
      <c r="K32" s="323">
        <f t="shared" si="0"/>
        <v>0</v>
      </c>
    </row>
    <row r="33" spans="1:11" ht="15" customHeight="1">
      <c r="A33" s="319">
        <v>1700</v>
      </c>
      <c r="B33" s="329" t="s">
        <v>342</v>
      </c>
      <c r="C33" s="332">
        <v>3956.16</v>
      </c>
      <c r="D33" s="320">
        <v>110000</v>
      </c>
      <c r="E33" s="335">
        <f t="shared" si="1"/>
        <v>27.804739949850362</v>
      </c>
      <c r="F33" s="321">
        <v>53995.99</v>
      </c>
      <c r="G33" s="327">
        <f t="shared" si="4"/>
        <v>13.648586002588369</v>
      </c>
      <c r="H33" s="320">
        <v>0</v>
      </c>
      <c r="I33" s="335">
        <f t="shared" si="2"/>
        <v>0</v>
      </c>
      <c r="J33" s="317"/>
      <c r="K33" s="323">
        <f t="shared" si="0"/>
        <v>-50039.83</v>
      </c>
    </row>
    <row r="34" spans="1:11" ht="15" customHeight="1">
      <c r="A34" s="319">
        <v>1701</v>
      </c>
      <c r="B34" s="329" t="s">
        <v>343</v>
      </c>
      <c r="C34" s="332">
        <v>10810.53</v>
      </c>
      <c r="D34" s="315"/>
      <c r="E34" s="335">
        <f t="shared" si="1"/>
        <v>0</v>
      </c>
      <c r="F34" s="321">
        <v>0</v>
      </c>
      <c r="G34" s="327">
        <f t="shared" si="4"/>
        <v>0</v>
      </c>
      <c r="H34" s="320">
        <v>0</v>
      </c>
      <c r="I34" s="335">
        <f t="shared" si="2"/>
        <v>0</v>
      </c>
      <c r="J34" s="317"/>
      <c r="K34" s="323">
        <f t="shared" si="0"/>
        <v>10810.53</v>
      </c>
    </row>
    <row r="35" spans="1:11" ht="15" customHeight="1">
      <c r="A35" s="319">
        <v>1704</v>
      </c>
      <c r="B35" s="329" t="s">
        <v>354</v>
      </c>
      <c r="C35" s="332">
        <v>215122.44</v>
      </c>
      <c r="D35" s="320">
        <v>397400</v>
      </c>
      <c r="E35" s="335">
        <f t="shared" si="1"/>
        <v>1.8473200657262905</v>
      </c>
      <c r="F35" s="321">
        <v>263368.15999999997</v>
      </c>
      <c r="G35" s="327">
        <f t="shared" si="4"/>
        <v>1.2242709779602721</v>
      </c>
      <c r="H35" s="320">
        <v>263368.15999999997</v>
      </c>
      <c r="I35" s="335">
        <f t="shared" si="2"/>
        <v>1.2242709779602721</v>
      </c>
      <c r="J35" s="317"/>
      <c r="K35" s="323">
        <f t="shared" si="0"/>
        <v>-48245.719999999972</v>
      </c>
    </row>
    <row r="36" spans="1:11" ht="15" customHeight="1">
      <c r="A36" s="319">
        <v>1705</v>
      </c>
      <c r="B36" s="329" t="s">
        <v>355</v>
      </c>
      <c r="C36" s="332">
        <v>13.72</v>
      </c>
      <c r="D36" s="315">
        <v>0</v>
      </c>
      <c r="E36" s="335">
        <f t="shared" si="1"/>
        <v>0</v>
      </c>
      <c r="F36" s="321">
        <v>0</v>
      </c>
      <c r="G36" s="327">
        <f t="shared" si="4"/>
        <v>0</v>
      </c>
      <c r="H36" s="320">
        <v>0</v>
      </c>
      <c r="I36" s="335">
        <f t="shared" si="2"/>
        <v>0</v>
      </c>
      <c r="J36" s="317"/>
      <c r="K36" s="323">
        <f t="shared" si="0"/>
        <v>13.72</v>
      </c>
    </row>
    <row r="37" spans="1:11">
      <c r="A37" s="319">
        <v>1706</v>
      </c>
      <c r="B37" s="329" t="s">
        <v>344</v>
      </c>
      <c r="C37" s="332">
        <v>3097.15</v>
      </c>
      <c r="D37" s="320">
        <v>0</v>
      </c>
      <c r="E37" s="335">
        <f t="shared" si="1"/>
        <v>0</v>
      </c>
      <c r="F37" s="321">
        <v>0</v>
      </c>
      <c r="G37" s="327">
        <f t="shared" si="4"/>
        <v>0</v>
      </c>
      <c r="H37" s="320">
        <v>0</v>
      </c>
      <c r="I37" s="335">
        <f t="shared" si="2"/>
        <v>0</v>
      </c>
      <c r="J37" s="317"/>
      <c r="K37" s="323">
        <f t="shared" si="0"/>
        <v>3097.15</v>
      </c>
    </row>
    <row r="38" spans="1:11" ht="15" customHeight="1">
      <c r="A38" s="319">
        <v>1707</v>
      </c>
      <c r="B38" s="329" t="s">
        <v>345</v>
      </c>
      <c r="C38" s="332">
        <v>179.56</v>
      </c>
      <c r="D38" s="320">
        <v>0</v>
      </c>
      <c r="E38" s="335">
        <f t="shared" si="1"/>
        <v>0</v>
      </c>
      <c r="F38" s="321">
        <v>0</v>
      </c>
      <c r="G38" s="327">
        <f t="shared" si="4"/>
        <v>0</v>
      </c>
      <c r="H38" s="320">
        <v>0</v>
      </c>
      <c r="I38" s="335">
        <f t="shared" si="2"/>
        <v>0</v>
      </c>
      <c r="J38" s="317"/>
      <c r="K38" s="323">
        <f t="shared" si="0"/>
        <v>179.56</v>
      </c>
    </row>
    <row r="39" spans="1:11" ht="15" customHeight="1">
      <c r="A39" s="319">
        <v>1708</v>
      </c>
      <c r="B39" s="329" t="s">
        <v>346</v>
      </c>
      <c r="C39" s="332">
        <v>21288.47</v>
      </c>
      <c r="D39" s="320">
        <v>1000</v>
      </c>
      <c r="E39" s="335">
        <f t="shared" si="1"/>
        <v>4.6973784400663833E-2</v>
      </c>
      <c r="F39" s="321">
        <v>126.65</v>
      </c>
      <c r="G39" s="327">
        <f t="shared" si="4"/>
        <v>5.9492297943440743E-3</v>
      </c>
      <c r="H39" s="320">
        <v>126.65</v>
      </c>
      <c r="I39" s="335">
        <f t="shared" si="2"/>
        <v>5.9492297943440743E-3</v>
      </c>
      <c r="J39" s="317"/>
      <c r="K39" s="323">
        <f t="shared" si="0"/>
        <v>21161.82</v>
      </c>
    </row>
    <row r="40" spans="1:11" ht="15" customHeight="1">
      <c r="A40" s="319">
        <v>1709</v>
      </c>
      <c r="B40" s="329" t="s">
        <v>347</v>
      </c>
      <c r="C40" s="332">
        <v>178994.24</v>
      </c>
      <c r="D40" s="320">
        <v>213900</v>
      </c>
      <c r="E40" s="335">
        <f t="shared" si="1"/>
        <v>1.1950105210089443</v>
      </c>
      <c r="F40" s="321">
        <v>177239.6</v>
      </c>
      <c r="G40" s="327">
        <f t="shared" si="4"/>
        <v>0.99019722645823693</v>
      </c>
      <c r="H40" s="320">
        <v>177239.6</v>
      </c>
      <c r="I40" s="335">
        <f t="shared" si="2"/>
        <v>0.99019722645823693</v>
      </c>
      <c r="J40" s="317"/>
      <c r="K40" s="323">
        <f t="shared" si="0"/>
        <v>1754.6399999999849</v>
      </c>
    </row>
    <row r="41" spans="1:11" ht="15" customHeight="1">
      <c r="A41" s="319">
        <v>1711</v>
      </c>
      <c r="B41" s="329" t="s">
        <v>348</v>
      </c>
      <c r="C41" s="332">
        <v>0</v>
      </c>
      <c r="D41" s="315">
        <v>0</v>
      </c>
      <c r="E41" s="335"/>
      <c r="F41" s="321">
        <v>0</v>
      </c>
      <c r="G41" s="327"/>
      <c r="H41" s="320">
        <v>0</v>
      </c>
      <c r="I41" s="335"/>
      <c r="J41" s="317"/>
      <c r="K41" s="323">
        <f t="shared" si="0"/>
        <v>0</v>
      </c>
    </row>
    <row r="42" spans="1:11" ht="15" customHeight="1">
      <c r="A42" s="319">
        <v>1715</v>
      </c>
      <c r="B42" s="329" t="s">
        <v>363</v>
      </c>
      <c r="C42" s="332">
        <v>0</v>
      </c>
      <c r="D42" s="315">
        <v>0</v>
      </c>
      <c r="E42" s="335"/>
      <c r="F42" s="321">
        <v>0</v>
      </c>
      <c r="G42" s="327"/>
      <c r="H42" s="320">
        <v>0</v>
      </c>
      <c r="I42" s="335"/>
      <c r="J42" s="317"/>
      <c r="K42" s="323">
        <f t="shared" si="0"/>
        <v>0</v>
      </c>
    </row>
    <row r="43" spans="1:11" ht="15" customHeight="1">
      <c r="A43" s="319">
        <v>1716</v>
      </c>
      <c r="B43" s="329" t="s">
        <v>362</v>
      </c>
      <c r="C43" s="332">
        <v>0</v>
      </c>
      <c r="D43" s="320">
        <v>0</v>
      </c>
      <c r="E43" s="335"/>
      <c r="F43" s="321">
        <v>0</v>
      </c>
      <c r="G43" s="327"/>
      <c r="H43" s="320">
        <v>0</v>
      </c>
      <c r="I43" s="335"/>
      <c r="J43" s="317"/>
      <c r="K43" s="323">
        <f t="shared" si="0"/>
        <v>0</v>
      </c>
    </row>
    <row r="44" spans="1:11" ht="15" customHeight="1">
      <c r="A44" s="319">
        <v>1718</v>
      </c>
      <c r="B44" s="329" t="s">
        <v>349</v>
      </c>
      <c r="C44" s="332">
        <v>0</v>
      </c>
      <c r="D44" s="320">
        <v>0</v>
      </c>
      <c r="E44" s="335"/>
      <c r="F44" s="321">
        <v>0</v>
      </c>
      <c r="G44" s="327"/>
      <c r="H44" s="320">
        <v>0</v>
      </c>
      <c r="I44" s="335"/>
      <c r="J44" s="317"/>
      <c r="K44" s="323">
        <f t="shared" si="0"/>
        <v>0</v>
      </c>
    </row>
    <row r="45" spans="1:11">
      <c r="A45" s="319">
        <v>1749</v>
      </c>
      <c r="B45" s="329" t="s">
        <v>350</v>
      </c>
      <c r="C45" s="332">
        <v>0</v>
      </c>
      <c r="D45" s="320">
        <v>0</v>
      </c>
      <c r="E45" s="335"/>
      <c r="F45" s="321">
        <v>0</v>
      </c>
      <c r="G45" s="327"/>
      <c r="H45" s="320">
        <v>0</v>
      </c>
      <c r="I45" s="335"/>
      <c r="J45" s="317"/>
      <c r="K45" s="323">
        <f t="shared" si="0"/>
        <v>0</v>
      </c>
    </row>
    <row r="46" spans="1:11" ht="15" customHeight="1">
      <c r="A46" s="319">
        <v>1750</v>
      </c>
      <c r="B46" s="329" t="s">
        <v>351</v>
      </c>
      <c r="C46" s="332">
        <v>159.69999999999999</v>
      </c>
      <c r="D46" s="320">
        <v>17100</v>
      </c>
      <c r="E46" s="335">
        <f t="shared" si="1"/>
        <v>107.07576706324359</v>
      </c>
      <c r="F46" s="321">
        <v>1.18</v>
      </c>
      <c r="G46" s="327">
        <f t="shared" si="4"/>
        <v>7.3888541014402002E-3</v>
      </c>
      <c r="H46" s="320">
        <v>1.18</v>
      </c>
      <c r="I46" s="335">
        <f t="shared" si="2"/>
        <v>7.3888541014402002E-3</v>
      </c>
      <c r="J46" s="317"/>
      <c r="K46" s="323">
        <f t="shared" si="0"/>
        <v>158.51999999999998</v>
      </c>
    </row>
    <row r="47" spans="1:11" ht="15" customHeight="1">
      <c r="A47" s="319">
        <v>1751</v>
      </c>
      <c r="B47" s="329" t="s">
        <v>352</v>
      </c>
      <c r="C47" s="332">
        <v>166548.01</v>
      </c>
      <c r="D47" s="320">
        <v>243100</v>
      </c>
      <c r="E47" s="335">
        <f t="shared" si="1"/>
        <v>1.4596391755146159</v>
      </c>
      <c r="F47" s="321">
        <v>193505.95</v>
      </c>
      <c r="G47" s="327">
        <f t="shared" si="4"/>
        <v>1.1618628766564068</v>
      </c>
      <c r="H47" s="320">
        <v>193505.95</v>
      </c>
      <c r="I47" s="335">
        <f t="shared" si="2"/>
        <v>1.1618628766564068</v>
      </c>
      <c r="J47" s="317"/>
      <c r="K47" s="323">
        <f t="shared" si="0"/>
        <v>-26957.940000000002</v>
      </c>
    </row>
    <row r="48" spans="1:11" ht="25.5">
      <c r="A48" s="319">
        <v>1755</v>
      </c>
      <c r="B48" s="329" t="s">
        <v>353</v>
      </c>
      <c r="C48" s="332">
        <v>0</v>
      </c>
      <c r="D48" s="320">
        <v>0</v>
      </c>
      <c r="E48" s="335"/>
      <c r="F48" s="321">
        <v>0</v>
      </c>
      <c r="G48" s="327"/>
      <c r="H48" s="320">
        <v>0</v>
      </c>
      <c r="I48" s="335"/>
      <c r="J48" s="317"/>
      <c r="K48" s="323">
        <f t="shared" si="0"/>
        <v>0</v>
      </c>
    </row>
    <row r="49" spans="1:11" ht="9" customHeight="1">
      <c r="C49" s="315"/>
      <c r="D49" s="315"/>
      <c r="E49" s="339"/>
      <c r="F49" s="315"/>
      <c r="G49" s="340"/>
      <c r="H49" s="315"/>
      <c r="I49" s="339"/>
      <c r="J49" s="317"/>
      <c r="K49" s="323">
        <f t="shared" si="0"/>
        <v>0</v>
      </c>
    </row>
    <row r="50" spans="1:11" s="330" customFormat="1">
      <c r="A50" s="509" t="s">
        <v>187</v>
      </c>
      <c r="B50" s="510"/>
      <c r="C50" s="325" t="e">
        <f>SUM(C3:C49)</f>
        <v>#REF!</v>
      </c>
      <c r="D50" s="325">
        <f>SUM(D3:D49)</f>
        <v>35485767.409999996</v>
      </c>
      <c r="E50" s="336" t="e">
        <f>D50/C50</f>
        <v>#REF!</v>
      </c>
      <c r="F50" s="325">
        <f t="shared" ref="F50:J50" si="5">SUM(F3:F49)</f>
        <v>21375589.339999996</v>
      </c>
      <c r="G50" s="322" t="e">
        <f t="shared" si="4"/>
        <v>#REF!</v>
      </c>
      <c r="H50" s="325">
        <f t="shared" si="5"/>
        <v>19279589.399999999</v>
      </c>
      <c r="I50" s="336" t="e">
        <f>H50/C50</f>
        <v>#REF!</v>
      </c>
      <c r="J50" s="326">
        <f t="shared" si="5"/>
        <v>2404516.4799999995</v>
      </c>
      <c r="K50" s="331" t="e">
        <f t="shared" si="0"/>
        <v>#REF!</v>
      </c>
    </row>
    <row r="51" spans="1:11" ht="12.75"/>
    <row r="62" spans="1:11" ht="15" customHeight="1">
      <c r="C62" s="3">
        <v>15122137.42</v>
      </c>
      <c r="D62" s="3">
        <v>9873700</v>
      </c>
    </row>
    <row r="64" spans="1:11" ht="15" customHeight="1">
      <c r="D64" s="314">
        <f>C62-D62</f>
        <v>5248437.42</v>
      </c>
    </row>
    <row r="73" spans="3:4" ht="15" customHeight="1">
      <c r="C73" s="314" t="s">
        <v>372</v>
      </c>
      <c r="D73" s="314">
        <v>200000</v>
      </c>
    </row>
    <row r="74" spans="3:4" ht="15" customHeight="1">
      <c r="C74" s="341">
        <v>0.6</v>
      </c>
      <c r="D74" s="314">
        <f>D73*60%</f>
        <v>120000</v>
      </c>
    </row>
    <row r="75" spans="3:4" ht="15" customHeight="1">
      <c r="C75" s="314" t="s">
        <v>373</v>
      </c>
      <c r="D75" s="314">
        <f>D73-D74</f>
        <v>80000</v>
      </c>
    </row>
    <row r="76" spans="3:4" ht="15" customHeight="1">
      <c r="C76" s="314" t="s">
        <v>374</v>
      </c>
      <c r="D76" s="314">
        <f>D75/24</f>
        <v>3333.3333333333335</v>
      </c>
    </row>
  </sheetData>
  <mergeCells count="37">
    <mergeCell ref="D7:D8"/>
    <mergeCell ref="D9:D10"/>
    <mergeCell ref="D11:D12"/>
    <mergeCell ref="D3:D5"/>
    <mergeCell ref="F11:F12"/>
    <mergeCell ref="E3:E5"/>
    <mergeCell ref="E7:E8"/>
    <mergeCell ref="E9:E10"/>
    <mergeCell ref="E11:E12"/>
    <mergeCell ref="A50:B50"/>
    <mergeCell ref="C3:C5"/>
    <mergeCell ref="C7:C8"/>
    <mergeCell ref="C9:C10"/>
    <mergeCell ref="C11:C12"/>
    <mergeCell ref="H11:H12"/>
    <mergeCell ref="H9:H10"/>
    <mergeCell ref="H7:H8"/>
    <mergeCell ref="H3:H5"/>
    <mergeCell ref="F3:F5"/>
    <mergeCell ref="F7:F8"/>
    <mergeCell ref="F9:F10"/>
    <mergeCell ref="G3:G5"/>
    <mergeCell ref="G7:G8"/>
    <mergeCell ref="G9:G10"/>
    <mergeCell ref="G11:G12"/>
    <mergeCell ref="I3:I5"/>
    <mergeCell ref="I7:I8"/>
    <mergeCell ref="I9:I10"/>
    <mergeCell ref="I11:I12"/>
    <mergeCell ref="K3:K5"/>
    <mergeCell ref="K7:K8"/>
    <mergeCell ref="K9:K10"/>
    <mergeCell ref="K11:K12"/>
    <mergeCell ref="J3:J5"/>
    <mergeCell ref="J7:J8"/>
    <mergeCell ref="J9:J10"/>
    <mergeCell ref="J11:J12"/>
  </mergeCells>
  <conditionalFormatting sqref="E3:E50">
    <cfRule type="cellIs" dxfId="6" priority="1" operator="lessThan">
      <formula>0.95</formula>
    </cfRule>
    <cfRule type="cellIs" dxfId="5" priority="2" operator="greaterThan">
      <formula>0.95</formula>
    </cfRule>
  </conditionalFormatting>
  <conditionalFormatting sqref="G3 G6:G7 G9 G11 G13:G50">
    <cfRule type="cellIs" dxfId="4" priority="8" operator="lessThan">
      <formula>0.95</formula>
    </cfRule>
    <cfRule type="cellIs" dxfId="3" priority="9" operator="greaterThan">
      <formula>0.95</formula>
    </cfRule>
  </conditionalFormatting>
  <conditionalFormatting sqref="I3:I50">
    <cfRule type="cellIs" dxfId="2" priority="4" operator="lessThan">
      <formula>0.95</formula>
    </cfRule>
    <cfRule type="cellIs" dxfId="1" priority="5" operator="greaterThan">
      <formula>0.95</formula>
    </cfRule>
  </conditionalFormatting>
  <conditionalFormatting sqref="K3:K50">
    <cfRule type="cellIs" dxfId="0" priority="3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75" orientation="landscape" r:id="rId1"/>
  <rowBreaks count="1" manualBreakCount="1">
    <brk id="4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2CF5-43F0-4A68-BDA7-48E12CA9E0DF}">
  <dimension ref="A2:G103"/>
  <sheetViews>
    <sheetView workbookViewId="0">
      <selection activeCell="A14" sqref="A14"/>
    </sheetView>
  </sheetViews>
  <sheetFormatPr defaultRowHeight="15"/>
  <cols>
    <col min="1" max="1" width="80" customWidth="1"/>
    <col min="2" max="2" width="27" customWidth="1"/>
    <col min="3" max="3" width="27.42578125" customWidth="1"/>
    <col min="5" max="5" width="26.140625" bestFit="1" customWidth="1"/>
    <col min="6" max="6" width="27.28515625" customWidth="1"/>
    <col min="7" max="7" width="26.7109375" customWidth="1"/>
  </cols>
  <sheetData>
    <row r="2" spans="1:7" ht="15.75" thickBot="1"/>
    <row r="3" spans="1:7" ht="36" thickBot="1">
      <c r="A3" s="214" t="s">
        <v>201</v>
      </c>
      <c r="B3" s="298">
        <f>SUM(B4:B17)</f>
        <v>66387191.580000006</v>
      </c>
      <c r="C3" s="3"/>
    </row>
    <row r="4" spans="1:7" ht="24.75" thickTop="1" thickBot="1">
      <c r="A4" s="215" t="s">
        <v>202</v>
      </c>
      <c r="B4" s="216">
        <v>1599881.05</v>
      </c>
    </row>
    <row r="5" spans="1:7" ht="24" thickBot="1">
      <c r="A5" s="217" t="s">
        <v>46</v>
      </c>
      <c r="B5" s="218">
        <v>303125.43</v>
      </c>
    </row>
    <row r="6" spans="1:7" ht="24" thickBot="1">
      <c r="A6" s="219" t="s">
        <v>203</v>
      </c>
      <c r="B6" s="220">
        <v>703577.02</v>
      </c>
      <c r="F6" s="3">
        <v>3489728.52</v>
      </c>
    </row>
    <row r="7" spans="1:7" ht="24" thickBot="1">
      <c r="A7" s="217" t="s">
        <v>204</v>
      </c>
      <c r="B7" s="218">
        <v>502317.93</v>
      </c>
      <c r="F7" s="3">
        <v>3534838.8</v>
      </c>
    </row>
    <row r="8" spans="1:7" ht="24" thickBot="1">
      <c r="A8" s="219" t="s">
        <v>205</v>
      </c>
      <c r="B8" s="220">
        <v>31663736.170000002</v>
      </c>
      <c r="F8" s="3">
        <f>F6-F7</f>
        <v>-45110.279999999795</v>
      </c>
    </row>
    <row r="9" spans="1:7" ht="25.5" customHeight="1" thickBot="1">
      <c r="A9" s="217" t="s">
        <v>375</v>
      </c>
      <c r="B9" s="218">
        <v>562823.56999999995</v>
      </c>
    </row>
    <row r="10" spans="1:7" ht="24" thickBot="1">
      <c r="A10" s="219" t="s">
        <v>206</v>
      </c>
      <c r="B10" s="220">
        <v>5815567.9199999999</v>
      </c>
    </row>
    <row r="11" spans="1:7" ht="24" thickBot="1">
      <c r="A11" s="217" t="s">
        <v>207</v>
      </c>
      <c r="B11" s="218">
        <v>1142556.94</v>
      </c>
    </row>
    <row r="12" spans="1:7" ht="24" thickBot="1">
      <c r="A12" s="219" t="s">
        <v>208</v>
      </c>
      <c r="B12" s="220">
        <v>5292362.6100000003</v>
      </c>
    </row>
    <row r="13" spans="1:7" ht="24" thickBot="1">
      <c r="A13" s="217" t="s">
        <v>209</v>
      </c>
      <c r="B13" s="218">
        <v>98996.46</v>
      </c>
    </row>
    <row r="14" spans="1:7" ht="24" thickBot="1">
      <c r="A14" s="219" t="s">
        <v>376</v>
      </c>
      <c r="B14" s="220">
        <v>5549630.0999999996</v>
      </c>
    </row>
    <row r="15" spans="1:7" ht="24" customHeight="1" thickBot="1">
      <c r="A15" s="217" t="s">
        <v>210</v>
      </c>
      <c r="B15" s="218">
        <v>7677338.7800000003</v>
      </c>
    </row>
    <row r="16" spans="1:7" ht="24" customHeight="1" thickBot="1">
      <c r="A16" s="219" t="s">
        <v>377</v>
      </c>
      <c r="B16" s="220">
        <v>4630944.68</v>
      </c>
      <c r="F16" s="342" t="s">
        <v>211</v>
      </c>
      <c r="G16" s="343">
        <v>0</v>
      </c>
    </row>
    <row r="17" spans="1:3" ht="24" customHeight="1" thickBot="1">
      <c r="A17" s="217" t="s">
        <v>211</v>
      </c>
      <c r="B17" s="218">
        <v>844332.92</v>
      </c>
    </row>
    <row r="19" spans="1:3" ht="15.75" thickBot="1"/>
    <row r="20" spans="1:3" ht="44.25" customHeight="1" thickBot="1">
      <c r="A20" s="214" t="s">
        <v>292</v>
      </c>
      <c r="B20" s="298">
        <f>SUM(B21:B32)</f>
        <v>90697386.670000017</v>
      </c>
      <c r="C20" s="3">
        <v>2069386.7</v>
      </c>
    </row>
    <row r="21" spans="1:3" ht="24" customHeight="1" thickTop="1" thickBot="1">
      <c r="A21" s="217" t="s">
        <v>378</v>
      </c>
      <c r="B21" s="218"/>
      <c r="C21" s="3"/>
    </row>
    <row r="22" spans="1:3" ht="24.75" thickTop="1" thickBot="1">
      <c r="A22" s="215" t="s">
        <v>293</v>
      </c>
      <c r="B22" s="216">
        <v>3128675.48</v>
      </c>
      <c r="C22" s="222">
        <f>B20+C20</f>
        <v>92766773.37000002</v>
      </c>
    </row>
    <row r="23" spans="1:3" ht="24" thickBot="1">
      <c r="A23" s="217" t="s">
        <v>294</v>
      </c>
      <c r="B23" s="218">
        <v>5415782.4699999997</v>
      </c>
    </row>
    <row r="24" spans="1:3" ht="24" thickBot="1">
      <c r="A24" s="219" t="s">
        <v>295</v>
      </c>
      <c r="B24" s="220">
        <v>3698867.31</v>
      </c>
    </row>
    <row r="25" spans="1:3" ht="47.25" thickBot="1">
      <c r="A25" s="217" t="s">
        <v>296</v>
      </c>
      <c r="B25" s="218">
        <v>318624.42</v>
      </c>
    </row>
    <row r="26" spans="1:3" ht="24" thickBot="1">
      <c r="A26" s="219" t="s">
        <v>297</v>
      </c>
      <c r="B26" s="220">
        <v>395384.27</v>
      </c>
    </row>
    <row r="27" spans="1:3" ht="24" thickBot="1">
      <c r="A27" s="217" t="s">
        <v>298</v>
      </c>
      <c r="B27" s="218">
        <v>9060725.3599999994</v>
      </c>
    </row>
    <row r="28" spans="1:3" ht="24" thickBot="1">
      <c r="A28" s="219" t="s">
        <v>299</v>
      </c>
      <c r="B28" s="220">
        <v>2929131.68</v>
      </c>
    </row>
    <row r="29" spans="1:3" ht="47.25" thickBot="1">
      <c r="A29" s="217" t="s">
        <v>300</v>
      </c>
      <c r="B29" s="218">
        <v>6168795.46</v>
      </c>
    </row>
    <row r="30" spans="1:3" ht="24" thickBot="1">
      <c r="A30" s="219" t="s">
        <v>301</v>
      </c>
      <c r="B30" s="220">
        <v>20186813.170000002</v>
      </c>
    </row>
    <row r="31" spans="1:3" ht="24" thickBot="1">
      <c r="A31" s="217" t="s">
        <v>302</v>
      </c>
      <c r="B31" s="218">
        <v>2217804.9900000002</v>
      </c>
    </row>
    <row r="32" spans="1:3" ht="24" thickBot="1">
      <c r="A32" s="219" t="s">
        <v>303</v>
      </c>
      <c r="B32" s="220">
        <v>37176782.060000002</v>
      </c>
    </row>
    <row r="36" spans="1:7" ht="15.75" thickBot="1"/>
    <row r="37" spans="1:7" ht="35.25" customHeight="1" thickBot="1">
      <c r="A37" s="191" t="s">
        <v>433</v>
      </c>
      <c r="B37" s="191" t="s">
        <v>212</v>
      </c>
      <c r="C37" s="191" t="s">
        <v>213</v>
      </c>
    </row>
    <row r="38" spans="1:7" ht="27.75" thickTop="1" thickBot="1">
      <c r="A38" s="192" t="s">
        <v>214</v>
      </c>
      <c r="B38" s="193">
        <f>B44</f>
        <v>80436870</v>
      </c>
      <c r="C38" s="194">
        <f>C44</f>
        <v>97670216.310000002</v>
      </c>
    </row>
    <row r="39" spans="1:7" ht="27" thickBot="1">
      <c r="A39" s="195" t="s">
        <v>215</v>
      </c>
      <c r="B39" s="196">
        <f>B50</f>
        <v>79815670</v>
      </c>
      <c r="C39" s="197">
        <f>C50</f>
        <v>88230199.079999983</v>
      </c>
    </row>
    <row r="40" spans="1:7" ht="27" thickBot="1">
      <c r="A40" s="221" t="s">
        <v>181</v>
      </c>
      <c r="B40" s="200">
        <f>B38-B39</f>
        <v>621200</v>
      </c>
      <c r="C40" s="200">
        <f>C38-C39</f>
        <v>9440017.2300000191</v>
      </c>
    </row>
    <row r="42" spans="1:7">
      <c r="A42" s="292" t="s">
        <v>379</v>
      </c>
      <c r="B42" s="56">
        <v>80987270</v>
      </c>
      <c r="C42" s="300">
        <v>99062342.870000005</v>
      </c>
      <c r="E42" s="3"/>
    </row>
    <row r="43" spans="1:7">
      <c r="A43" s="292" t="s">
        <v>304</v>
      </c>
      <c r="B43" s="56">
        <v>550400</v>
      </c>
      <c r="C43" s="300">
        <v>1392126.56</v>
      </c>
      <c r="E43" s="222"/>
      <c r="G43" s="168"/>
    </row>
    <row r="44" spans="1:7">
      <c r="A44" s="301" t="s">
        <v>305</v>
      </c>
      <c r="B44" s="299">
        <f>B42-B43</f>
        <v>80436870</v>
      </c>
      <c r="C44" s="299">
        <f>C42-C43</f>
        <v>97670216.310000002</v>
      </c>
      <c r="G44" s="168"/>
    </row>
    <row r="46" spans="1:7">
      <c r="A46" s="292" t="s">
        <v>380</v>
      </c>
      <c r="B46" s="56">
        <v>80676670</v>
      </c>
      <c r="C46" s="56">
        <v>88065985.629999995</v>
      </c>
    </row>
    <row r="47" spans="1:7">
      <c r="A47" s="292" t="s">
        <v>306</v>
      </c>
      <c r="B47" s="56">
        <v>61000</v>
      </c>
      <c r="C47" s="56">
        <v>270697.17</v>
      </c>
    </row>
    <row r="48" spans="1:7">
      <c r="A48" s="292" t="s">
        <v>307</v>
      </c>
      <c r="B48" s="56">
        <v>800000</v>
      </c>
      <c r="C48" s="56">
        <v>2360703.87</v>
      </c>
      <c r="E48" s="222"/>
      <c r="F48" s="222"/>
    </row>
    <row r="49" spans="1:5">
      <c r="A49" s="304" t="s">
        <v>309</v>
      </c>
      <c r="B49" s="56"/>
      <c r="C49" s="56">
        <v>2795614.49</v>
      </c>
    </row>
    <row r="50" spans="1:5">
      <c r="A50" s="301" t="s">
        <v>308</v>
      </c>
      <c r="B50" s="299">
        <f>B46-B47-B48</f>
        <v>79815670</v>
      </c>
      <c r="C50" s="56">
        <f>(C46+C49)-(C47+C48)</f>
        <v>88230199.079999983</v>
      </c>
      <c r="E50" s="222"/>
    </row>
    <row r="51" spans="1:5">
      <c r="A51" s="302"/>
      <c r="B51" s="303"/>
      <c r="C51" s="168"/>
      <c r="E51" s="222"/>
    </row>
    <row r="52" spans="1:5">
      <c r="A52" s="301" t="s">
        <v>181</v>
      </c>
      <c r="B52" s="299">
        <f>B44-B50</f>
        <v>621200</v>
      </c>
      <c r="C52" s="299">
        <f>C44-C50</f>
        <v>9440017.2300000191</v>
      </c>
      <c r="E52" s="168"/>
    </row>
    <row r="53" spans="1:5">
      <c r="B53" s="168"/>
      <c r="C53" s="168"/>
    </row>
    <row r="54" spans="1:5" ht="15.75" thickBot="1">
      <c r="B54" s="168"/>
      <c r="C54" s="168"/>
    </row>
    <row r="55" spans="1:5" ht="28.5" thickBot="1">
      <c r="A55" s="526" t="s">
        <v>434</v>
      </c>
      <c r="B55" s="527"/>
      <c r="C55" s="528"/>
    </row>
    <row r="56" spans="1:5" ht="27.75" thickTop="1" thickBot="1">
      <c r="A56" s="232" t="s">
        <v>134</v>
      </c>
      <c r="B56" s="226" t="s">
        <v>435</v>
      </c>
      <c r="C56" s="227" t="s">
        <v>465</v>
      </c>
    </row>
    <row r="57" spans="1:5" ht="27" thickTop="1" thickBot="1">
      <c r="A57" s="192" t="s">
        <v>182</v>
      </c>
      <c r="B57" s="224">
        <v>51355930.289999999</v>
      </c>
      <c r="C57" s="225">
        <v>47605759.75</v>
      </c>
    </row>
    <row r="58" spans="1:5" ht="26.25" thickBot="1">
      <c r="A58" s="195" t="s">
        <v>183</v>
      </c>
      <c r="B58" s="226">
        <v>6870563.5800000001</v>
      </c>
      <c r="C58" s="227">
        <f>C59-C60-C61</f>
        <v>12455647.82</v>
      </c>
    </row>
    <row r="59" spans="1:5" ht="26.25" thickBot="1">
      <c r="A59" s="198" t="s">
        <v>310</v>
      </c>
      <c r="B59" s="228">
        <v>10692682.880000001</v>
      </c>
      <c r="C59" s="229">
        <v>13344717.58</v>
      </c>
    </row>
    <row r="60" spans="1:5" ht="26.25" thickBot="1">
      <c r="A60" s="198" t="s">
        <v>184</v>
      </c>
      <c r="B60" s="228">
        <v>3164954.39</v>
      </c>
      <c r="C60" s="230">
        <v>1038851.47</v>
      </c>
    </row>
    <row r="61" spans="1:5" ht="24" thickBot="1">
      <c r="A61" s="203" t="s">
        <v>186</v>
      </c>
      <c r="B61" s="204">
        <v>657164.91</v>
      </c>
      <c r="C61" s="223">
        <v>-149781.71</v>
      </c>
    </row>
    <row r="62" spans="1:5" ht="26.25" thickBot="1">
      <c r="A62" s="202" t="s">
        <v>185</v>
      </c>
      <c r="B62" s="228">
        <v>44485366.710000001</v>
      </c>
      <c r="C62" s="229">
        <f>C57-C58</f>
        <v>35150111.93</v>
      </c>
    </row>
    <row r="63" spans="1:5" ht="36.75" customHeight="1" thickBot="1">
      <c r="A63" s="305" t="s">
        <v>311</v>
      </c>
      <c r="B63" s="529">
        <f>B62-C62</f>
        <v>9335254.7800000012</v>
      </c>
      <c r="C63" s="530"/>
    </row>
    <row r="64" spans="1:5" ht="6" customHeight="1" thickBot="1">
      <c r="A64" s="531"/>
      <c r="B64" s="531"/>
      <c r="C64" s="531"/>
    </row>
    <row r="65" spans="1:6" ht="28.5" thickBot="1">
      <c r="A65" s="248" t="s">
        <v>381</v>
      </c>
      <c r="B65" s="532">
        <v>509600</v>
      </c>
      <c r="C65" s="533"/>
    </row>
    <row r="67" spans="1:6" ht="21" thickBot="1">
      <c r="A67" s="391" t="s">
        <v>181</v>
      </c>
      <c r="B67" s="534">
        <f>C40</f>
        <v>9440017.2300000191</v>
      </c>
      <c r="C67" s="535"/>
    </row>
    <row r="68" spans="1:6" ht="21" thickBot="1">
      <c r="A68" s="392" t="s">
        <v>436</v>
      </c>
      <c r="B68" s="524">
        <f>1392126.56-270697.17</f>
        <v>1121429.3900000001</v>
      </c>
      <c r="C68" s="525"/>
    </row>
    <row r="69" spans="1:6" ht="28.5" thickBot="1">
      <c r="A69" s="393" t="s">
        <v>437</v>
      </c>
      <c r="B69" s="513">
        <f>B67+B68</f>
        <v>10561446.62000002</v>
      </c>
      <c r="C69" s="514"/>
    </row>
    <row r="70" spans="1:6" ht="15.75" thickBot="1"/>
    <row r="71" spans="1:6" ht="35.25" thickBot="1">
      <c r="A71" s="515" t="s">
        <v>312</v>
      </c>
      <c r="B71" s="516"/>
      <c r="C71" s="517"/>
    </row>
    <row r="72" spans="1:6" ht="27.75" thickTop="1" thickBot="1">
      <c r="A72" s="234">
        <v>2024</v>
      </c>
      <c r="B72" s="234" t="s">
        <v>213</v>
      </c>
      <c r="C72" s="235" t="s">
        <v>217</v>
      </c>
      <c r="F72" s="3">
        <v>4840323.76</v>
      </c>
    </row>
    <row r="73" spans="1:6" ht="27" thickBot="1">
      <c r="A73" s="201" t="s">
        <v>218</v>
      </c>
      <c r="B73" s="236">
        <v>97285408.629999995</v>
      </c>
      <c r="C73" s="232">
        <v>100</v>
      </c>
      <c r="F73" s="3">
        <v>703731.3</v>
      </c>
    </row>
    <row r="74" spans="1:6" ht="28.5" customHeight="1" thickBot="1">
      <c r="A74" s="198" t="s">
        <v>219</v>
      </c>
      <c r="B74" s="237">
        <v>97285408.629999995</v>
      </c>
      <c r="C74" s="238"/>
      <c r="F74" s="3">
        <f>SUM(F72:F73)</f>
        <v>5544055.0599999996</v>
      </c>
    </row>
    <row r="75" spans="1:6" ht="27" thickBot="1">
      <c r="A75" s="201" t="s">
        <v>313</v>
      </c>
      <c r="B75" s="236">
        <f>B74*120%</f>
        <v>116742490.35599999</v>
      </c>
      <c r="C75" s="306">
        <v>1.2</v>
      </c>
    </row>
    <row r="76" spans="1:6" ht="27" thickBot="1">
      <c r="A76" s="202" t="s">
        <v>314</v>
      </c>
      <c r="B76" s="237">
        <f>B74*108%</f>
        <v>105068241.3204</v>
      </c>
      <c r="C76" s="307">
        <v>1.08</v>
      </c>
      <c r="F76" s="168"/>
    </row>
    <row r="77" spans="1:6" ht="27" thickBot="1">
      <c r="A77" s="239" t="s">
        <v>315</v>
      </c>
      <c r="B77" s="236">
        <f>C62</f>
        <v>35150111.93</v>
      </c>
      <c r="C77" s="240">
        <f>B77/B74</f>
        <v>0.3613091873179502</v>
      </c>
    </row>
    <row r="78" spans="1:6">
      <c r="C78" s="233">
        <f>B77/B73</f>
        <v>0.3613091873179502</v>
      </c>
    </row>
    <row r="81" spans="1:6" ht="15.75" thickBot="1"/>
    <row r="82" spans="1:6" ht="35.25" thickBot="1">
      <c r="A82" s="515" t="s">
        <v>216</v>
      </c>
      <c r="B82" s="516"/>
      <c r="C82" s="517"/>
    </row>
    <row r="83" spans="1:6" ht="27.75" thickTop="1" thickBot="1">
      <c r="A83" s="234">
        <v>2024</v>
      </c>
      <c r="B83" s="234" t="s">
        <v>213</v>
      </c>
      <c r="C83" s="235" t="s">
        <v>217</v>
      </c>
    </row>
    <row r="84" spans="1:6" ht="27" thickBot="1">
      <c r="A84" s="201" t="s">
        <v>218</v>
      </c>
      <c r="B84" s="236">
        <f>B73</f>
        <v>97285408.629999995</v>
      </c>
      <c r="C84" s="306">
        <v>1</v>
      </c>
    </row>
    <row r="85" spans="1:6" ht="26.25" thickBot="1">
      <c r="A85" s="198" t="s">
        <v>219</v>
      </c>
      <c r="B85" s="237">
        <v>94350672.629999995</v>
      </c>
      <c r="C85" s="238"/>
    </row>
    <row r="86" spans="1:6" ht="27" thickBot="1">
      <c r="A86" s="201" t="s">
        <v>220</v>
      </c>
      <c r="B86" s="236">
        <f>B85*54%</f>
        <v>50949363.220200002</v>
      </c>
      <c r="C86" s="306">
        <v>0.54</v>
      </c>
    </row>
    <row r="87" spans="1:6" ht="27" thickBot="1">
      <c r="A87" s="202" t="s">
        <v>221</v>
      </c>
      <c r="B87" s="237">
        <f>B85*51.3%</f>
        <v>48401895.059189998</v>
      </c>
      <c r="C87" s="245">
        <v>0.51300000000000001</v>
      </c>
    </row>
    <row r="88" spans="1:6" ht="27" thickBot="1">
      <c r="A88" s="239" t="s">
        <v>222</v>
      </c>
      <c r="B88" s="236">
        <v>51587931.060000002</v>
      </c>
      <c r="C88" s="240">
        <f>B88/B85</f>
        <v>0.54676802636377775</v>
      </c>
    </row>
    <row r="89" spans="1:6" ht="26.25">
      <c r="A89" s="308"/>
      <c r="B89" s="309"/>
      <c r="C89" s="310"/>
    </row>
    <row r="90" spans="1:6" ht="26.25">
      <c r="A90" s="308"/>
      <c r="B90" s="309"/>
      <c r="C90" s="310"/>
    </row>
    <row r="91" spans="1:6" ht="15.75" thickBot="1"/>
    <row r="92" spans="1:6" ht="40.5" customHeight="1">
      <c r="A92" s="518" t="s">
        <v>223</v>
      </c>
      <c r="B92" s="519"/>
      <c r="C92" s="520"/>
    </row>
    <row r="93" spans="1:6" ht="41.25" thickBot="1">
      <c r="A93" s="521" t="s">
        <v>224</v>
      </c>
      <c r="B93" s="522"/>
      <c r="C93" s="523"/>
    </row>
    <row r="94" spans="1:6" ht="54" thickTop="1" thickBot="1">
      <c r="A94" s="234">
        <v>2023</v>
      </c>
      <c r="B94" s="234" t="s">
        <v>213</v>
      </c>
      <c r="C94" s="235" t="s">
        <v>225</v>
      </c>
    </row>
    <row r="95" spans="1:6" ht="27" thickBot="1">
      <c r="A95" s="239" t="s">
        <v>226</v>
      </c>
      <c r="B95" s="197">
        <f>SUM(B96:B98)</f>
        <v>26067815.470000003</v>
      </c>
      <c r="C95" s="240">
        <v>1</v>
      </c>
      <c r="F95" s="3">
        <f>SUM(F96:F98)</f>
        <v>26089272.189999998</v>
      </c>
    </row>
    <row r="96" spans="1:6" ht="26.25" thickBot="1">
      <c r="A96" s="241" t="s">
        <v>227</v>
      </c>
      <c r="B96" s="199">
        <f>Educação!N30</f>
        <v>5077841.6400000015</v>
      </c>
      <c r="C96" s="242">
        <f>B96/B95</f>
        <v>0.19479352406202993</v>
      </c>
      <c r="F96" s="405">
        <v>5077841.6399999997</v>
      </c>
    </row>
    <row r="97" spans="1:6" ht="26.25" thickBot="1">
      <c r="A97" s="243" t="s">
        <v>228</v>
      </c>
      <c r="B97" s="196">
        <f>Educação!N33</f>
        <v>5436273.29</v>
      </c>
      <c r="C97" s="244">
        <f>B97/B95</f>
        <v>0.20854349288517499</v>
      </c>
      <c r="F97" s="405">
        <v>5436273.29</v>
      </c>
    </row>
    <row r="98" spans="1:6" ht="26.25" thickBot="1">
      <c r="A98" s="241" t="s">
        <v>229</v>
      </c>
      <c r="B98" s="199">
        <f>Educação!N27</f>
        <v>15553700.540000001</v>
      </c>
      <c r="C98" s="242">
        <f>B98/B95</f>
        <v>0.59666298305279508</v>
      </c>
      <c r="F98" s="405">
        <v>15575157.26</v>
      </c>
    </row>
    <row r="99" spans="1:6" ht="27" thickBot="1">
      <c r="A99" s="231" t="s">
        <v>230</v>
      </c>
      <c r="B99" s="197">
        <f>SUM(B100:B101)</f>
        <v>24585684.009999998</v>
      </c>
      <c r="C99" s="240">
        <f>B99/B95</f>
        <v>0.94314324260482407</v>
      </c>
    </row>
    <row r="100" spans="1:6" ht="27" thickBot="1">
      <c r="A100" s="198" t="s">
        <v>231</v>
      </c>
      <c r="B100" s="200">
        <f>Educação!N44</f>
        <v>19577713.649999999</v>
      </c>
      <c r="C100" s="245">
        <f>B100/B95</f>
        <v>0.75103008430188167</v>
      </c>
    </row>
    <row r="101" spans="1:6" ht="27" thickBot="1">
      <c r="A101" s="201" t="s">
        <v>232</v>
      </c>
      <c r="B101" s="197">
        <f>Educação!N49</f>
        <v>5007970.3600000003</v>
      </c>
      <c r="C101" s="240">
        <f>B101/B95</f>
        <v>0.19211315830294237</v>
      </c>
    </row>
    <row r="102" spans="1:6" ht="36.75" thickBot="1">
      <c r="A102" s="246" t="s">
        <v>233</v>
      </c>
      <c r="B102" s="200">
        <f>Educação!C68</f>
        <v>4089429.56</v>
      </c>
      <c r="C102" s="245">
        <f>B102/B97</f>
        <v>0.75224870823225298</v>
      </c>
    </row>
    <row r="103" spans="1:6" ht="36.75" thickBot="1">
      <c r="A103" s="247" t="s">
        <v>234</v>
      </c>
      <c r="B103" s="197">
        <f>Educação!C69</f>
        <v>864860.84000000008</v>
      </c>
      <c r="C103" s="240">
        <f>B103/B97</f>
        <v>0.15909075829408864</v>
      </c>
    </row>
  </sheetData>
  <mergeCells count="11">
    <mergeCell ref="B68:C68"/>
    <mergeCell ref="A55:C55"/>
    <mergeCell ref="B63:C63"/>
    <mergeCell ref="A64:C64"/>
    <mergeCell ref="B65:C65"/>
    <mergeCell ref="B67:C67"/>
    <mergeCell ref="B69:C69"/>
    <mergeCell ref="A71:C71"/>
    <mergeCell ref="A82:C82"/>
    <mergeCell ref="A92:C92"/>
    <mergeCell ref="A93:C9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FA5-76AD-415D-A062-94F37F0E340A}">
  <dimension ref="A1:B24"/>
  <sheetViews>
    <sheetView workbookViewId="0">
      <selection activeCell="J14" sqref="J14"/>
    </sheetView>
  </sheetViews>
  <sheetFormatPr defaultRowHeight="15"/>
  <cols>
    <col min="1" max="1" width="33.7109375" customWidth="1"/>
    <col min="2" max="2" width="11.5703125" bestFit="1" customWidth="1"/>
  </cols>
  <sheetData>
    <row r="1" spans="1:2">
      <c r="A1" s="292" t="s">
        <v>397</v>
      </c>
      <c r="B1" s="56">
        <v>223363.75</v>
      </c>
    </row>
    <row r="2" spans="1:2">
      <c r="B2" s="168"/>
    </row>
    <row r="3" spans="1:2">
      <c r="A3" s="292" t="s">
        <v>398</v>
      </c>
      <c r="B3" s="56">
        <f>B1*30%</f>
        <v>67009.125</v>
      </c>
    </row>
    <row r="4" spans="1:2">
      <c r="B4" s="168"/>
    </row>
    <row r="5" spans="1:2">
      <c r="A5" s="292" t="s">
        <v>399</v>
      </c>
      <c r="B5" s="56">
        <v>21261.56</v>
      </c>
    </row>
    <row r="6" spans="1:2">
      <c r="A6" s="292" t="s">
        <v>400</v>
      </c>
      <c r="B6" s="56">
        <f>B5/B1</f>
        <v>9.5188050881129999E-2</v>
      </c>
    </row>
    <row r="7" spans="1:2">
      <c r="B7" s="168"/>
    </row>
    <row r="8" spans="1:2">
      <c r="A8" s="292" t="s">
        <v>401</v>
      </c>
      <c r="B8" s="56">
        <f>B3-B5</f>
        <v>45747.565000000002</v>
      </c>
    </row>
    <row r="9" spans="1:2">
      <c r="A9" s="292" t="s">
        <v>402</v>
      </c>
      <c r="B9" s="56">
        <f>B8/B1</f>
        <v>0.20481194911887002</v>
      </c>
    </row>
    <row r="10" spans="1:2">
      <c r="B10" s="168"/>
    </row>
    <row r="11" spans="1:2">
      <c r="A11" s="536"/>
      <c r="B11" s="536"/>
    </row>
    <row r="12" spans="1:2">
      <c r="A12" s="292" t="s">
        <v>403</v>
      </c>
      <c r="B12" s="56">
        <v>14208.57</v>
      </c>
    </row>
    <row r="13" spans="1:2">
      <c r="A13" s="292" t="s">
        <v>404</v>
      </c>
      <c r="B13" s="56">
        <v>3258.1</v>
      </c>
    </row>
    <row r="14" spans="1:2">
      <c r="B14" s="168"/>
    </row>
    <row r="15" spans="1:2">
      <c r="B15" s="168"/>
    </row>
    <row r="16" spans="1:2">
      <c r="B16" s="168"/>
    </row>
    <row r="17" spans="1:2">
      <c r="B17" s="168"/>
    </row>
    <row r="18" spans="1:2">
      <c r="B18" s="168"/>
    </row>
    <row r="19" spans="1:2">
      <c r="B19" s="168"/>
    </row>
    <row r="20" spans="1:2">
      <c r="A20" s="465" t="s">
        <v>405</v>
      </c>
      <c r="B20" s="465"/>
    </row>
    <row r="21" spans="1:2">
      <c r="B21" s="168"/>
    </row>
    <row r="22" spans="1:2">
      <c r="A22" t="s">
        <v>406</v>
      </c>
      <c r="B22" s="168">
        <v>29374.48</v>
      </c>
    </row>
    <row r="23" spans="1:2">
      <c r="A23" t="s">
        <v>407</v>
      </c>
      <c r="B23" s="168"/>
    </row>
    <row r="24" spans="1:2">
      <c r="B24" s="168"/>
    </row>
  </sheetData>
  <mergeCells count="2">
    <mergeCell ref="A11:B11"/>
    <mergeCell ref="A20:B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4</vt:i4>
      </vt:variant>
    </vt:vector>
  </HeadingPairs>
  <TitlesOfParts>
    <vt:vector size="16" baseType="lpstr">
      <vt:lpstr>Despesas</vt:lpstr>
      <vt:lpstr>RECEITAS</vt:lpstr>
      <vt:lpstr>Resumo Índices</vt:lpstr>
      <vt:lpstr>Educação</vt:lpstr>
      <vt:lpstr>Pessoal 54%</vt:lpstr>
      <vt:lpstr>Saúde 15%</vt:lpstr>
      <vt:lpstr>Controles FR</vt:lpstr>
      <vt:lpstr>Despesas (2)</vt:lpstr>
      <vt:lpstr>Planilha2</vt:lpstr>
      <vt:lpstr>Resumo 2023</vt:lpstr>
      <vt:lpstr>Bloqueio FPM</vt:lpstr>
      <vt:lpstr>Planilha1</vt:lpstr>
      <vt:lpstr>'Controles FR'!Area_de_impressao</vt:lpstr>
      <vt:lpstr>Educação!Area_de_impressao</vt:lpstr>
      <vt:lpstr>'Pessoal 54%'!Area_de_impressao</vt:lpstr>
      <vt:lpstr>'Resumo Índices'!Area_de_impressao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Lopes Consultoria</cp:lastModifiedBy>
  <cp:lastPrinted>2024-12-12T22:54:53Z</cp:lastPrinted>
  <dcterms:created xsi:type="dcterms:W3CDTF">2014-11-30T22:34:26Z</dcterms:created>
  <dcterms:modified xsi:type="dcterms:W3CDTF">2025-05-08T17:17:56Z</dcterms:modified>
</cp:coreProperties>
</file>