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Drives compartilhados\Programação\CMVC\dataset\"/>
    </mc:Choice>
  </mc:AlternateContent>
  <xr:revisionPtr revIDLastSave="0" documentId="13_ncr:1_{9B7F6248-6676-4885-A386-0D4DA58D676B}" xr6:coauthVersionLast="47" xr6:coauthVersionMax="47" xr10:uidLastSave="{00000000-0000-0000-0000-000000000000}"/>
  <bookViews>
    <workbookView xWindow="-120" yWindow="-120" windowWidth="20730" windowHeight="11160" xr2:uid="{807D8DBA-0FD8-4953-B25B-4CB54C825FC7}"/>
  </bookViews>
  <sheets>
    <sheet name="PROJECAO CMVC" sheetId="1" r:id="rId1"/>
  </sheets>
  <externalReferences>
    <externalReference r:id="rId2"/>
  </externalReferences>
  <definedNames>
    <definedName name="_xlnm.Print_Area" localSheetId="0">'PROJECAO CMVC'!$A$1:$K$256</definedName>
    <definedName name="Fevereiro" localSheetId="0">#REF!</definedName>
    <definedName name="Fevereiro">#REF!</definedName>
    <definedName name="janeiro" localSheetId="0">Tabela24162[#All]</definedName>
    <definedName name="janeiro">#REF!</definedName>
    <definedName name="março" localSheetId="0">#REF!</definedName>
    <definedName name="març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S8" i="1"/>
  <c r="S23" i="1"/>
  <c r="I67" i="1"/>
  <c r="D68" i="1" l="1"/>
  <c r="D67" i="1"/>
  <c r="F64" i="1" l="1"/>
  <c r="D64" i="1" s="1"/>
  <c r="C172" i="1" l="1"/>
  <c r="C157" i="1"/>
  <c r="C142" i="1"/>
  <c r="C127" i="1"/>
  <c r="C112" i="1"/>
  <c r="C97" i="1"/>
  <c r="C82" i="1"/>
  <c r="J214" i="1"/>
  <c r="J215" i="1"/>
  <c r="J216" i="1"/>
  <c r="J217" i="1"/>
  <c r="J218" i="1"/>
  <c r="H219" i="1"/>
  <c r="I219" i="1"/>
  <c r="G263" i="1"/>
  <c r="H263" i="1" s="1"/>
  <c r="G262" i="1"/>
  <c r="H262" i="1" s="1"/>
  <c r="G261" i="1"/>
  <c r="I261" i="1" s="1"/>
  <c r="G260" i="1"/>
  <c r="H260" i="1" s="1"/>
  <c r="G24" i="1"/>
  <c r="J219" i="1" l="1"/>
  <c r="C187" i="1"/>
  <c r="C202" i="1" s="1"/>
  <c r="I260" i="1"/>
  <c r="J260" i="1" s="1"/>
  <c r="K260" i="1" s="1"/>
  <c r="I262" i="1"/>
  <c r="J262" i="1" s="1"/>
  <c r="K262" i="1" s="1"/>
  <c r="J263" i="1"/>
  <c r="H261" i="1"/>
  <c r="J261" i="1" s="1"/>
  <c r="E97" i="1"/>
  <c r="K97" i="1" s="1"/>
  <c r="C232" i="1"/>
  <c r="C231" i="1"/>
  <c r="B219" i="1"/>
  <c r="E216" i="1"/>
  <c r="B205" i="1"/>
  <c r="J204" i="1"/>
  <c r="I204" i="1"/>
  <c r="J203" i="1"/>
  <c r="J202" i="1"/>
  <c r="J201" i="1"/>
  <c r="I201" i="1"/>
  <c r="H201" i="1"/>
  <c r="E201" i="1"/>
  <c r="J200" i="1"/>
  <c r="I200" i="1"/>
  <c r="J199" i="1"/>
  <c r="I199" i="1"/>
  <c r="J190" i="1"/>
  <c r="I190" i="1"/>
  <c r="F190" i="1"/>
  <c r="E190" i="1"/>
  <c r="B190" i="1"/>
  <c r="G189" i="1"/>
  <c r="J175" i="1"/>
  <c r="B175" i="1"/>
  <c r="K171" i="1"/>
  <c r="J160" i="1"/>
  <c r="B160" i="1"/>
  <c r="F158" i="1"/>
  <c r="K156" i="1"/>
  <c r="E155" i="1"/>
  <c r="K155" i="1" s="1"/>
  <c r="J145" i="1"/>
  <c r="B145" i="1"/>
  <c r="F143" i="1"/>
  <c r="K141" i="1"/>
  <c r="E140" i="1"/>
  <c r="K140" i="1" s="1"/>
  <c r="J130" i="1"/>
  <c r="B130" i="1"/>
  <c r="F128" i="1"/>
  <c r="K126" i="1"/>
  <c r="E125" i="1"/>
  <c r="K125" i="1" s="1"/>
  <c r="J115" i="1"/>
  <c r="B115" i="1"/>
  <c r="K111" i="1"/>
  <c r="E110" i="1"/>
  <c r="K110" i="1" s="1"/>
  <c r="J100" i="1"/>
  <c r="B100" i="1"/>
  <c r="F98" i="1"/>
  <c r="K96" i="1"/>
  <c r="E95" i="1"/>
  <c r="K95" i="1" s="1"/>
  <c r="J85" i="1"/>
  <c r="B85" i="1"/>
  <c r="F83" i="1"/>
  <c r="K81" i="1"/>
  <c r="E80" i="1"/>
  <c r="K80" i="1" s="1"/>
  <c r="J70" i="1"/>
  <c r="B70" i="1"/>
  <c r="D69" i="1"/>
  <c r="D84" i="1" s="1"/>
  <c r="D99" i="1" s="1"/>
  <c r="D114" i="1" s="1"/>
  <c r="D129" i="1" s="1"/>
  <c r="D144" i="1" s="1"/>
  <c r="D159" i="1" s="1"/>
  <c r="C69" i="1"/>
  <c r="F67" i="1"/>
  <c r="F82" i="1" s="1"/>
  <c r="F97" i="1" s="1"/>
  <c r="F112" i="1" s="1"/>
  <c r="F127" i="1" s="1"/>
  <c r="F142" i="1" s="1"/>
  <c r="F157" i="1" s="1"/>
  <c r="F172" i="1" s="1"/>
  <c r="K66" i="1"/>
  <c r="F66" i="1"/>
  <c r="D66" i="1"/>
  <c r="C66" i="1"/>
  <c r="C81" i="1" s="1"/>
  <c r="F65" i="1"/>
  <c r="F80" i="1" s="1"/>
  <c r="F95" i="1" s="1"/>
  <c r="F110" i="1" s="1"/>
  <c r="F125" i="1" s="1"/>
  <c r="F140" i="1" s="1"/>
  <c r="F155" i="1" s="1"/>
  <c r="F170" i="1" s="1"/>
  <c r="E65" i="1"/>
  <c r="K65" i="1" s="1"/>
  <c r="C224" i="1"/>
  <c r="C225" i="1" s="1"/>
  <c r="J55" i="1"/>
  <c r="B55" i="1"/>
  <c r="F54" i="1"/>
  <c r="F69" i="1" s="1"/>
  <c r="F84" i="1" s="1"/>
  <c r="F99" i="1" s="1"/>
  <c r="F114" i="1" s="1"/>
  <c r="F129" i="1" s="1"/>
  <c r="F144" i="1" s="1"/>
  <c r="F159" i="1" s="1"/>
  <c r="F174" i="1" s="1"/>
  <c r="E54" i="1"/>
  <c r="K54" i="1" s="1"/>
  <c r="K53" i="1"/>
  <c r="I53" i="1"/>
  <c r="D53" i="1"/>
  <c r="K52" i="1"/>
  <c r="I52" i="1"/>
  <c r="D52" i="1"/>
  <c r="K51" i="1"/>
  <c r="G51" i="1"/>
  <c r="E50" i="1"/>
  <c r="D50" i="1"/>
  <c r="D65" i="1" s="1"/>
  <c r="D80" i="1" s="1"/>
  <c r="D95" i="1" s="1"/>
  <c r="D110" i="1" s="1"/>
  <c r="D125" i="1" s="1"/>
  <c r="C50" i="1"/>
  <c r="C55" i="1" s="1"/>
  <c r="K49" i="1"/>
  <c r="F49" i="1"/>
  <c r="D49" i="1"/>
  <c r="I43" i="1"/>
  <c r="K40" i="1"/>
  <c r="J40" i="1"/>
  <c r="E40" i="1"/>
  <c r="C40" i="1"/>
  <c r="B40" i="1"/>
  <c r="G39" i="1"/>
  <c r="I38" i="1"/>
  <c r="D38" i="1"/>
  <c r="G38" i="1" s="1"/>
  <c r="H38" i="1" s="1"/>
  <c r="I37" i="1"/>
  <c r="G37" i="1"/>
  <c r="H37" i="1" s="1"/>
  <c r="G36" i="1"/>
  <c r="G35" i="1"/>
  <c r="F34" i="1"/>
  <c r="F40" i="1" s="1"/>
  <c r="I28" i="1"/>
  <c r="K25" i="1"/>
  <c r="J25" i="1"/>
  <c r="F25" i="1"/>
  <c r="C25" i="1"/>
  <c r="B25" i="1"/>
  <c r="D23" i="1"/>
  <c r="G23" i="1" s="1"/>
  <c r="I22" i="1"/>
  <c r="I25" i="1" s="1"/>
  <c r="E22" i="1"/>
  <c r="G21" i="1"/>
  <c r="G20" i="1"/>
  <c r="D19" i="1"/>
  <c r="G19" i="1" s="1"/>
  <c r="I13" i="1"/>
  <c r="K10" i="1"/>
  <c r="J10" i="1"/>
  <c r="F10" i="1"/>
  <c r="B10" i="1"/>
  <c r="G9" i="1"/>
  <c r="I8" i="1"/>
  <c r="G8" i="1"/>
  <c r="H8" i="1" s="1"/>
  <c r="I7" i="1"/>
  <c r="E7" i="1"/>
  <c r="C6" i="1"/>
  <c r="G5" i="1"/>
  <c r="H5" i="1" s="1"/>
  <c r="D4" i="1"/>
  <c r="G4" i="1" s="1"/>
  <c r="H4" i="1" s="1"/>
  <c r="C84" i="1" l="1"/>
  <c r="C10" i="1"/>
  <c r="C226" i="1"/>
  <c r="C94" i="1"/>
  <c r="K216" i="1"/>
  <c r="G22" i="1"/>
  <c r="G25" i="1" s="1"/>
  <c r="D27" i="1" s="1"/>
  <c r="S24" i="1" s="1"/>
  <c r="D34" i="1"/>
  <c r="G34" i="1" s="1"/>
  <c r="C65" i="1"/>
  <c r="C80" i="1" s="1"/>
  <c r="C95" i="1" s="1"/>
  <c r="G95" i="1" s="1"/>
  <c r="H95" i="1" s="1"/>
  <c r="I10" i="1"/>
  <c r="G49" i="1"/>
  <c r="H49" i="1" s="1"/>
  <c r="I97" i="1"/>
  <c r="G54" i="1"/>
  <c r="H54" i="1" s="1"/>
  <c r="G66" i="1"/>
  <c r="E55" i="1"/>
  <c r="I143" i="1"/>
  <c r="G6" i="1"/>
  <c r="I55" i="1"/>
  <c r="J205" i="1"/>
  <c r="I142" i="1"/>
  <c r="D10" i="1"/>
  <c r="I157" i="1"/>
  <c r="E69" i="1"/>
  <c r="K69" i="1" s="1"/>
  <c r="I82" i="1"/>
  <c r="D55" i="1"/>
  <c r="D174" i="1"/>
  <c r="D204" i="1" s="1"/>
  <c r="D140" i="1"/>
  <c r="D155" i="1" s="1"/>
  <c r="D170" i="1" s="1"/>
  <c r="D185" i="1" s="1"/>
  <c r="H19" i="1"/>
  <c r="G7" i="1"/>
  <c r="E82" i="1"/>
  <c r="K82" i="1" s="1"/>
  <c r="C83" i="1"/>
  <c r="F200" i="1"/>
  <c r="F202" i="1"/>
  <c r="K201" i="1"/>
  <c r="H35" i="1"/>
  <c r="I98" i="1"/>
  <c r="I173" i="1"/>
  <c r="D25" i="1"/>
  <c r="G50" i="1"/>
  <c r="D83" i="1"/>
  <c r="D98" i="1" s="1"/>
  <c r="D113" i="1" s="1"/>
  <c r="D128" i="1" s="1"/>
  <c r="D143" i="1" s="1"/>
  <c r="D158" i="1" s="1"/>
  <c r="D173" i="1" s="1"/>
  <c r="D188" i="1" s="1"/>
  <c r="I158" i="1"/>
  <c r="I128" i="1"/>
  <c r="I113" i="1"/>
  <c r="E25" i="1"/>
  <c r="I40" i="1"/>
  <c r="C99" i="1"/>
  <c r="F173" i="1"/>
  <c r="G53" i="1"/>
  <c r="H53" i="1" s="1"/>
  <c r="F204" i="1"/>
  <c r="F215" i="1"/>
  <c r="E10" i="1"/>
  <c r="H20" i="1"/>
  <c r="K50" i="1"/>
  <c r="D81" i="1"/>
  <c r="I83" i="1"/>
  <c r="C96" i="1"/>
  <c r="I172" i="1"/>
  <c r="G52" i="1"/>
  <c r="H52" i="1" s="1"/>
  <c r="F55" i="1"/>
  <c r="D82" i="1"/>
  <c r="D97" i="1" s="1"/>
  <c r="D112" i="1" s="1"/>
  <c r="D127" i="1" s="1"/>
  <c r="D142" i="1" s="1"/>
  <c r="D157" i="1" s="1"/>
  <c r="D172" i="1" s="1"/>
  <c r="F113" i="1"/>
  <c r="H23" i="1"/>
  <c r="F81" i="1"/>
  <c r="I127" i="1"/>
  <c r="F217" i="1"/>
  <c r="I112" i="1"/>
  <c r="K67" i="1"/>
  <c r="C109" i="1" l="1"/>
  <c r="C169" i="1"/>
  <c r="C154" i="1"/>
  <c r="C139" i="1"/>
  <c r="C124" i="1"/>
  <c r="C85" i="1"/>
  <c r="C110" i="1"/>
  <c r="C125" i="1" s="1"/>
  <c r="C140" i="1" s="1"/>
  <c r="C155" i="1" s="1"/>
  <c r="C170" i="1" s="1"/>
  <c r="D40" i="1"/>
  <c r="G65" i="1"/>
  <c r="H65" i="1" s="1"/>
  <c r="C70" i="1"/>
  <c r="G80" i="1"/>
  <c r="H80" i="1" s="1"/>
  <c r="K68" i="1"/>
  <c r="I85" i="1"/>
  <c r="H22" i="1"/>
  <c r="H25" i="1" s="1"/>
  <c r="D264" i="1" s="1"/>
  <c r="I70" i="1"/>
  <c r="I145" i="1"/>
  <c r="I100" i="1"/>
  <c r="D203" i="1"/>
  <c r="I203" i="1"/>
  <c r="I160" i="1"/>
  <c r="G97" i="1"/>
  <c r="H97" i="1" s="1"/>
  <c r="I115" i="1"/>
  <c r="D218" i="1"/>
  <c r="E84" i="1"/>
  <c r="K84" i="1" s="1"/>
  <c r="G69" i="1"/>
  <c r="H69" i="1" s="1"/>
  <c r="E112" i="1"/>
  <c r="G112" i="1" s="1"/>
  <c r="H112" i="1" s="1"/>
  <c r="G81" i="1"/>
  <c r="I202" i="1"/>
  <c r="F203" i="1"/>
  <c r="F218" i="1"/>
  <c r="I130" i="1"/>
  <c r="H7" i="1"/>
  <c r="G10" i="1"/>
  <c r="D79" i="1"/>
  <c r="D70" i="1"/>
  <c r="G40" i="1"/>
  <c r="H34" i="1"/>
  <c r="I175" i="1"/>
  <c r="C111" i="1"/>
  <c r="G82" i="1"/>
  <c r="H82" i="1" s="1"/>
  <c r="G67" i="1"/>
  <c r="H67" i="1" s="1"/>
  <c r="F96" i="1"/>
  <c r="K55" i="1"/>
  <c r="C114" i="1"/>
  <c r="E83" i="1"/>
  <c r="K83" i="1" s="1"/>
  <c r="C98" i="1"/>
  <c r="C100" i="1" s="1"/>
  <c r="D202" i="1"/>
  <c r="H50" i="1"/>
  <c r="D215" i="1"/>
  <c r="D96" i="1"/>
  <c r="D111" i="1" s="1"/>
  <c r="D126" i="1" s="1"/>
  <c r="D141" i="1" s="1"/>
  <c r="D156" i="1" s="1"/>
  <c r="D171" i="1" s="1"/>
  <c r="D186" i="1" s="1"/>
  <c r="D217" i="1"/>
  <c r="G55" i="1"/>
  <c r="D200" i="1"/>
  <c r="G140" i="1" l="1"/>
  <c r="G155" i="1"/>
  <c r="G110" i="1"/>
  <c r="H110" i="1" s="1"/>
  <c r="G125" i="1"/>
  <c r="H125" i="1" s="1"/>
  <c r="G68" i="1"/>
  <c r="H68" i="1" s="1"/>
  <c r="I205" i="1"/>
  <c r="D216" i="1"/>
  <c r="G84" i="1"/>
  <c r="H84" i="1" s="1"/>
  <c r="E99" i="1"/>
  <c r="G99" i="1" s="1"/>
  <c r="G64" i="1"/>
  <c r="H55" i="1"/>
  <c r="C129" i="1"/>
  <c r="E70" i="1"/>
  <c r="K64" i="1"/>
  <c r="G96" i="1"/>
  <c r="D12" i="1"/>
  <c r="H140" i="1"/>
  <c r="C126" i="1"/>
  <c r="H10" i="1"/>
  <c r="K112" i="1"/>
  <c r="F79" i="1"/>
  <c r="F85" i="1" s="1"/>
  <c r="D94" i="1"/>
  <c r="D85" i="1"/>
  <c r="E79" i="1"/>
  <c r="F70" i="1"/>
  <c r="E127" i="1"/>
  <c r="G127" i="1" s="1"/>
  <c r="H127" i="1" s="1"/>
  <c r="H155" i="1"/>
  <c r="C185" i="1"/>
  <c r="G185" i="1" s="1"/>
  <c r="E170" i="1"/>
  <c r="G170" i="1" s="1"/>
  <c r="G83" i="1"/>
  <c r="F111" i="1"/>
  <c r="G111" i="1" s="1"/>
  <c r="H40" i="1"/>
  <c r="E264" i="1" s="1"/>
  <c r="D201" i="1"/>
  <c r="D57" i="1"/>
  <c r="C113" i="1"/>
  <c r="E98" i="1"/>
  <c r="K98" i="1" s="1"/>
  <c r="D42" i="1"/>
  <c r="G70" i="1" l="1"/>
  <c r="D72" i="1" s="1"/>
  <c r="H64" i="1"/>
  <c r="C200" i="1"/>
  <c r="K99" i="1"/>
  <c r="E114" i="1"/>
  <c r="G114" i="1" s="1"/>
  <c r="C264" i="1"/>
  <c r="I57" i="1"/>
  <c r="I58" i="1" s="1"/>
  <c r="F264" i="1"/>
  <c r="H99" i="1"/>
  <c r="H70" i="1"/>
  <c r="I72" i="1" s="1"/>
  <c r="I73" i="1" s="1"/>
  <c r="D109" i="1"/>
  <c r="D100" i="1"/>
  <c r="F94" i="1"/>
  <c r="E94" i="1"/>
  <c r="H185" i="1"/>
  <c r="C141" i="1"/>
  <c r="E85" i="1"/>
  <c r="K79" i="1"/>
  <c r="K85" i="1" s="1"/>
  <c r="H170" i="1"/>
  <c r="G200" i="1"/>
  <c r="E129" i="1"/>
  <c r="G129" i="1" s="1"/>
  <c r="C144" i="1"/>
  <c r="K127" i="1"/>
  <c r="G79" i="1"/>
  <c r="F126" i="1"/>
  <c r="G126" i="1" s="1"/>
  <c r="E142" i="1"/>
  <c r="K142" i="1" s="1"/>
  <c r="C215" i="1"/>
  <c r="H83" i="1"/>
  <c r="G98" i="1"/>
  <c r="H98" i="1" s="1"/>
  <c r="K70" i="1"/>
  <c r="C128" i="1"/>
  <c r="E113" i="1"/>
  <c r="K113" i="1" s="1"/>
  <c r="C115" i="1"/>
  <c r="K170" i="1"/>
  <c r="K215" i="1" s="1"/>
  <c r="E200" i="1"/>
  <c r="E215" i="1"/>
  <c r="K114" i="1" l="1"/>
  <c r="H114" i="1"/>
  <c r="H129" i="1" s="1"/>
  <c r="H200" i="1"/>
  <c r="G215" i="1"/>
  <c r="G113" i="1"/>
  <c r="H113" i="1" s="1"/>
  <c r="F141" i="1"/>
  <c r="F156" i="1" s="1"/>
  <c r="F171" i="1" s="1"/>
  <c r="F100" i="1"/>
  <c r="E144" i="1"/>
  <c r="G144" i="1" s="1"/>
  <c r="K129" i="1"/>
  <c r="H79" i="1"/>
  <c r="G85" i="1"/>
  <c r="C130" i="1"/>
  <c r="F109" i="1"/>
  <c r="D124" i="1"/>
  <c r="D115" i="1"/>
  <c r="E109" i="1"/>
  <c r="C156" i="1"/>
  <c r="E157" i="1"/>
  <c r="G142" i="1"/>
  <c r="G94" i="1"/>
  <c r="E128" i="1"/>
  <c r="C143" i="1"/>
  <c r="C159" i="1"/>
  <c r="C184" i="1"/>
  <c r="C199" i="1" s="1"/>
  <c r="K200" i="1"/>
  <c r="E100" i="1"/>
  <c r="K94" i="1"/>
  <c r="C145" i="1" l="1"/>
  <c r="I264" i="1"/>
  <c r="H264" i="1"/>
  <c r="G264" i="1"/>
  <c r="G109" i="1"/>
  <c r="G115" i="1" s="1"/>
  <c r="G141" i="1"/>
  <c r="F216" i="1"/>
  <c r="H144" i="1"/>
  <c r="C214" i="1"/>
  <c r="G156" i="1"/>
  <c r="C171" i="1"/>
  <c r="H142" i="1"/>
  <c r="K157" i="1"/>
  <c r="F115" i="1"/>
  <c r="F201" i="1"/>
  <c r="C174" i="1"/>
  <c r="C204" i="1" s="1"/>
  <c r="D87" i="1"/>
  <c r="K128" i="1"/>
  <c r="E159" i="1"/>
  <c r="K144" i="1"/>
  <c r="H94" i="1"/>
  <c r="H100" i="1" s="1"/>
  <c r="I102" i="1" s="1"/>
  <c r="I103" i="1" s="1"/>
  <c r="G100" i="1"/>
  <c r="G128" i="1"/>
  <c r="K109" i="1"/>
  <c r="K115" i="1" s="1"/>
  <c r="E115" i="1"/>
  <c r="K100" i="1"/>
  <c r="G157" i="1"/>
  <c r="H157" i="1" s="1"/>
  <c r="D139" i="1"/>
  <c r="D130" i="1"/>
  <c r="F124" i="1"/>
  <c r="E124" i="1"/>
  <c r="E172" i="1"/>
  <c r="K172" i="1" s="1"/>
  <c r="G187" i="1"/>
  <c r="H187" i="1" s="1"/>
  <c r="H85" i="1"/>
  <c r="I87" i="1" s="1"/>
  <c r="I88" i="1" s="1"/>
  <c r="C158" i="1"/>
  <c r="C160" i="1" s="1"/>
  <c r="E143" i="1"/>
  <c r="K143" i="1" s="1"/>
  <c r="G124" i="1" l="1"/>
  <c r="H124" i="1" s="1"/>
  <c r="K217" i="1"/>
  <c r="C217" i="1"/>
  <c r="H109" i="1"/>
  <c r="H115" i="1" s="1"/>
  <c r="I117" i="1" s="1"/>
  <c r="I118" i="1" s="1"/>
  <c r="J264" i="1"/>
  <c r="K264" i="1"/>
  <c r="K267" i="1" s="1"/>
  <c r="E217" i="1"/>
  <c r="E202" i="1"/>
  <c r="K202" i="1"/>
  <c r="K159" i="1"/>
  <c r="E174" i="1"/>
  <c r="K174" i="1" s="1"/>
  <c r="D154" i="1"/>
  <c r="D145" i="1"/>
  <c r="F139" i="1"/>
  <c r="F145" i="1" s="1"/>
  <c r="E139" i="1"/>
  <c r="H128" i="1"/>
  <c r="G159" i="1"/>
  <c r="G143" i="1"/>
  <c r="H143" i="1" s="1"/>
  <c r="K124" i="1"/>
  <c r="E130" i="1"/>
  <c r="D102" i="1"/>
  <c r="G171" i="1"/>
  <c r="C186" i="1"/>
  <c r="C216" i="1" s="1"/>
  <c r="G172" i="1"/>
  <c r="H172" i="1" s="1"/>
  <c r="D117" i="1"/>
  <c r="E158" i="1"/>
  <c r="C173" i="1"/>
  <c r="C188" i="1" s="1"/>
  <c r="F130" i="1"/>
  <c r="C218" i="1" l="1"/>
  <c r="G130" i="1"/>
  <c r="D132" i="1" s="1"/>
  <c r="G139" i="1"/>
  <c r="H139" i="1" s="1"/>
  <c r="H145" i="1" s="1"/>
  <c r="I147" i="1" s="1"/>
  <c r="I148" i="1" s="1"/>
  <c r="C203" i="1"/>
  <c r="G217" i="1"/>
  <c r="G202" i="1"/>
  <c r="H202" i="1"/>
  <c r="G174" i="1"/>
  <c r="G204" i="1" s="1"/>
  <c r="K204" i="1"/>
  <c r="E204" i="1"/>
  <c r="K130" i="1"/>
  <c r="K158" i="1"/>
  <c r="H130" i="1"/>
  <c r="I132" i="1" s="1"/>
  <c r="I133" i="1" s="1"/>
  <c r="G186" i="1"/>
  <c r="G201" i="1" s="1"/>
  <c r="C201" i="1"/>
  <c r="E173" i="1"/>
  <c r="K173" i="1" s="1"/>
  <c r="C175" i="1"/>
  <c r="E145" i="1"/>
  <c r="K139" i="1"/>
  <c r="K145" i="1" s="1"/>
  <c r="F154" i="1"/>
  <c r="D169" i="1"/>
  <c r="D160" i="1"/>
  <c r="E154" i="1"/>
  <c r="H159" i="1"/>
  <c r="G158" i="1"/>
  <c r="H158" i="1" s="1"/>
  <c r="G145" i="1" l="1"/>
  <c r="D147" i="1" s="1"/>
  <c r="K218" i="1"/>
  <c r="H174" i="1"/>
  <c r="H189" i="1" s="1"/>
  <c r="C205" i="1"/>
  <c r="G173" i="1"/>
  <c r="E218" i="1"/>
  <c r="G218" i="1" s="1"/>
  <c r="F160" i="1"/>
  <c r="G216" i="1"/>
  <c r="C219" i="1"/>
  <c r="F231" i="1" s="1"/>
  <c r="K154" i="1"/>
  <c r="K160" i="1" s="1"/>
  <c r="E160" i="1"/>
  <c r="G188" i="1"/>
  <c r="H188" i="1" s="1"/>
  <c r="C190" i="1"/>
  <c r="D184" i="1"/>
  <c r="D199" i="1" s="1"/>
  <c r="D205" i="1" s="1"/>
  <c r="D175" i="1"/>
  <c r="F169" i="1"/>
  <c r="F199" i="1" s="1"/>
  <c r="F205" i="1" s="1"/>
  <c r="E169" i="1"/>
  <c r="E214" i="1" s="1"/>
  <c r="E203" i="1"/>
  <c r="K203" i="1"/>
  <c r="G154" i="1"/>
  <c r="H204" i="1" l="1"/>
  <c r="E219" i="1"/>
  <c r="G169" i="1"/>
  <c r="G175" i="1" s="1"/>
  <c r="D214" i="1"/>
  <c r="D219" i="1" s="1"/>
  <c r="F232" i="1" s="1"/>
  <c r="F233" i="1" s="1"/>
  <c r="H154" i="1"/>
  <c r="G160" i="1"/>
  <c r="E175" i="1"/>
  <c r="K169" i="1"/>
  <c r="K175" i="1" s="1"/>
  <c r="F175" i="1"/>
  <c r="F214" i="1"/>
  <c r="F219" i="1" s="1"/>
  <c r="H173" i="1"/>
  <c r="G203" i="1"/>
  <c r="D190" i="1"/>
  <c r="G184" i="1"/>
  <c r="E199" i="1"/>
  <c r="E205" i="1" s="1"/>
  <c r="H169" i="1" l="1"/>
  <c r="H175" i="1" s="1"/>
  <c r="I177" i="1" s="1"/>
  <c r="I178" i="1" s="1"/>
  <c r="K214" i="1"/>
  <c r="K219" i="1" s="1"/>
  <c r="K199" i="1"/>
  <c r="K205" i="1" s="1"/>
  <c r="H184" i="1"/>
  <c r="H190" i="1" s="1"/>
  <c r="I192" i="1" s="1"/>
  <c r="I193" i="1" s="1"/>
  <c r="G190" i="1"/>
  <c r="H160" i="1"/>
  <c r="I162" i="1" s="1"/>
  <c r="I163" i="1" s="1"/>
  <c r="G214" i="1"/>
  <c r="G219" i="1" s="1"/>
  <c r="G199" i="1"/>
  <c r="G205" i="1" s="1"/>
  <c r="D207" i="1" s="1"/>
  <c r="H203" i="1"/>
  <c r="D177" i="1"/>
  <c r="D162" i="1"/>
  <c r="H199" i="1" l="1"/>
  <c r="H205" i="1" s="1"/>
  <c r="I207" i="1" s="1"/>
  <c r="I208" i="1" s="1"/>
  <c r="D192" i="1"/>
  <c r="F2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48" authorId="0" shapeId="0" xr:uid="{DE0F29C3-527A-44A3-94F1-BDF0F3908275}">
      <text>
        <r>
          <rPr>
            <b/>
            <sz val="9"/>
            <color indexed="81"/>
            <rFont val="Segoe UI"/>
            <family val="2"/>
          </rPr>
          <t xml:space="preserve">4 pessoas  - média férias
1 pessoa - média hora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48" authorId="0" shapeId="0" xr:uid="{AB6CE67C-E3D7-4B98-AD81-492D9BDE2651}">
      <text>
        <r>
          <rPr>
            <sz val="9"/>
            <color indexed="81"/>
            <rFont val="Segoe UI"/>
            <family val="2"/>
          </rPr>
          <t>Férias proporcionais
1/3 férias proporcionais
Férias vencidas
Aviso-prévio indenizado</t>
        </r>
      </text>
    </comment>
    <comment ref="M49" authorId="0" shapeId="0" xr:uid="{F548A912-A66D-4808-A81F-CFC9108D41EE}">
      <text>
        <r>
          <rPr>
            <b/>
            <sz val="9"/>
            <color indexed="81"/>
            <rFont val="Segoe UI"/>
            <family val="2"/>
          </rPr>
          <t xml:space="preserve">estimativa anterior tinha 2 pessoas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52" authorId="0" shapeId="0" xr:uid="{EDD7C3D1-81FE-4EAB-91F5-E76CC28B5DF6}">
      <text>
        <r>
          <rPr>
            <b/>
            <sz val="9"/>
            <color indexed="81"/>
            <rFont val="Segoe UI"/>
            <family val="2"/>
          </rPr>
          <t>estimativa anterior era 12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53" authorId="0" shapeId="0" xr:uid="{7E94CA91-5AB6-464E-B2EE-192B418A2BA0}">
      <text>
        <r>
          <rPr>
            <sz val="9"/>
            <color indexed="81"/>
            <rFont val="Segoe UI"/>
            <family val="2"/>
          </rPr>
          <t xml:space="preserve">admissões no mês 
</t>
        </r>
      </text>
    </comment>
    <comment ref="N53" authorId="0" shapeId="0" xr:uid="{2F473674-1FE6-41FB-91F2-A76ED0F9D06C}">
      <text>
        <r>
          <rPr>
            <b/>
            <sz val="9"/>
            <color indexed="81"/>
            <rFont val="Segoe UI"/>
            <family val="2"/>
          </rPr>
          <t xml:space="preserve">admissões não pagas no mês de março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<sst xmlns="http://schemas.openxmlformats.org/spreadsheetml/2006/main" count="390" uniqueCount="67">
  <si>
    <t>Período:</t>
  </si>
  <si>
    <t>Janeiro/2025</t>
  </si>
  <si>
    <t>Realizado</t>
  </si>
  <si>
    <t>Lotes</t>
  </si>
  <si>
    <t>Qtd</t>
  </si>
  <si>
    <t>Salário Base Total (R$)</t>
  </si>
  <si>
    <t>Outros Vencimentos (R$)</t>
  </si>
  <si>
    <t>1/3 de Férias</t>
  </si>
  <si>
    <t>Média Valor Férias/H. Extras</t>
  </si>
  <si>
    <t>Total de Vencimentos (R$)</t>
  </si>
  <si>
    <t>INSS Patronal</t>
  </si>
  <si>
    <t>Verbas Indenizatórias</t>
  </si>
  <si>
    <t>Licença Prêmio</t>
  </si>
  <si>
    <t>Abono Pecuniário + 1/3 do Abono</t>
  </si>
  <si>
    <t>Data fér</t>
  </si>
  <si>
    <t>rcb férias</t>
  </si>
  <si>
    <t>abono</t>
  </si>
  <si>
    <t>Lote 01 - Efetivos</t>
  </si>
  <si>
    <t>Lote 02 - Ag. Políticos</t>
  </si>
  <si>
    <t>Lote 03 - Aposentados e Pensionistas</t>
  </si>
  <si>
    <t>Lote 05 - Assessores Parlamentares</t>
  </si>
  <si>
    <t>Lote 06 - Comissionados</t>
  </si>
  <si>
    <t>Lote 11 - Estagiários</t>
  </si>
  <si>
    <t>Total</t>
  </si>
  <si>
    <t>Total Vencimentos</t>
  </si>
  <si>
    <t>Base de Cálculo INSS</t>
  </si>
  <si>
    <t>Fevereiro/2025</t>
  </si>
  <si>
    <t>Março/2025</t>
  </si>
  <si>
    <t>Abril/2025</t>
  </si>
  <si>
    <t>Sim</t>
  </si>
  <si>
    <t>Maio/2025</t>
  </si>
  <si>
    <t>Estimado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</si>
  <si>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</si>
  <si>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</si>
  <si>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</si>
  <si>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</si>
  <si>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</si>
  <si>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</si>
  <si>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</si>
  <si>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13º/2025</t>
  </si>
  <si>
    <t>TOTAL</t>
  </si>
  <si>
    <t>Média horas extra nas férias:</t>
  </si>
  <si>
    <t>APURAÇÃO ARTIGO 29-A DA CONSTITUIÇÃO FEDERAL</t>
  </si>
  <si>
    <t>Estimativa TCM-BA Duodécimo 2025</t>
  </si>
  <si>
    <t>Estimativa Folha total para fins CF art. 29-A</t>
  </si>
  <si>
    <t>Apuração CF art. 29-A</t>
  </si>
  <si>
    <t>RESUMO DA APURAÇÃO</t>
  </si>
  <si>
    <t>DEMONSTRATIVO DA DESPESA</t>
  </si>
  <si>
    <t>319001 - Aposentados</t>
  </si>
  <si>
    <t>319008 - Outros Benef</t>
  </si>
  <si>
    <t>319011 - Vencimentos</t>
  </si>
  <si>
    <t>319094 - Indeniz Trab</t>
  </si>
  <si>
    <t>Janeiro</t>
  </si>
  <si>
    <t>Fevereiro</t>
  </si>
  <si>
    <t>Março</t>
  </si>
  <si>
    <t>Abril</t>
  </si>
  <si>
    <t>Média</t>
  </si>
  <si>
    <t>Projeção 12 meses</t>
  </si>
  <si>
    <t>Projeção 13o</t>
  </si>
  <si>
    <t>Duodécimo</t>
  </si>
  <si>
    <t>Apuração Art. 29-A</t>
  </si>
  <si>
    <t>APURAÇÃO</t>
  </si>
  <si>
    <t>PROJEÇÃO CONSIDERANDO OS VALORES LIQUIDADOS DE JANEIRO ATÉ ABRIL - GABINETE EM 45 MIL</t>
  </si>
  <si>
    <t>Estimativa Reajuste 4%</t>
  </si>
  <si>
    <t>Média Lote 01 - Efetivos</t>
  </si>
  <si>
    <t>Estimativa Lote 01 c/ reajuste</t>
  </si>
  <si>
    <t>Gabinete Junho&gt;: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</si>
</sst>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_-;\-&quot;R$&quot;\ * #,##0.0000_-;_-&quot;R$&quot;\ * &quot;-&quot;??_-;_-@_-"/>
    <numFmt numFmtId="165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1" tint="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right"/>
    </xf>
    <xf numFmtId="49" fontId="4" fillId="3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left" vertical="center"/>
    </xf>
    <xf numFmtId="44" fontId="0" fillId="0" borderId="3" xfId="1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44" fontId="6" fillId="0" borderId="1" xfId="1" applyFont="1" applyBorder="1" applyAlignment="1">
      <alignment horizontal="left" vertical="center"/>
    </xf>
    <xf numFmtId="44" fontId="0" fillId="0" borderId="8" xfId="1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left"/>
    </xf>
    <xf numFmtId="44" fontId="0" fillId="0" borderId="0" xfId="0" applyNumberFormat="1"/>
    <xf numFmtId="0" fontId="0" fillId="0" borderId="10" xfId="0" applyBorder="1"/>
    <xf numFmtId="44" fontId="6" fillId="0" borderId="10" xfId="1" applyFont="1" applyBorder="1" applyAlignment="1">
      <alignment horizontal="left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164" fontId="0" fillId="0" borderId="0" xfId="0" applyNumberFormat="1"/>
    <xf numFmtId="0" fontId="0" fillId="6" borderId="0" xfId="0" applyFill="1" applyAlignment="1">
      <alignment horizontal="left"/>
    </xf>
    <xf numFmtId="49" fontId="4" fillId="3" borderId="1" xfId="0" applyNumberFormat="1" applyFont="1" applyFill="1" applyBorder="1" applyAlignment="1">
      <alignment horizontal="centerContinuous"/>
    </xf>
    <xf numFmtId="44" fontId="0" fillId="0" borderId="0" xfId="1" applyFont="1"/>
    <xf numFmtId="0" fontId="6" fillId="0" borderId="0" xfId="0" applyFont="1" applyAlignment="1">
      <alignment horizontal="right"/>
    </xf>
    <xf numFmtId="44" fontId="6" fillId="0" borderId="0" xfId="1" applyFont="1" applyFill="1" applyBorder="1" applyAlignment="1">
      <alignment horizontal="left"/>
    </xf>
    <xf numFmtId="0" fontId="0" fillId="2" borderId="1" xfId="0" applyFill="1" applyBorder="1" applyAlignment="1">
      <alignment horizontal="centerContinuous"/>
    </xf>
    <xf numFmtId="165" fontId="6" fillId="3" borderId="1" xfId="1" applyNumberFormat="1" applyFont="1" applyFill="1" applyBorder="1" applyAlignment="1">
      <alignment horizontal="centerContinuous"/>
    </xf>
    <xf numFmtId="10" fontId="2" fillId="3" borderId="1" xfId="2" applyNumberFormat="1" applyFont="1" applyFill="1" applyBorder="1" applyAlignment="1">
      <alignment horizontal="center"/>
    </xf>
    <xf numFmtId="44" fontId="6" fillId="0" borderId="0" xfId="0" applyNumberFormat="1" applyFont="1" applyAlignment="1">
      <alignment horizontal="right"/>
    </xf>
    <xf numFmtId="0" fontId="0" fillId="0" borderId="1" xfId="0" applyBorder="1"/>
    <xf numFmtId="43" fontId="0" fillId="0" borderId="1" xfId="3" applyFont="1" applyBorder="1"/>
    <xf numFmtId="43" fontId="0" fillId="0" borderId="1" xfId="0" applyNumberFormat="1" applyBorder="1"/>
    <xf numFmtId="43" fontId="0" fillId="0" borderId="1" xfId="3" applyFont="1" applyFill="1" applyBorder="1"/>
    <xf numFmtId="44" fontId="0" fillId="0" borderId="1" xfId="1" applyFont="1" applyBorder="1"/>
    <xf numFmtId="44" fontId="1" fillId="0" borderId="1" xfId="1" applyFont="1" applyBorder="1"/>
    <xf numFmtId="44" fontId="0" fillId="0" borderId="1" xfId="0" applyNumberFormat="1" applyBorder="1"/>
    <xf numFmtId="44" fontId="6" fillId="0" borderId="1" xfId="0" applyNumberFormat="1" applyFont="1" applyBorder="1" applyAlignment="1">
      <alignment horizontal="right"/>
    </xf>
    <xf numFmtId="44" fontId="6" fillId="0" borderId="1" xfId="1" applyFont="1" applyFill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2" fillId="0" borderId="1" xfId="0" applyFont="1" applyBorder="1"/>
    <xf numFmtId="44" fontId="4" fillId="0" borderId="1" xfId="0" applyNumberFormat="1" applyFont="1" applyBorder="1"/>
    <xf numFmtId="10" fontId="2" fillId="0" borderId="1" xfId="2" applyNumberFormat="1" applyFont="1" applyBorder="1" applyAlignment="1">
      <alignment horizont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4" fontId="11" fillId="5" borderId="1" xfId="1" applyFont="1" applyFill="1" applyBorder="1" applyAlignment="1">
      <alignment horizontal="center" vertical="center"/>
    </xf>
    <xf numFmtId="44" fontId="12" fillId="5" borderId="1" xfId="1" applyFont="1" applyFill="1" applyBorder="1" applyAlignment="1">
      <alignment horizontal="center" vertical="center"/>
    </xf>
    <xf numFmtId="44" fontId="11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left" vertical="center"/>
    </xf>
    <xf numFmtId="165" fontId="0" fillId="5" borderId="3" xfId="0" applyNumberForma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left" vertical="center"/>
    </xf>
    <xf numFmtId="165" fontId="6" fillId="0" borderId="9" xfId="1" applyNumberFormat="1" applyFont="1" applyFill="1" applyBorder="1" applyAlignment="1">
      <alignment horizontal="left"/>
    </xf>
    <xf numFmtId="165" fontId="7" fillId="0" borderId="1" xfId="1" applyNumberFormat="1" applyFont="1" applyBorder="1" applyAlignment="1">
      <alignment horizontal="left" vertical="center"/>
    </xf>
    <xf numFmtId="165" fontId="6" fillId="0" borderId="0" xfId="1" applyNumberFormat="1" applyFont="1" applyBorder="1" applyAlignment="1">
      <alignment horizontal="left"/>
    </xf>
    <xf numFmtId="165" fontId="6" fillId="0" borderId="9" xfId="0" applyNumberFormat="1" applyFont="1" applyBorder="1" applyAlignment="1">
      <alignment horizontal="right"/>
    </xf>
    <xf numFmtId="165" fontId="0" fillId="0" borderId="0" xfId="0" applyNumberFormat="1"/>
    <xf numFmtId="165" fontId="0" fillId="0" borderId="10" xfId="0" applyNumberFormat="1" applyBorder="1"/>
    <xf numFmtId="165" fontId="6" fillId="0" borderId="10" xfId="1" applyNumberFormat="1" applyFont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165" fontId="8" fillId="0" borderId="1" xfId="1" applyNumberFormat="1" applyFont="1" applyBorder="1" applyAlignment="1">
      <alignment horizontal="left" vertical="center"/>
    </xf>
    <xf numFmtId="165" fontId="5" fillId="7" borderId="1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right"/>
    </xf>
    <xf numFmtId="165" fontId="6" fillId="0" borderId="0" xfId="1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centerContinuous"/>
    </xf>
    <xf numFmtId="165" fontId="0" fillId="0" borderId="0" xfId="1" applyNumberFormat="1" applyFont="1"/>
    <xf numFmtId="165" fontId="13" fillId="5" borderId="3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40"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textRotation="0" indent="0" justifyLastLine="0" shrinkToFit="0" readingOrder="0"/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s%20compartilhados/VIT&#211;RIA%20DE%20CONQUISTA%20-%20CAMARA/Proje&#231;&#227;o%20folha%20-%20CMVC%20em%20aju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ção"/>
      <sheetName val="Projeção (2)"/>
      <sheetName val="Cálculo"/>
      <sheetName val="Planilha1"/>
    </sheetNames>
    <sheetDataSet>
      <sheetData sheetId="0"/>
      <sheetData sheetId="1"/>
      <sheetData sheetId="2">
        <row r="1">
          <cell r="D1" t="str">
            <v>Sim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D35CD-83EE-4B6C-B6F9-4C82B3CF33FF}" name="Tabela24162" displayName="Tabela24162" ref="A3:K10" totalsRowShown="0" headerRowDxfId="239" dataDxfId="237" headerRowBorderDxfId="238" tableBorderDxfId="236" totalsRowBorderDxfId="235">
  <tableColumns count="11">
    <tableColumn id="1" xr3:uid="{643324BD-3392-4C98-92CC-4354E029C975}" name="Lotes" dataDxfId="234"/>
    <tableColumn id="2" xr3:uid="{FCE5830F-5DA6-4000-B448-A1ED343B9B8F}" name="Qtd" dataDxfId="233"/>
    <tableColumn id="3" xr3:uid="{8FD93326-5F69-4A11-B647-DED9445E1497}" name="Salário Base Total (R$)" dataDxfId="232" dataCellStyle="Moeda">
      <calculatedColumnFormula>SUM(L4:S4)</calculatedColumnFormula>
    </tableColumn>
    <tableColumn id="4" xr3:uid="{1946973D-8E4E-4D18-A439-809ED1186DE6}" name="Outros Vencimentos (R$)" dataDxfId="231" dataCellStyle="Moeda"/>
    <tableColumn id="8" xr3:uid="{A1315929-6530-484F-B2DB-770D36E5AAC3}" name="1/3 de Férias" dataDxfId="230" dataCellStyle="Moeda"/>
    <tableColumn id="5" xr3:uid="{224DDC95-0D5D-4001-B639-AE8DE9F82008}" name="Média Valor Férias/H. Extras" dataDxfId="229" dataCellStyle="Moeda"/>
    <tableColumn id="6" xr3:uid="{9CB18928-5455-4E8E-8D10-994394B138D9}" name="Total de Vencimentos (R$)" dataDxfId="228" dataCellStyle="Moeda">
      <calculatedColumnFormula>SUM(Tabela24162[[#This Row],[Salário Base Total (R$)]:[1/3 de Férias]])</calculatedColumnFormula>
    </tableColumn>
    <tableColumn id="9" xr3:uid="{587998F4-2BA0-4C9B-903F-F7ABADA7E800}" name="INSS Patronal" dataDxfId="227" dataCellStyle="Moeda"/>
    <tableColumn id="10" xr3:uid="{4D4205EA-FD95-4161-B77A-16E5E362C01F}" name="Verbas Indenizatórias" dataDxfId="226" dataCellStyle="Moeda"/>
    <tableColumn id="11" xr3:uid="{AC3F369B-E40E-4EE1-BE80-D4534F1BCAC3}" name="Licença Prêmio" dataDxfId="225" dataCellStyle="Moeda"/>
    <tableColumn id="7" xr3:uid="{ADE5FD75-27EB-4B46-AD04-86D8D2E973D2}" name="Abono Pecuniário + 1/3 do Abono" dataDxfId="224" dataCellStyle="Moeda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7DE89B-9456-43C4-BFF9-D1FB7D72FE71}" name="Tabela241622344111" displayName="Tabela241622344111" ref="A138:K145" totalsRowShown="0" headerRowDxfId="95" dataDxfId="93" headerRowBorderDxfId="94" tableBorderDxfId="92" totalsRowBorderDxfId="91">
  <tableColumns count="11">
    <tableColumn id="1" xr3:uid="{C6389990-D921-4292-8371-B72A22D20A30}" name="Lotes" dataDxfId="90"/>
    <tableColumn id="2" xr3:uid="{33B8546C-4B51-482E-BE44-D3B04187B014}" name="Qtd" dataDxfId="89"/>
    <tableColumn id="3" xr3:uid="{644A9C94-B4D9-42E6-B13D-D96E8886E1B6}" name="Salário Base Total (R$)" dataDxfId="88" dataCellStyle="Moeda">
      <calculatedColumnFormula>SUM(L139:S139)</calculatedColumnFormula>
    </tableColumn>
    <tableColumn id="4" xr3:uid="{1EC6E377-8C15-4EDE-9615-6B2AA2ECDEC8}" name="Outros Vencimentos (R$)" dataDxfId="87" dataCellStyle="Moeda"/>
    <tableColumn id="8" xr3:uid="{C1687C97-83F6-424A-B2E4-375C8C3D1F01}" name="1/3 de Férias" dataDxfId="86" dataCellStyle="Moeda"/>
    <tableColumn id="5" xr3:uid="{22C240DE-C58B-4980-B637-E96437CBFF7E}" name="Média Valor Férias/H. Extras" dataDxfId="85" dataCellStyle="Moeda"/>
    <tableColumn id="6" xr3:uid="{A63B36C0-BEA9-45BB-8DE8-1F7D6F990669}" name="Total de Vencimentos (R$)" dataDxfId="84" dataCellStyle="Moeda">
      <calculatedColumnFormula>SUM(Tabela241622344111[[#This Row],[Salário Base Total (R$)]:[1/3 de Férias]])</calculatedColumnFormula>
    </tableColumn>
    <tableColumn id="9" xr3:uid="{0C423502-EA12-4822-9241-A67F03DA5FEB}" name="INSS Patronal" dataDxfId="83" dataCellStyle="Moeda"/>
    <tableColumn id="10" xr3:uid="{A7AC20B8-C633-4194-85F3-8710A9F38A66}" name="Verbas Indenizatórias" dataDxfId="82" dataCellStyle="Moeda"/>
    <tableColumn id="11" xr3:uid="{5D530C70-86ED-4BCE-B067-A797EEA0E13C}" name="Licença Prêmio" dataDxfId="81" dataCellStyle="Moeda"/>
    <tableColumn id="7" xr3:uid="{41834E96-158C-4B44-8C5F-68098B31A4CD}" name="Abono Pecuniário + 1/3 do Abono" dataDxfId="80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C1146-4EBB-41DE-9028-DE95E4CD0427}" name="Tabela241622344212" displayName="Tabela241622344212" ref="A153:K160" totalsRowShown="0" headerRowDxfId="79" dataDxfId="77" headerRowBorderDxfId="78" tableBorderDxfId="76" totalsRowBorderDxfId="75">
  <tableColumns count="11">
    <tableColumn id="1" xr3:uid="{2B3D094B-F6FB-4636-A624-886A67DBBC32}" name="Lotes" dataDxfId="74"/>
    <tableColumn id="2" xr3:uid="{4A74F186-C4C7-4B85-B06B-97FD7A658DBE}" name="Qtd" dataDxfId="73"/>
    <tableColumn id="3" xr3:uid="{8D60E2F3-7A94-4945-ADAB-E483979138F2}" name="Salário Base Total (R$)" dataDxfId="72" dataCellStyle="Moeda">
      <calculatedColumnFormula>SUM(L154:S154)</calculatedColumnFormula>
    </tableColumn>
    <tableColumn id="4" xr3:uid="{D4C67BFC-FAF2-4D0C-A402-2B8A6B3EC3F8}" name="Outros Vencimentos (R$)" dataDxfId="71" dataCellStyle="Moeda"/>
    <tableColumn id="8" xr3:uid="{4051DF0F-A988-4994-8D89-34E6F4C919F0}" name="1/3 de Férias" dataDxfId="70" dataCellStyle="Moeda"/>
    <tableColumn id="5" xr3:uid="{DEC2D853-D542-437C-82DC-49B4B891EDA1}" name="Média Valor Férias/H. Extras" dataDxfId="69" dataCellStyle="Moeda"/>
    <tableColumn id="6" xr3:uid="{68D17167-3C77-41E2-B887-ED0925AC8E0A}" name="Total de Vencimentos (R$)" dataDxfId="68" dataCellStyle="Moeda">
      <calculatedColumnFormula>SUM(Tabela241622344212[[#This Row],[Salário Base Total (R$)]:[1/3 de Férias]])</calculatedColumnFormula>
    </tableColumn>
    <tableColumn id="9" xr3:uid="{EB9F581E-F8F9-48A7-B58A-828CFA7F93AD}" name="INSS Patronal" dataDxfId="67" dataCellStyle="Moeda"/>
    <tableColumn id="10" xr3:uid="{B08A7C26-4577-45AB-9DC3-844A51572304}" name="Verbas Indenizatórias" dataDxfId="66" dataCellStyle="Moeda"/>
    <tableColumn id="11" xr3:uid="{236547AF-5A57-4B8B-A307-53EC6BAA0C78}" name="Licença Prêmio" dataDxfId="65" dataCellStyle="Moeda"/>
    <tableColumn id="7" xr3:uid="{BC954578-E8BD-4C06-95F2-BECE6734ADC2}" name="Abono Pecuniário + 1/3 do Abono" dataDxfId="64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0646D9-134C-4006-8CE9-84C6282E2B25}" name="Tabela241622344313" displayName="Tabela241622344313" ref="A168:K175" totalsRowShown="0" headerRowDxfId="63" dataDxfId="61" headerRowBorderDxfId="62" tableBorderDxfId="60" totalsRowBorderDxfId="59">
  <tableColumns count="11">
    <tableColumn id="1" xr3:uid="{FA164ADA-859F-4BAB-94AF-FF76F32B8CBC}" name="Lotes" dataDxfId="58"/>
    <tableColumn id="2" xr3:uid="{E6DF47BA-6DF6-4301-A2C1-CFE459D648D3}" name="Qtd" dataDxfId="57"/>
    <tableColumn id="3" xr3:uid="{ECE4FC2F-8BB9-4D0E-B2AC-C7AA9A12DDEE}" name="Salário Base Total (R$)" dataDxfId="56" dataCellStyle="Moeda">
      <calculatedColumnFormula>SUM(L169:S169)</calculatedColumnFormula>
    </tableColumn>
    <tableColumn id="4" xr3:uid="{EFD594CD-F44B-499B-A143-12429108CBE5}" name="Outros Vencimentos (R$)" dataDxfId="55" dataCellStyle="Moeda"/>
    <tableColumn id="8" xr3:uid="{DBF3EB69-DD45-4381-B218-92E5115F200F}" name="1/3 de Férias" dataDxfId="54" dataCellStyle="Moeda"/>
    <tableColumn id="5" xr3:uid="{8A6B3A21-8AC8-491C-B1C0-5E2C8CC4D842}" name="Média Valor Férias/H. Extras" dataDxfId="53" dataCellStyle="Moeda"/>
    <tableColumn id="6" xr3:uid="{20268AC9-AE5F-4BD5-A561-9BDF2EE1E9B5}" name="Total de Vencimentos (R$)" dataDxfId="52" dataCellStyle="Moeda">
      <calculatedColumnFormula>SUM(Tabela241622344313[[#This Row],[Salário Base Total (R$)]:[1/3 de Férias]])</calculatedColumnFormula>
    </tableColumn>
    <tableColumn id="9" xr3:uid="{28B3FBED-2566-44B2-9C02-F77D206A630B}" name="INSS Patronal" dataDxfId="51" dataCellStyle="Moeda"/>
    <tableColumn id="10" xr3:uid="{F89F128F-0CFC-487A-B641-E9808F3747CA}" name="Verbas Indenizatórias" dataDxfId="50" dataCellStyle="Moeda"/>
    <tableColumn id="11" xr3:uid="{AD402AE0-7E12-479F-9085-D21A7C794DA6}" name="Licença Prêmio" dataDxfId="49" dataCellStyle="Moeda"/>
    <tableColumn id="7" xr3:uid="{7DC8E745-A7EA-4758-B541-22A9AD0F8EC8}" name="Abono Pecuniário + 1/3 do Abono" dataDxfId="48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6642F4-B108-4337-B7C2-AB03DA6F0DE5}" name="Tabela241622344414" displayName="Tabela241622344414" ref="A183:K190" totalsRowShown="0" headerRowDxfId="47" dataDxfId="45" headerRowBorderDxfId="46" tableBorderDxfId="44" totalsRowBorderDxfId="43">
  <tableColumns count="11">
    <tableColumn id="1" xr3:uid="{1AF83EEC-0DFA-4698-8015-74E239069864}" name="Lotes" dataDxfId="42"/>
    <tableColumn id="2" xr3:uid="{F53FF55C-E695-49DC-9C75-F5EEBE6B59EC}" name="Qtd" dataDxfId="41"/>
    <tableColumn id="3" xr3:uid="{7BA2B68A-9EBE-4394-A8C7-4DDBDB4E0F77}" name="Salário Base Total (R$)" dataDxfId="40" dataCellStyle="Moeda">
      <calculatedColumnFormula>SUM(K184:R184)</calculatedColumnFormula>
    </tableColumn>
    <tableColumn id="4" xr3:uid="{B1C4AF68-6725-4285-8166-E806599F5305}" name="Outros Vencimentos (R$)" dataDxfId="39" dataCellStyle="Moeda"/>
    <tableColumn id="8" xr3:uid="{43166241-D5CD-4185-A926-59F47EB6D22C}" name="1/3 de Férias" dataDxfId="38" dataCellStyle="Moeda"/>
    <tableColumn id="5" xr3:uid="{8F9A5641-CD2B-464F-8A1D-BD465CAAA3F2}" name="Média Valor Férias/H. Extras" dataDxfId="37" dataCellStyle="Moeda"/>
    <tableColumn id="6" xr3:uid="{446EB286-9EDA-4B62-A97E-FE41DC162D3D}" name="Total de Vencimentos (R$)" dataDxfId="36" dataCellStyle="Moeda">
      <calculatedColumnFormula>SUM(Tabela241622344414[[#This Row],[Salário Base Total (R$)]:[1/3 de Férias]])</calculatedColumnFormula>
    </tableColumn>
    <tableColumn id="9" xr3:uid="{AF43DDA4-B8F8-4B23-BD93-58C73DCB6B27}" name="INSS Patronal" dataDxfId="35" dataCellStyle="Moeda"/>
    <tableColumn id="10" xr3:uid="{BE98BA44-5F4E-44E0-967F-0A3F196E610D}" name="Verbas Indenizatórias" dataDxfId="34" dataCellStyle="Moeda"/>
    <tableColumn id="11" xr3:uid="{A45A1FC2-8199-440D-BCCA-B30E862107D3}" name="Licença Prêmio" dataDxfId="33" dataCellStyle="Moeda"/>
    <tableColumn id="7" xr3:uid="{B5E55ACA-3F4D-4865-9451-DF73AB7CDEFE}" name="Abono Pecuniário + 1/3 do Abono" dataDxfId="32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1A2DD3E-888C-4A38-A505-A5B2B2FC8B5F}" name="Tabela24162234441415" displayName="Tabela24162234441415" ref="A198:K205" totalsRowShown="0" headerRowDxfId="31" dataDxfId="29" headerRowBorderDxfId="30" tableBorderDxfId="28" totalsRowBorderDxfId="27">
  <tableColumns count="11">
    <tableColumn id="1" xr3:uid="{A0E9F359-722E-4743-AB37-18A1D4A789E3}" name="Lotes" dataDxfId="26"/>
    <tableColumn id="2" xr3:uid="{91D8E88C-D423-4EEF-8A3C-F33FC080F469}" name="Qtd" dataDxfId="25"/>
    <tableColumn id="3" xr3:uid="{938FE57F-5F1B-44A5-9A9F-0115E7900ACE}" name="Salário Base Total (R$)" dataDxfId="24" dataCellStyle="Moeda">
      <calculatedColumnFormula>SUM(K199:Q199)</calculatedColumnFormula>
    </tableColumn>
    <tableColumn id="4" xr3:uid="{E5F36E51-43AE-43B8-AC9A-36CB6AA8AC6E}" name="Outros Vencimentos (R$)" dataDxfId="23" dataCellStyle="Moeda"/>
    <tableColumn id="8" xr3:uid="{A3417DC8-80B6-45D1-B03A-EC749D4855B7}" name="1/3 de Férias" dataDxfId="22" dataCellStyle="Moeda"/>
    <tableColumn id="5" xr3:uid="{47A3996B-51ED-48E2-A365-F59068A72020}" name="Média Valor Férias/H. Extras" dataDxfId="21" dataCellStyle="Moeda"/>
    <tableColumn id="6" xr3:uid="{092553BF-A25C-4A37-9152-CF047EC3B393}" name="Total de Vencimentos (R$)" dataDxfId="20" dataCellStyle="Moeda">
      <calculatedColumnFormula>SUM(Tabela24162234441415[[#This Row],[Salário Base Total (R$)]:[1/3 de Férias]])</calculatedColumnFormula>
    </tableColumn>
    <tableColumn id="9" xr3:uid="{8C388336-FFBD-4452-B527-78DFBF01F1E9}" name="INSS Patronal" dataDxfId="19" dataCellStyle="Moeda"/>
    <tableColumn id="10" xr3:uid="{156B81BE-2377-49FD-B2E0-7158816469AD}" name="Verbas Indenizatórias" dataDxfId="18" dataCellStyle="Moeda"/>
    <tableColumn id="11" xr3:uid="{74643418-7DC2-4E19-A04A-02ADEC2B5ABE}" name="Licença Prêmio" dataDxfId="17" dataCellStyle="Moeda"/>
    <tableColumn id="7" xr3:uid="{F0D8D0FD-82DC-40F2-8439-14797E52333D}" name="Abono Pecuniário + 1/3 do Abono" dataDxfId="16" dataCellStyle="Moeda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108570A-0B4F-4E1D-B511-C3F99980070C}" name="Tabela2416223444141517" displayName="Tabela2416223444141517" ref="A213:K219" totalsRowShown="0" headerRowDxfId="15" dataDxfId="13" headerRowBorderDxfId="14" tableBorderDxfId="12" totalsRowBorderDxfId="11">
  <tableColumns count="11">
    <tableColumn id="1" xr3:uid="{859C67D5-2033-4A14-82BA-77DC960D6C86}" name="Lotes" dataDxfId="10"/>
    <tableColumn id="2" xr3:uid="{89E24397-9193-4135-B085-1B8809C59F65}" name="Qtd" dataDxfId="9"/>
    <tableColumn id="3" xr3:uid="{45BFB4B6-17B0-40D2-A21D-53F9178A8CAC}" name="Salário Base Total (R$)" dataDxfId="8" dataCellStyle="Moeda"/>
    <tableColumn id="4" xr3:uid="{DA00F312-99B8-427A-B10F-9928F2912679}" name="Outros Vencimentos (R$)" dataDxfId="7" dataCellStyle="Moeda"/>
    <tableColumn id="8" xr3:uid="{76184CF0-7D56-40F7-B360-4D0B1904163E}" name="1/3 de Férias" dataDxfId="6" dataCellStyle="Moeda"/>
    <tableColumn id="5" xr3:uid="{6CEA9FA5-0BF5-4523-AE4C-7A6978671EA5}" name="Média Valor Férias/H. Extras" dataDxfId="5" dataCellStyle="Moeda"/>
    <tableColumn id="6" xr3:uid="{4FB1246B-9646-4C2E-B9EB-41F6682D2C0E}" name="Total de Vencimentos (R$)" dataDxfId="4" dataCellStyle="Moeda"/>
    <tableColumn id="9" xr3:uid="{9B77BEF7-7047-4C6F-A69D-28DF4CDB59B6}" name="INSS Patronal" dataDxfId="3" dataCellStyle="Moeda"/>
    <tableColumn id="10" xr3:uid="{1A17FCB6-C4F8-4ED7-9488-C4F1447620F0}" name="Verbas Indenizatórias" dataDxfId="2" dataCellStyle="Moeda"/>
    <tableColumn id="11" xr3:uid="{30895D75-B368-423B-A601-4D2964C0FBBB}" name="Licença Prêmio" dataDxfId="1" dataCellStyle="Moeda"/>
    <tableColumn id="7" xr3:uid="{76398DC7-BB13-44CE-A67B-F14EE3499512}" name="Abono Pecuniário + 1/3 do Abono" dataDxfId="0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311E1-937E-4B49-8E47-564780571703}" name="Tabela2416223" displayName="Tabela2416223" ref="A18:K25" totalsRowShown="0" headerRowDxfId="223" dataDxfId="221" headerRowBorderDxfId="222" tableBorderDxfId="220" totalsRowBorderDxfId="219">
  <tableColumns count="11">
    <tableColumn id="1" xr3:uid="{86B953F6-11F7-4918-8F36-B39D5350477D}" name="Lotes" dataDxfId="218"/>
    <tableColumn id="2" xr3:uid="{8879F1D1-E867-4CCD-A8EB-A2BD6EB74BCB}" name="Qtd" dataDxfId="217"/>
    <tableColumn id="3" xr3:uid="{9D90355E-9417-4819-830C-FF390386F280}" name="Salário Base Total (R$)" dataDxfId="216" dataCellStyle="Moeda">
      <calculatedColumnFormula>SUM(L19:S19)</calculatedColumnFormula>
    </tableColumn>
    <tableColumn id="4" xr3:uid="{285BC5F9-8056-4AA7-B137-56685625E329}" name="Outros Vencimentos (R$)" dataDxfId="215" dataCellStyle="Moeda"/>
    <tableColumn id="8" xr3:uid="{CF7ABB37-61C5-4AA9-9C67-746CC9F8B81F}" name="1/3 de Férias" dataDxfId="214" dataCellStyle="Moeda"/>
    <tableColumn id="5" xr3:uid="{146434AC-12CB-4480-91FE-244DA18DA5AF}" name="Média Valor Férias/H. Extras" dataDxfId="213" dataCellStyle="Moeda"/>
    <tableColumn id="6" xr3:uid="{28434FA3-B1C9-4034-85C2-93DBB6BBBC1A}" name="Total de Vencimentos (R$)" dataDxfId="212" dataCellStyle="Moeda">
      <calculatedColumnFormula>SUM(Tabela2416223[[#This Row],[Salário Base Total (R$)]:[1/3 de Férias]])</calculatedColumnFormula>
    </tableColumn>
    <tableColumn id="9" xr3:uid="{B7E1886A-3672-4A45-A26F-ACA83A80A93F}" name="INSS Patronal" dataDxfId="211" dataCellStyle="Moeda"/>
    <tableColumn id="10" xr3:uid="{2C4339E9-BC1B-4002-8D38-49342A282472}" name="Verbas Indenizatórias" dataDxfId="210" dataCellStyle="Moeda"/>
    <tableColumn id="11" xr3:uid="{1F87B0E3-A5FC-429B-82FB-EFAC5905078E}" name="Licença Prêmio" dataDxfId="209" dataCellStyle="Moeda"/>
    <tableColumn id="7" xr3:uid="{38F65BDA-AEDD-45AB-89CB-49B0057F60B6}" name="Abono Pecuniário + 1/3 do Abono" dataDxfId="208" dataCellStyle="Moe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81BD52-58C3-46C0-8794-9D8A701D0196}" name="Tabela241622344" displayName="Tabela241622344" ref="A33:K40" totalsRowShown="0" headerRowDxfId="207" dataDxfId="205" headerRowBorderDxfId="206" tableBorderDxfId="204" totalsRowBorderDxfId="203">
  <tableColumns count="11">
    <tableColumn id="1" xr3:uid="{C281F3F4-FAEF-4D82-9C17-51CD6FCF4205}" name="Lotes" dataDxfId="202"/>
    <tableColumn id="2" xr3:uid="{E77D4CAB-AF73-45C2-8DB7-2DCB797D9418}" name="Qtd" dataDxfId="201"/>
    <tableColumn id="3" xr3:uid="{2F552E97-6E48-4B7F-8378-F3B2AB8AB802}" name="Salário Base Total (R$)" dataDxfId="200" dataCellStyle="Moeda">
      <calculatedColumnFormula>SUM(L34:S34)</calculatedColumnFormula>
    </tableColumn>
    <tableColumn id="4" xr3:uid="{9B016272-D627-4F50-926C-6DDABA823CEB}" name="Outros Vencimentos (R$)" dataDxfId="199" dataCellStyle="Moeda"/>
    <tableColumn id="8" xr3:uid="{A7332960-425A-4687-AD6B-104264C0704D}" name="1/3 de Férias" dataDxfId="198" dataCellStyle="Moeda"/>
    <tableColumn id="5" xr3:uid="{F4CCF11B-0473-4495-B0B2-8B717E12DB74}" name="Média Valor Férias/H. Extras" dataDxfId="197" dataCellStyle="Moeda"/>
    <tableColumn id="6" xr3:uid="{E4154141-9870-45D6-B5C2-B40D39FF5DD6}" name="Total de Vencimentos (R$)" dataDxfId="196" dataCellStyle="Moeda">
      <calculatedColumnFormula>SUM(Tabela241622344[[#This Row],[Salário Base Total (R$)]:[1/3 de Férias]])</calculatedColumnFormula>
    </tableColumn>
    <tableColumn id="9" xr3:uid="{BDBB892D-C99D-40BF-8CEC-8277830B56C0}" name="INSS Patronal" dataDxfId="195" dataCellStyle="Moeda"/>
    <tableColumn id="10" xr3:uid="{F716B89C-B3B6-4643-B745-58D57B4D3B69}" name="Verbas Indenizatórias" dataDxfId="194" dataCellStyle="Moeda"/>
    <tableColumn id="11" xr3:uid="{510DB0FA-C61D-4BAA-8F7B-9C1D38864102}" name="Licença Prêmio" dataDxfId="193" dataCellStyle="Moeda"/>
    <tableColumn id="7" xr3:uid="{425F086A-AE7B-4CB3-822E-3CBF5A2C0E37}" name="Abono Pecuniário + 1/3 do Abono" dataDxfId="192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159C0-BCBA-42D4-9E9C-DD4209C7C722}" name="Tabela24162234355" displayName="Tabela24162234355" ref="A48:K55" totalsRowShown="0" headerRowDxfId="191" dataDxfId="189" headerRowBorderDxfId="190" tableBorderDxfId="188" totalsRowBorderDxfId="187">
  <tableColumns count="11">
    <tableColumn id="1" xr3:uid="{3140CC23-87BD-4448-BCF5-78F8C20D40B3}" name="Lotes" dataDxfId="186"/>
    <tableColumn id="2" xr3:uid="{4813FA6F-E1CD-4455-969F-902FECB526F7}" name="Qtd" dataDxfId="185"/>
    <tableColumn id="3" xr3:uid="{D8510125-8E34-4BC4-8D6D-A04CA32D86D0}" name="Salário Base Total (R$)" dataDxfId="184" dataCellStyle="Moeda">
      <calculatedColumnFormula>SUM(L49:S49)</calculatedColumnFormula>
    </tableColumn>
    <tableColumn id="4" xr3:uid="{EED7BF7B-4652-45A6-A4BD-41D7B6130D7D}" name="Outros Vencimentos (R$)" dataDxfId="183" dataCellStyle="Moeda"/>
    <tableColumn id="8" xr3:uid="{14FC98D2-59DF-41BD-B149-4F99DA372506}" name="1/3 de Férias" dataDxfId="182" dataCellStyle="Moeda"/>
    <tableColumn id="5" xr3:uid="{28A31BD9-D26F-4178-83C6-40C72C55EDAD}" name="Média Valor Férias/H. Extras" dataDxfId="181" dataCellStyle="Moeda"/>
    <tableColumn id="6" xr3:uid="{94AA8DC0-1D04-4910-9DFA-1AE46CA80977}" name="Total de Vencimentos (R$)" dataDxfId="180" dataCellStyle="Moeda">
      <calculatedColumnFormula>SUM(Tabela24162234355[[#This Row],[Salário Base Total (R$)]:[Média Valor Férias/H. Extras]])</calculatedColumnFormula>
    </tableColumn>
    <tableColumn id="9" xr3:uid="{B8F3DC5E-287E-4CD0-B6A6-4C79DBAF3D79}" name="INSS Patronal" dataDxfId="179" dataCellStyle="Moeda"/>
    <tableColumn id="10" xr3:uid="{D6CB2BCB-5E08-43A2-BC6A-2B3F519C2E57}" name="Verbas Indenizatórias" dataDxfId="178" dataCellStyle="Moeda"/>
    <tableColumn id="11" xr3:uid="{D905ADE3-6523-4DFB-A60A-BC03A86B4394}" name="Licença Prêmio" dataDxfId="177" dataCellStyle="Moeda"/>
    <tableColumn id="7" xr3:uid="{E28317DC-9874-406F-992F-5EEDD93A18FC}" name="Abono Pecuniário + 1/3 do Abono" dataDxfId="17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677D49-CCB3-4C9A-83A2-2FD3B7D20E12}" name="Tabela24162234366" displayName="Tabela24162234366" ref="A63:K70" totalsRowShown="0" headerRowDxfId="175" dataDxfId="173" headerRowBorderDxfId="174" tableBorderDxfId="172" totalsRowBorderDxfId="171">
  <tableColumns count="11">
    <tableColumn id="1" xr3:uid="{3F606E35-50E2-4D27-8FE4-60196E74C6BD}" name="Lotes" dataDxfId="170"/>
    <tableColumn id="2" xr3:uid="{F658EF2A-1100-48DF-B6DC-05978A890F20}" name="Qtd" dataDxfId="169"/>
    <tableColumn id="3" xr3:uid="{214C6F75-6C3E-4D84-850A-7B82F41F0AC9}" name="Salário Base Total (R$)" dataDxfId="168" dataCellStyle="Moeda">
      <calculatedColumnFormula>SUM(L64:S64)</calculatedColumnFormula>
    </tableColumn>
    <tableColumn id="4" xr3:uid="{1D4527B0-65FD-41A5-B200-DE76746387B4}" name="Outros Vencimentos (R$)" dataDxfId="167" dataCellStyle="Moeda"/>
    <tableColumn id="8" xr3:uid="{51B0D796-4521-465C-89FA-D79F88A0339C}" name="1/3 de Férias" dataDxfId="166" dataCellStyle="Moeda"/>
    <tableColumn id="5" xr3:uid="{83094869-6FB4-427A-AB6F-75F8CF3E469B}" name="Média Valor Férias/H. Extras" dataDxfId="165" dataCellStyle="Moeda"/>
    <tableColumn id="6" xr3:uid="{1CF1BC79-3C6A-4B8F-BC29-A76150A26478}" name="Total de Vencimentos (R$)" dataDxfId="164" dataCellStyle="Moeda">
      <calculatedColumnFormula>SUM(Tabela24162234366[[#This Row],[Salário Base Total (R$)]:[1/3 de Férias]])</calculatedColumnFormula>
    </tableColumn>
    <tableColumn id="9" xr3:uid="{152D98B6-5D9C-45C2-8C4A-0074BF43C1FC}" name="INSS Patronal" dataDxfId="163" dataCellStyle="Moeda"/>
    <tableColumn id="10" xr3:uid="{DE5E7098-8286-4434-93CC-0B69555FCB96}" name="Verbas Indenizatórias" dataDxfId="162" dataCellStyle="Moeda"/>
    <tableColumn id="11" xr3:uid="{EBE4D0FD-DC02-4A41-9230-CF12D5E41E9B}" name="Licença Prêmio" dataDxfId="161" dataCellStyle="Moeda"/>
    <tableColumn id="7" xr3:uid="{96F22DCE-0D5A-43B1-8D9A-61ADF74327C3}" name="Abono Pecuniário + 1/3 do Abono" dataDxfId="160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00CA9B-B718-4593-9BE6-BD55500607C4}" name="Tabela24162234377" displayName="Tabela24162234377" ref="A78:K85" totalsRowShown="0" headerRowDxfId="159" dataDxfId="157" headerRowBorderDxfId="158" tableBorderDxfId="156" totalsRowBorderDxfId="155">
  <tableColumns count="11">
    <tableColumn id="1" xr3:uid="{23F24FEB-3B3F-4654-A0DC-8EBBE34646DC}" name="Lotes" dataDxfId="154"/>
    <tableColumn id="2" xr3:uid="{3D1137ED-33C3-42AB-BA58-D100C532C17F}" name="Qtd" dataDxfId="153"/>
    <tableColumn id="3" xr3:uid="{63E94F8A-01E1-4C60-A679-E04169B969D3}" name="Salário Base Total (R$)" dataDxfId="152" dataCellStyle="Moeda">
      <calculatedColumnFormula>SUM(L79:S79)</calculatedColumnFormula>
    </tableColumn>
    <tableColumn id="4" xr3:uid="{327AE9FB-C1BA-4C53-B7EE-62CA3E21F89D}" name="Outros Vencimentos (R$)" dataDxfId="151" dataCellStyle="Moeda"/>
    <tableColumn id="8" xr3:uid="{D54B1EDF-E1B8-4C98-BFEA-561B236E761A}" name="1/3 de Férias" dataDxfId="150" dataCellStyle="Moeda"/>
    <tableColumn id="5" xr3:uid="{6633AE1A-E1B5-4E8E-9B2E-0479D7F8B126}" name="Média Valor Férias/H. Extras" dataDxfId="149" dataCellStyle="Moeda"/>
    <tableColumn id="6" xr3:uid="{26FD66B6-E8BE-4351-8E49-A5BB6576D498}" name="Total de Vencimentos (R$)" dataDxfId="148" dataCellStyle="Moeda">
      <calculatedColumnFormula>SUM(Tabela24162234377[[#This Row],[Salário Base Total (R$)]:[1/3 de Férias]])</calculatedColumnFormula>
    </tableColumn>
    <tableColumn id="9" xr3:uid="{73D7653C-E194-4325-8716-CA894001B760}" name="INSS Patronal" dataDxfId="147" dataCellStyle="Moeda"/>
    <tableColumn id="10" xr3:uid="{70A32580-AEC3-4004-8208-C946598E62DE}" name="Verbas Indenizatórias" dataDxfId="146" dataCellStyle="Moeda"/>
    <tableColumn id="11" xr3:uid="{74661BB9-9759-42DA-BE60-A5F5EB0F9954}" name="Licença Prêmio" dataDxfId="145" dataCellStyle="Moeda"/>
    <tableColumn id="7" xr3:uid="{B811C77B-DA23-45C7-98A6-038C2C7C1C76}" name="Abono Pecuniário + 1/3 do Abono" dataDxfId="144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EBD973-94E5-49ED-B2C7-8B11F30C0325}" name="Tabela24162234388" displayName="Tabela24162234388" ref="A93:K100" totalsRowShown="0" headerRowDxfId="143" dataDxfId="141" headerRowBorderDxfId="142" tableBorderDxfId="140" totalsRowBorderDxfId="139">
  <tableColumns count="11">
    <tableColumn id="1" xr3:uid="{710965EF-0495-43EA-8852-C5F8B52BA15F}" name="Lotes" dataDxfId="138"/>
    <tableColumn id="2" xr3:uid="{475267B9-6C21-46A9-9B77-F60D40E3D047}" name="Qtd" dataDxfId="137"/>
    <tableColumn id="3" xr3:uid="{846D246F-DD18-42A1-A7AF-2F1BD5644BA2}" name="Salário Base Total (R$)" dataDxfId="136" dataCellStyle="Moeda">
      <calculatedColumnFormula>SUM(L94:S94)</calculatedColumnFormula>
    </tableColumn>
    <tableColumn id="4" xr3:uid="{686F501C-7D8C-4E72-B83E-41FA89413ECD}" name="Outros Vencimentos (R$)" dataDxfId="135" dataCellStyle="Moeda"/>
    <tableColumn id="8" xr3:uid="{6D1109D2-2A80-4DC8-BD25-B7ABDA758658}" name="1/3 de Férias" dataDxfId="134" dataCellStyle="Moeda"/>
    <tableColumn id="5" xr3:uid="{769D1C1E-8EE0-4372-8462-328B03A90262}" name="Média Valor Férias/H. Extras" dataDxfId="133" dataCellStyle="Moeda"/>
    <tableColumn id="6" xr3:uid="{FC5D26A4-ECB2-4352-97B8-E4B37C2961AF}" name="Total de Vencimentos (R$)" dataDxfId="132" dataCellStyle="Moeda">
      <calculatedColumnFormula>SUM(Tabela24162234388[[#This Row],[Salário Base Total (R$)]:[1/3 de Férias]])</calculatedColumnFormula>
    </tableColumn>
    <tableColumn id="9" xr3:uid="{5CEB3A9A-42C2-4740-B750-3CCA163C515E}" name="INSS Patronal" dataDxfId="131" dataCellStyle="Moeda"/>
    <tableColumn id="10" xr3:uid="{86D2CF51-A55D-4918-9A18-1F7A206BD217}" name="Verbas Indenizatórias" dataDxfId="130" dataCellStyle="Moeda"/>
    <tableColumn id="11" xr3:uid="{55DA60BD-020B-47F3-8C0A-D388BB933311}" name="Licença Prêmio" dataDxfId="129" dataCellStyle="Moeda"/>
    <tableColumn id="7" xr3:uid="{2461886D-24C1-4A34-934E-58723E6FDD88}" name="Abono Pecuniário + 1/3 do Abono" dataDxfId="128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1C187E-0360-4A82-9EB0-20D10FDAE0F1}" name="Tabela24162234399" displayName="Tabela24162234399" ref="A108:K115" totalsRowShown="0" headerRowDxfId="127" dataDxfId="125" headerRowBorderDxfId="126" tableBorderDxfId="124" totalsRowBorderDxfId="123">
  <tableColumns count="11">
    <tableColumn id="1" xr3:uid="{5C9428F4-1445-4217-9D4F-71755B26A3F4}" name="Lotes" dataDxfId="122"/>
    <tableColumn id="2" xr3:uid="{38970C8F-ED66-4A5A-AB90-5C5F54431AE9}" name="Qtd" dataDxfId="121"/>
    <tableColumn id="3" xr3:uid="{3C7C21D3-25FC-4B11-8944-A9A977148F90}" name="Salário Base Total (R$)" dataDxfId="120" dataCellStyle="Moeda">
      <calculatedColumnFormula>SUM(L109:S109)</calculatedColumnFormula>
    </tableColumn>
    <tableColumn id="4" xr3:uid="{1C1816A8-1CF2-48C8-8A87-016D55E49E07}" name="Outros Vencimentos (R$)" dataDxfId="119" dataCellStyle="Moeda"/>
    <tableColumn id="8" xr3:uid="{1C07E891-3C7C-4F6D-9CE6-8141888535D9}" name="1/3 de Férias" dataDxfId="118" dataCellStyle="Moeda"/>
    <tableColumn id="5" xr3:uid="{F84D1FF5-2243-4CBA-A019-4EEE9412BDA5}" name="Média Valor Férias/H. Extras" dataDxfId="117" dataCellStyle="Moeda"/>
    <tableColumn id="6" xr3:uid="{B6039165-6E92-416E-AB09-C0FA6A813AD6}" name="Total de Vencimentos (R$)" dataDxfId="116" dataCellStyle="Moeda">
      <calculatedColumnFormula>SUM(Tabela24162234399[[#This Row],[Salário Base Total (R$)]:[1/3 de Férias]])</calculatedColumnFormula>
    </tableColumn>
    <tableColumn id="9" xr3:uid="{E3E5811C-02E8-4680-A6AF-A774BE00A659}" name="INSS Patronal" dataDxfId="115" dataCellStyle="Moeda"/>
    <tableColumn id="10" xr3:uid="{AED6C049-97E2-4AE8-83D4-2CBD44F7DFB0}" name="Verbas Indenizatórias" dataDxfId="114" dataCellStyle="Moeda"/>
    <tableColumn id="11" xr3:uid="{6D1DC8EF-D464-45D3-84F5-7F09D12E50C6}" name="Licença Prêmio" dataDxfId="113" dataCellStyle="Moeda"/>
    <tableColumn id="7" xr3:uid="{1978DD9E-8E59-46B6-9837-A43F17A5EF0A}" name="Abono Pecuniário + 1/3 do Abono" dataDxfId="112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4F6F6E-568A-4DAB-90A6-A5533C8579EB}" name="Tabela241622344010" displayName="Tabela241622344010" ref="A123:K130" totalsRowShown="0" headerRowDxfId="111" dataDxfId="109" headerRowBorderDxfId="110" tableBorderDxfId="108" totalsRowBorderDxfId="107">
  <tableColumns count="11">
    <tableColumn id="1" xr3:uid="{51F0B864-A66F-4960-A0A6-6B6160EDF5D4}" name="Lotes" dataDxfId="106"/>
    <tableColumn id="2" xr3:uid="{A3EC4D1F-2ADB-4B50-8CE4-B79CC9D6D5F9}" name="Qtd" dataDxfId="105"/>
    <tableColumn id="3" xr3:uid="{7CC024E6-8CDF-47C5-B863-84DD4BBC910C}" name="Salário Base Total (R$)" dataDxfId="104" dataCellStyle="Moeda">
      <calculatedColumnFormula>SUM(L124:S124)</calculatedColumnFormula>
    </tableColumn>
    <tableColumn id="4" xr3:uid="{8FF78960-C54A-46CE-9736-45F4730185A3}" name="Outros Vencimentos (R$)" dataDxfId="103" dataCellStyle="Moeda"/>
    <tableColumn id="8" xr3:uid="{AA7972D8-ABCA-4BB0-819C-539D01A12F9A}" name="1/3 de Férias" dataDxfId="102" dataCellStyle="Moeda"/>
    <tableColumn id="5" xr3:uid="{BD1E754B-64B0-4616-B3FE-546509A13DF9}" name="Média Valor Férias/H. Extras" dataDxfId="101" dataCellStyle="Moeda"/>
    <tableColumn id="6" xr3:uid="{AEC5F87D-2A99-46B8-95F3-955EDA29C9BF}" name="Total de Vencimentos (R$)" dataDxfId="100" dataCellStyle="Moeda">
      <calculatedColumnFormula>SUM(Tabela241622344010[[#This Row],[Salário Base Total (R$)]:[1/3 de Férias]])</calculatedColumnFormula>
    </tableColumn>
    <tableColumn id="9" xr3:uid="{B7ED6CC9-756D-40E4-A8A1-62A3990D400D}" name="INSS Patronal" dataDxfId="99" dataCellStyle="Moeda"/>
    <tableColumn id="10" xr3:uid="{834E1C99-8E82-46AC-A9AF-B5D5E55B9533}" name="Verbas Indenizatórias" dataDxfId="98" dataCellStyle="Moeda"/>
    <tableColumn id="11" xr3:uid="{44053332-02AF-4AC5-9C66-136D8B61BC8F}" name="Licença Prêmio" dataDxfId="97" dataCellStyle="Moeda"/>
    <tableColumn id="7" xr3:uid="{FDBB74E7-DC22-4958-9ED5-B8B072D3FE06}" name="Abono Pecuniário + 1/3 do Abono" dataDxfId="96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comments" Target="../comments1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B722-C90F-43FA-A7BC-14A58720B5C5}">
  <dimension ref="A1:S273"/>
  <sheetViews>
    <sheetView showGridLines="0" tabSelected="1" topLeftCell="A70" zoomScale="85" zoomScaleNormal="85" zoomScalePageLayoutView="80" workbookViewId="0">
      <selection activeCell="C80" sqref="C80"/>
    </sheetView>
  </sheetViews>
  <sheetFormatPr defaultRowHeight="15" x14ac:dyDescent="0.25"/>
  <cols>
    <col min="1" max="1" width="22.140625" customWidth="1"/>
    <col min="2" max="2" width="7" customWidth="1"/>
    <col min="3" max="3" width="20.42578125" customWidth="1"/>
    <col min="4" max="4" width="19.42578125" customWidth="1"/>
    <col min="5" max="5" width="19.5703125" customWidth="1"/>
    <col min="6" max="6" width="18" customWidth="1"/>
    <col min="7" max="7" width="19.28515625" customWidth="1"/>
    <col min="8" max="8" width="21" customWidth="1"/>
    <col min="9" max="9" width="19.28515625" customWidth="1"/>
    <col min="10" max="11" width="19" bestFit="1" customWidth="1"/>
    <col min="12" max="12" width="3.85546875" customWidth="1"/>
    <col min="13" max="13" width="1.85546875" customWidth="1"/>
    <col min="14" max="14" width="1.85546875" style="4" customWidth="1"/>
    <col min="15" max="15" width="2.28515625" customWidth="1"/>
    <col min="16" max="16" width="1.85546875" customWidth="1"/>
    <col min="17" max="17" width="1.5703125" customWidth="1"/>
    <col min="18" max="18" width="15.85546875" customWidth="1"/>
    <col min="19" max="19" width="21.42578125" customWidth="1"/>
  </cols>
  <sheetData>
    <row r="1" spans="1:19" ht="17.25" x14ac:dyDescent="0.3">
      <c r="A1" s="1" t="s">
        <v>0</v>
      </c>
      <c r="B1" s="2" t="s">
        <v>1</v>
      </c>
      <c r="C1" s="2"/>
      <c r="D1" s="3" t="s">
        <v>2</v>
      </c>
    </row>
    <row r="2" spans="1:19" ht="6.75" customHeight="1" x14ac:dyDescent="0.25"/>
    <row r="3" spans="1:19" ht="30" x14ac:dyDescent="0.25">
      <c r="A3" s="5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6" t="s">
        <v>10</v>
      </c>
      <c r="I3" s="6" t="s">
        <v>11</v>
      </c>
      <c r="J3" s="6" t="s">
        <v>12</v>
      </c>
      <c r="K3" s="8" t="s">
        <v>13</v>
      </c>
      <c r="M3" s="4" t="s">
        <v>14</v>
      </c>
      <c r="N3" t="s">
        <v>15</v>
      </c>
      <c r="P3" t="s">
        <v>16</v>
      </c>
    </row>
    <row r="4" spans="1:19" ht="28.5" customHeight="1" x14ac:dyDescent="0.25">
      <c r="A4" s="9" t="s">
        <v>17</v>
      </c>
      <c r="B4" s="10">
        <v>31</v>
      </c>
      <c r="C4" s="56">
        <v>82221.64</v>
      </c>
      <c r="D4" s="56">
        <f>97545.62+962.24</f>
        <v>98507.86</v>
      </c>
      <c r="E4" s="56">
        <v>3483.78</v>
      </c>
      <c r="F4" s="56">
        <v>1351.91</v>
      </c>
      <c r="G4" s="56">
        <f>SUM(Tabela24162[[#This Row],[Salário Base Total (R$)]:[Média Valor Férias/H. Extras]])</f>
        <v>185565.19</v>
      </c>
      <c r="H4" s="56">
        <f>G4*0.21</f>
        <v>38968.689899999998</v>
      </c>
      <c r="I4" s="56"/>
      <c r="J4" s="56"/>
      <c r="K4" s="12">
        <v>0</v>
      </c>
      <c r="M4" s="4">
        <v>9</v>
      </c>
      <c r="N4">
        <v>2</v>
      </c>
      <c r="P4">
        <v>2</v>
      </c>
      <c r="R4" s="36">
        <v>319001</v>
      </c>
      <c r="S4" s="37">
        <v>18431.849999999999</v>
      </c>
    </row>
    <row r="5" spans="1:19" ht="28.5" customHeight="1" x14ac:dyDescent="0.25">
      <c r="A5" s="9" t="s">
        <v>18</v>
      </c>
      <c r="B5" s="10">
        <v>23</v>
      </c>
      <c r="C5" s="56">
        <v>431086.93</v>
      </c>
      <c r="D5" s="56">
        <v>0</v>
      </c>
      <c r="E5" s="56">
        <v>0</v>
      </c>
      <c r="F5" s="56">
        <v>0</v>
      </c>
      <c r="G5" s="56">
        <f>SUM(Tabela24162[[#This Row],[Salário Base Total (R$)]:[Média Valor Férias/H. Extras]])</f>
        <v>431086.93</v>
      </c>
      <c r="H5" s="56">
        <f>G5*0.21</f>
        <v>90528.25529999999</v>
      </c>
      <c r="I5" s="56"/>
      <c r="J5" s="56"/>
      <c r="K5" s="12">
        <v>0</v>
      </c>
      <c r="M5" s="4"/>
      <c r="N5">
        <v>1</v>
      </c>
      <c r="P5">
        <v>1</v>
      </c>
      <c r="R5" s="36">
        <v>319008</v>
      </c>
      <c r="S5" s="37">
        <v>2990</v>
      </c>
    </row>
    <row r="6" spans="1:19" ht="28.5" customHeight="1" x14ac:dyDescent="0.25">
      <c r="A6" s="13" t="s">
        <v>19</v>
      </c>
      <c r="B6" s="10">
        <v>5</v>
      </c>
      <c r="C6" s="56">
        <f>4452.19+13979.66</f>
        <v>18431.849999999999</v>
      </c>
      <c r="D6" s="56">
        <v>0</v>
      </c>
      <c r="E6" s="56">
        <v>0</v>
      </c>
      <c r="F6" s="56">
        <v>0</v>
      </c>
      <c r="G6" s="56">
        <f>SUM(Tabela24162[[#This Row],[Salário Base Total (R$)]:[Média Valor Férias/H. Extras]])</f>
        <v>18431.849999999999</v>
      </c>
      <c r="H6" s="56">
        <v>0</v>
      </c>
      <c r="I6" s="56"/>
      <c r="J6" s="56"/>
      <c r="K6" s="12">
        <v>0</v>
      </c>
      <c r="M6" s="4"/>
      <c r="N6"/>
      <c r="R6" s="36">
        <v>319011</v>
      </c>
      <c r="S6" s="37">
        <v>1744306.72</v>
      </c>
    </row>
    <row r="7" spans="1:19" ht="28.5" customHeight="1" x14ac:dyDescent="0.25">
      <c r="A7" s="13" t="s">
        <v>20</v>
      </c>
      <c r="B7" s="10">
        <v>345</v>
      </c>
      <c r="C7" s="56">
        <v>858506.72</v>
      </c>
      <c r="D7" s="56">
        <v>2990</v>
      </c>
      <c r="E7" s="56">
        <f>11516.61+33783.22</f>
        <v>45299.83</v>
      </c>
      <c r="F7" s="56">
        <v>0</v>
      </c>
      <c r="G7" s="56">
        <f>SUM(Tabela24162[[#This Row],[Salário Base Total (R$)]:[Média Valor Férias/H. Extras]])</f>
        <v>906796.54999999993</v>
      </c>
      <c r="H7" s="56">
        <f>(G7-D7)*0.21</f>
        <v>189799.37549999997</v>
      </c>
      <c r="I7" s="56">
        <f>84249.98+3200+29150.01</f>
        <v>116599.98999999999</v>
      </c>
      <c r="J7" s="56"/>
      <c r="K7" s="12">
        <v>0</v>
      </c>
      <c r="M7" s="4"/>
      <c r="N7"/>
      <c r="R7" s="36">
        <v>339036</v>
      </c>
      <c r="S7" s="37">
        <v>7000</v>
      </c>
    </row>
    <row r="8" spans="1:19" ht="28.5" customHeight="1" x14ac:dyDescent="0.25">
      <c r="A8" s="9" t="s">
        <v>21</v>
      </c>
      <c r="B8" s="10">
        <v>49</v>
      </c>
      <c r="C8" s="56">
        <v>147268.25</v>
      </c>
      <c r="D8" s="56">
        <v>72626.05</v>
      </c>
      <c r="E8" s="56">
        <v>2412.83</v>
      </c>
      <c r="F8" s="56">
        <v>0</v>
      </c>
      <c r="G8" s="56">
        <f>SUM(Tabela24162[[#This Row],[Salário Base Total (R$)]:[Média Valor Férias/H. Extras]])</f>
        <v>222307.12999999998</v>
      </c>
      <c r="H8" s="56">
        <f>G8*0.21</f>
        <v>46684.497299999995</v>
      </c>
      <c r="I8" s="56">
        <f>1601.92+533.97</f>
        <v>2135.8900000000003</v>
      </c>
      <c r="J8" s="56"/>
      <c r="K8" s="12">
        <v>0</v>
      </c>
      <c r="M8" s="4">
        <v>2</v>
      </c>
      <c r="N8"/>
      <c r="R8" s="36" t="s">
        <v>40</v>
      </c>
      <c r="S8" s="38">
        <f>SUM(S4:S7)</f>
        <v>1772728.57</v>
      </c>
    </row>
    <row r="9" spans="1:19" ht="28.5" customHeight="1" x14ac:dyDescent="0.25">
      <c r="A9" s="9" t="s">
        <v>22</v>
      </c>
      <c r="B9" s="10">
        <v>10</v>
      </c>
      <c r="C9" s="56">
        <v>5000</v>
      </c>
      <c r="D9" s="56">
        <v>2000</v>
      </c>
      <c r="E9" s="56">
        <v>0</v>
      </c>
      <c r="F9" s="56">
        <v>0</v>
      </c>
      <c r="G9" s="56">
        <f>SUM(Tabela24162[[#This Row],[Salário Base Total (R$)]:[Média Valor Férias/H. Extras]])</f>
        <v>7000</v>
      </c>
      <c r="H9" s="56">
        <v>0</v>
      </c>
      <c r="I9" s="56"/>
      <c r="J9" s="56"/>
      <c r="K9" s="12">
        <v>0</v>
      </c>
      <c r="M9" s="4"/>
      <c r="N9"/>
      <c r="S9" s="21"/>
    </row>
    <row r="10" spans="1:19" ht="28.5" customHeight="1" x14ac:dyDescent="0.25">
      <c r="A10" s="14" t="s">
        <v>23</v>
      </c>
      <c r="B10" s="15">
        <f t="shared" ref="B10:J10" si="0">SUBTOTAL(109,B4:B9)</f>
        <v>463</v>
      </c>
      <c r="C10" s="59">
        <f t="shared" si="0"/>
        <v>1542515.3900000001</v>
      </c>
      <c r="D10" s="59">
        <f t="shared" si="0"/>
        <v>176123.91</v>
      </c>
      <c r="E10" s="59">
        <f t="shared" si="0"/>
        <v>51196.44</v>
      </c>
      <c r="F10" s="59">
        <f t="shared" si="0"/>
        <v>1351.91</v>
      </c>
      <c r="G10" s="59">
        <f>SUBTOTAL(109,G4:G9)</f>
        <v>1771187.65</v>
      </c>
      <c r="H10" s="59">
        <f t="shared" si="0"/>
        <v>365980.81799999991</v>
      </c>
      <c r="I10" s="59">
        <f t="shared" si="0"/>
        <v>118735.87999999999</v>
      </c>
      <c r="J10" s="59">
        <f t="shared" si="0"/>
        <v>0</v>
      </c>
      <c r="K10" s="17">
        <f>SUM(K4:K9)</f>
        <v>0</v>
      </c>
      <c r="M10" s="4"/>
      <c r="N10"/>
    </row>
    <row r="11" spans="1:19" ht="7.5" customHeight="1" x14ac:dyDescent="0.25">
      <c r="A11" s="18"/>
      <c r="B11" s="19"/>
      <c r="C11" s="62"/>
      <c r="D11" s="62"/>
      <c r="E11" s="62"/>
      <c r="F11" s="62"/>
      <c r="G11" s="62"/>
      <c r="H11" s="62"/>
      <c r="I11" s="62"/>
      <c r="J11" s="62"/>
      <c r="K11" s="20"/>
      <c r="L11" s="20"/>
    </row>
    <row r="12" spans="1:19" ht="15.75" x14ac:dyDescent="0.25">
      <c r="A12" s="18"/>
      <c r="B12" s="19"/>
      <c r="C12" s="63" t="s">
        <v>24</v>
      </c>
      <c r="D12" s="60">
        <f>G10</f>
        <v>1771187.65</v>
      </c>
      <c r="E12" s="62"/>
      <c r="F12" s="62"/>
      <c r="G12" s="62"/>
      <c r="H12" s="63" t="s">
        <v>25</v>
      </c>
      <c r="I12" s="60">
        <v>1742765.8</v>
      </c>
      <c r="J12" s="62"/>
      <c r="K12" s="20"/>
      <c r="L12" s="20"/>
    </row>
    <row r="13" spans="1:19" ht="15.75" x14ac:dyDescent="0.25">
      <c r="C13" s="64"/>
      <c r="D13" s="64"/>
      <c r="E13" s="62"/>
      <c r="F13" s="64"/>
      <c r="G13" s="64"/>
      <c r="H13" s="63" t="s">
        <v>10</v>
      </c>
      <c r="I13" s="60">
        <f>I12*0.21</f>
        <v>365980.81799999997</v>
      </c>
      <c r="J13" s="64"/>
      <c r="K13" s="20"/>
      <c r="L13" s="20"/>
    </row>
    <row r="14" spans="1:19" ht="7.5" customHeight="1" x14ac:dyDescent="0.25">
      <c r="A14" s="22"/>
      <c r="B14" s="22"/>
      <c r="C14" s="65"/>
      <c r="D14" s="66"/>
      <c r="E14" s="66"/>
      <c r="F14" s="65"/>
      <c r="G14" s="65"/>
      <c r="H14" s="65"/>
      <c r="I14" s="65"/>
      <c r="J14" s="65"/>
      <c r="K14" s="23"/>
      <c r="L14" s="23"/>
    </row>
    <row r="15" spans="1:19" ht="7.5" customHeight="1" x14ac:dyDescent="0.25">
      <c r="C15" s="64"/>
      <c r="D15" s="64"/>
      <c r="E15" s="64"/>
      <c r="F15" s="64"/>
      <c r="G15" s="64"/>
      <c r="H15" s="64"/>
      <c r="I15" s="64"/>
      <c r="J15" s="64"/>
    </row>
    <row r="16" spans="1:19" ht="17.25" x14ac:dyDescent="0.3">
      <c r="A16" s="1" t="s">
        <v>0</v>
      </c>
      <c r="B16" s="2" t="s">
        <v>26</v>
      </c>
      <c r="C16" s="67"/>
      <c r="D16" s="68" t="s">
        <v>2</v>
      </c>
      <c r="E16" s="64"/>
      <c r="F16" s="64"/>
      <c r="G16" s="64"/>
      <c r="H16" s="64"/>
      <c r="I16" s="64"/>
      <c r="J16" s="64"/>
    </row>
    <row r="17" spans="1:19" ht="6.75" customHeight="1" x14ac:dyDescent="0.25">
      <c r="C17" s="64"/>
      <c r="D17" s="64"/>
      <c r="E17" s="64"/>
      <c r="F17" s="64"/>
      <c r="G17" s="64"/>
      <c r="H17" s="64"/>
      <c r="I17" s="64"/>
      <c r="J17" s="64"/>
    </row>
    <row r="18" spans="1:19" ht="30" customHeight="1" x14ac:dyDescent="0.25">
      <c r="A18" s="5" t="s">
        <v>3</v>
      </c>
      <c r="B18" s="6" t="s">
        <v>4</v>
      </c>
      <c r="C18" s="57" t="s">
        <v>5</v>
      </c>
      <c r="D18" s="57" t="s">
        <v>6</v>
      </c>
      <c r="E18" s="58" t="s">
        <v>7</v>
      </c>
      <c r="F18" s="58" t="s">
        <v>8</v>
      </c>
      <c r="G18" s="58" t="s">
        <v>9</v>
      </c>
      <c r="H18" s="57" t="s">
        <v>10</v>
      </c>
      <c r="I18" s="57" t="s">
        <v>11</v>
      </c>
      <c r="J18" s="57" t="s">
        <v>12</v>
      </c>
      <c r="K18" s="8" t="s">
        <v>13</v>
      </c>
      <c r="M18" s="4"/>
      <c r="N18"/>
    </row>
    <row r="19" spans="1:19" ht="28.5" customHeight="1" x14ac:dyDescent="0.25">
      <c r="A19" s="9" t="s">
        <v>17</v>
      </c>
      <c r="B19" s="10">
        <v>31</v>
      </c>
      <c r="C19" s="56">
        <v>83544.009999999995</v>
      </c>
      <c r="D19" s="56">
        <f>195752.94-Tabela2416223[[#This Row],[Salário Base Total (R$)]]-Tabela2416223[[#This Row],[Média Valor Férias/H. Extras]]-8748.96</f>
        <v>102964.97</v>
      </c>
      <c r="E19" s="56">
        <v>0</v>
      </c>
      <c r="F19" s="56">
        <v>495</v>
      </c>
      <c r="G19" s="56">
        <f>SUM(Tabela2416223[[#This Row],[Salário Base Total (R$)]:[Média Valor Férias/H. Extras]])</f>
        <v>187003.97999999998</v>
      </c>
      <c r="H19" s="56">
        <f>G19*0.21</f>
        <v>39270.835799999993</v>
      </c>
      <c r="I19" s="56"/>
      <c r="J19" s="56"/>
      <c r="K19" s="12">
        <v>0</v>
      </c>
      <c r="M19" s="4">
        <v>4</v>
      </c>
      <c r="N19">
        <v>0</v>
      </c>
      <c r="P19">
        <v>0</v>
      </c>
      <c r="R19" s="36">
        <v>319001</v>
      </c>
      <c r="S19" s="39">
        <v>18431.849999999999</v>
      </c>
    </row>
    <row r="20" spans="1:19" ht="28.5" customHeight="1" x14ac:dyDescent="0.25">
      <c r="A20" s="9" t="s">
        <v>18</v>
      </c>
      <c r="B20" s="10">
        <v>23</v>
      </c>
      <c r="C20" s="56">
        <v>431086.93</v>
      </c>
      <c r="D20" s="56">
        <v>0</v>
      </c>
      <c r="E20" s="56">
        <v>0</v>
      </c>
      <c r="F20" s="56">
        <v>0</v>
      </c>
      <c r="G20" s="56">
        <f>SUM(Tabela2416223[[#This Row],[Salário Base Total (R$)]:[Média Valor Férias/H. Extras]])</f>
        <v>431086.93</v>
      </c>
      <c r="H20" s="56">
        <f>G20*0.21</f>
        <v>90528.25529999999</v>
      </c>
      <c r="I20" s="56"/>
      <c r="J20" s="56"/>
      <c r="K20" s="11">
        <v>0</v>
      </c>
      <c r="M20" s="4"/>
      <c r="N20"/>
      <c r="R20" s="36">
        <v>319008</v>
      </c>
      <c r="S20" s="37">
        <v>3735.34</v>
      </c>
    </row>
    <row r="21" spans="1:19" ht="28.5" customHeight="1" x14ac:dyDescent="0.25">
      <c r="A21" s="13" t="s">
        <v>19</v>
      </c>
      <c r="B21" s="10">
        <v>5</v>
      </c>
      <c r="C21" s="56">
        <v>18431.849999999999</v>
      </c>
      <c r="D21" s="56">
        <v>0</v>
      </c>
      <c r="E21" s="56">
        <v>0</v>
      </c>
      <c r="F21" s="56">
        <v>0</v>
      </c>
      <c r="G21" s="56">
        <f>SUM(Tabela2416223[[#This Row],[Salário Base Total (R$)]:[Média Valor Férias/H. Extras]])</f>
        <v>18431.849999999999</v>
      </c>
      <c r="H21" s="56">
        <v>0</v>
      </c>
      <c r="I21" s="56"/>
      <c r="J21" s="56"/>
      <c r="K21" s="11">
        <v>0</v>
      </c>
      <c r="M21" s="4"/>
      <c r="N21"/>
      <c r="R21" s="36">
        <v>319011</v>
      </c>
      <c r="S21" s="37">
        <v>1934984.24</v>
      </c>
    </row>
    <row r="22" spans="1:19" ht="28.5" customHeight="1" x14ac:dyDescent="0.25">
      <c r="A22" s="13" t="s">
        <v>20</v>
      </c>
      <c r="B22" s="10">
        <v>379</v>
      </c>
      <c r="C22" s="56">
        <v>969693.35</v>
      </c>
      <c r="D22" s="56">
        <v>3640</v>
      </c>
      <c r="E22" s="56">
        <f>4716.64+23166.5</f>
        <v>27883.14</v>
      </c>
      <c r="F22" s="56">
        <v>0</v>
      </c>
      <c r="G22" s="56">
        <f>SUM(Tabela2416223[[#This Row],[Salário Base Total (R$)]:[Média Valor Férias/H. Extras]])</f>
        <v>1001216.49</v>
      </c>
      <c r="H22" s="56">
        <f>(G22-D22)*0.21</f>
        <v>209491.06289999999</v>
      </c>
      <c r="I22" s="56">
        <f>9525+333.33+5563.87</f>
        <v>15422.2</v>
      </c>
      <c r="J22" s="56"/>
      <c r="K22" s="11">
        <v>0</v>
      </c>
      <c r="M22" s="4"/>
      <c r="N22"/>
      <c r="R22" s="36">
        <v>339036</v>
      </c>
      <c r="S22" s="37"/>
    </row>
    <row r="23" spans="1:19" ht="28.5" customHeight="1" x14ac:dyDescent="0.25">
      <c r="A23" s="9" t="s">
        <v>21</v>
      </c>
      <c r="B23" s="10">
        <v>49</v>
      </c>
      <c r="C23" s="56">
        <v>195813.37</v>
      </c>
      <c r="D23" s="56">
        <f>277772.89-Tabela2416223[[#This Row],[Salário Base Total (R$)]]-1590.72</f>
        <v>80368.800000000017</v>
      </c>
      <c r="E23" s="56">
        <v>0</v>
      </c>
      <c r="F23" s="56">
        <v>0</v>
      </c>
      <c r="G23" s="56">
        <f>SUM(Tabela2416223[[#This Row],[Salário Base Total (R$)]:[Média Valor Férias/H. Extras]])</f>
        <v>276182.17000000004</v>
      </c>
      <c r="H23" s="56">
        <f>G23*0.21</f>
        <v>57998.255700000009</v>
      </c>
      <c r="I23" s="56"/>
      <c r="J23" s="56"/>
      <c r="K23" s="11">
        <v>0</v>
      </c>
      <c r="M23" s="4"/>
      <c r="N23"/>
      <c r="R23" s="36" t="s">
        <v>40</v>
      </c>
      <c r="S23" s="37">
        <f>SUM(S19:S22)</f>
        <v>1957151.43</v>
      </c>
    </row>
    <row r="24" spans="1:19" ht="28.5" customHeight="1" x14ac:dyDescent="0.25">
      <c r="A24" s="9" t="s">
        <v>22</v>
      </c>
      <c r="B24" s="10">
        <v>10</v>
      </c>
      <c r="C24" s="56">
        <v>9563.4</v>
      </c>
      <c r="D24" s="56">
        <v>1062.5999999999999</v>
      </c>
      <c r="E24" s="56">
        <v>0</v>
      </c>
      <c r="F24" s="56">
        <v>0</v>
      </c>
      <c r="G24" s="56">
        <f>SUM(Tabela2416223[[#This Row],[Salário Base Total (R$)]:[Média Valor Férias/H. Extras]])</f>
        <v>10626</v>
      </c>
      <c r="H24" s="56">
        <v>0</v>
      </c>
      <c r="I24" s="56"/>
      <c r="J24" s="56"/>
      <c r="K24" s="11">
        <v>0</v>
      </c>
      <c r="M24" s="4"/>
      <c r="N24"/>
      <c r="S24" s="21">
        <f>D27+I25</f>
        <v>1939969.6199999999</v>
      </c>
    </row>
    <row r="25" spans="1:19" ht="28.5" customHeight="1" x14ac:dyDescent="0.25">
      <c r="A25" s="14" t="s">
        <v>23</v>
      </c>
      <c r="B25" s="15">
        <f t="shared" ref="B25:J25" si="1">SUBTOTAL(109,B19:B24)</f>
        <v>497</v>
      </c>
      <c r="C25" s="59">
        <f t="shared" si="1"/>
        <v>1708132.9100000001</v>
      </c>
      <c r="D25" s="59">
        <f t="shared" si="1"/>
        <v>188036.37000000002</v>
      </c>
      <c r="E25" s="59">
        <f t="shared" si="1"/>
        <v>27883.14</v>
      </c>
      <c r="F25" s="59">
        <f t="shared" si="1"/>
        <v>495</v>
      </c>
      <c r="G25" s="59">
        <f>SUBTOTAL(109,G19:G24)</f>
        <v>1924547.42</v>
      </c>
      <c r="H25" s="59">
        <f t="shared" si="1"/>
        <v>397288.40969999996</v>
      </c>
      <c r="I25" s="59">
        <f>SUBTOTAL(109,I19:I24)</f>
        <v>15422.2</v>
      </c>
      <c r="J25" s="59">
        <f t="shared" si="1"/>
        <v>0</v>
      </c>
      <c r="K25" s="17">
        <f>SUBTOTAL(109,K19:K24)</f>
        <v>0</v>
      </c>
      <c r="M25" s="4"/>
      <c r="N25"/>
    </row>
    <row r="26" spans="1:19" ht="7.5" customHeight="1" x14ac:dyDescent="0.25">
      <c r="A26" s="18"/>
      <c r="B26" s="19"/>
      <c r="C26" s="62"/>
      <c r="D26" s="62"/>
      <c r="E26" s="62"/>
      <c r="F26" s="62"/>
      <c r="G26" s="62"/>
      <c r="H26" s="62"/>
      <c r="I26" s="62"/>
      <c r="J26" s="62"/>
      <c r="K26" s="20"/>
      <c r="L26" s="20"/>
    </row>
    <row r="27" spans="1:19" ht="15.75" x14ac:dyDescent="0.25">
      <c r="A27" s="18"/>
      <c r="B27" s="19"/>
      <c r="C27" s="63" t="s">
        <v>24</v>
      </c>
      <c r="D27" s="60">
        <f>G25</f>
        <v>1924547.42</v>
      </c>
      <c r="E27" s="62"/>
      <c r="F27" s="62"/>
      <c r="G27" s="62"/>
      <c r="H27" s="63" t="s">
        <v>25</v>
      </c>
      <c r="I27" s="60">
        <v>1891849.57</v>
      </c>
      <c r="J27" s="62"/>
      <c r="K27" s="20"/>
      <c r="L27" s="20"/>
    </row>
    <row r="28" spans="1:19" ht="15.75" x14ac:dyDescent="0.25">
      <c r="A28" s="18"/>
      <c r="B28" s="19"/>
      <c r="C28" s="64"/>
      <c r="D28" s="64"/>
      <c r="E28" s="62"/>
      <c r="F28" s="64"/>
      <c r="G28" s="64"/>
      <c r="H28" s="63" t="s">
        <v>10</v>
      </c>
      <c r="I28" s="60">
        <f>I27*0.21</f>
        <v>397288.40970000002</v>
      </c>
      <c r="J28" s="62"/>
      <c r="K28" s="20"/>
      <c r="L28" s="20"/>
    </row>
    <row r="29" spans="1:19" ht="7.5" customHeight="1" x14ac:dyDescent="0.25">
      <c r="A29" s="24"/>
      <c r="B29" s="25"/>
      <c r="C29" s="65"/>
      <c r="D29" s="65"/>
      <c r="E29" s="65"/>
      <c r="F29" s="65"/>
      <c r="G29" s="65"/>
      <c r="H29" s="65"/>
      <c r="I29" s="65"/>
      <c r="J29" s="66"/>
      <c r="K29" s="23"/>
      <c r="L29" s="23"/>
    </row>
    <row r="30" spans="1:19" ht="7.5" customHeight="1" x14ac:dyDescent="0.25">
      <c r="C30" s="64"/>
      <c r="D30" s="64"/>
      <c r="E30" s="64"/>
      <c r="F30" s="64"/>
      <c r="G30" s="64"/>
      <c r="H30" s="64"/>
      <c r="I30" s="64"/>
      <c r="J30" s="64"/>
    </row>
    <row r="31" spans="1:19" ht="17.25" x14ac:dyDescent="0.3">
      <c r="A31" s="1" t="s">
        <v>0</v>
      </c>
      <c r="B31" s="2" t="s">
        <v>27</v>
      </c>
      <c r="C31" s="67"/>
      <c r="D31" s="68" t="s">
        <v>2</v>
      </c>
      <c r="E31" s="64"/>
      <c r="F31" s="64"/>
      <c r="G31" s="64"/>
      <c r="H31" s="64"/>
      <c r="I31" s="64"/>
      <c r="J31" s="64"/>
    </row>
    <row r="32" spans="1:19" ht="6.75" customHeight="1" x14ac:dyDescent="0.25">
      <c r="C32" s="64"/>
      <c r="D32" s="64"/>
      <c r="E32" s="64"/>
      <c r="F32" s="64"/>
      <c r="G32" s="64"/>
      <c r="H32" s="64"/>
      <c r="I32" s="64"/>
      <c r="J32" s="64"/>
    </row>
    <row r="33" spans="1:16" ht="30" customHeight="1" x14ac:dyDescent="0.25">
      <c r="A33" s="5" t="s">
        <v>3</v>
      </c>
      <c r="B33" s="6" t="s">
        <v>4</v>
      </c>
      <c r="C33" s="57" t="s">
        <v>5</v>
      </c>
      <c r="D33" s="57" t="s">
        <v>6</v>
      </c>
      <c r="E33" s="58" t="s">
        <v>7</v>
      </c>
      <c r="F33" s="58" t="s">
        <v>8</v>
      </c>
      <c r="G33" s="58" t="s">
        <v>9</v>
      </c>
      <c r="H33" s="57" t="s">
        <v>10</v>
      </c>
      <c r="I33" s="57" t="s">
        <v>11</v>
      </c>
      <c r="J33" s="57" t="s">
        <v>12</v>
      </c>
      <c r="K33" s="8" t="s">
        <v>13</v>
      </c>
      <c r="M33" s="4"/>
      <c r="N33"/>
    </row>
    <row r="34" spans="1:16" ht="28.5" customHeight="1" x14ac:dyDescent="0.25">
      <c r="A34" s="9" t="s">
        <v>17</v>
      </c>
      <c r="B34" s="10">
        <v>31</v>
      </c>
      <c r="C34" s="56">
        <v>83670.98</v>
      </c>
      <c r="D34" s="56">
        <f>203653.2-Tabela241622344[[#This Row],[Salário Base Total (R$)]]-Tabela241622344[[#This Row],[1/3 de Férias]]-Tabela241622344[[#This Row],[Média Valor Férias/H. Extras]]-3181.44</f>
        <v>107859.99</v>
      </c>
      <c r="E34" s="56">
        <v>4225.99</v>
      </c>
      <c r="F34" s="56">
        <f>4195.89+518.91</f>
        <v>4714.8</v>
      </c>
      <c r="G34" s="56">
        <f>SUM(Tabela241622344[[#This Row],[Salário Base Total (R$)]:[Média Valor Férias/H. Extras]])</f>
        <v>200471.75999999998</v>
      </c>
      <c r="H34" s="61">
        <f>(G34-47.61)*0.21</f>
        <v>42089.071499999998</v>
      </c>
      <c r="I34" s="56"/>
      <c r="J34" s="56"/>
      <c r="K34" s="12">
        <v>0</v>
      </c>
      <c r="M34" s="4">
        <v>5</v>
      </c>
      <c r="N34">
        <v>3</v>
      </c>
      <c r="P34">
        <v>0</v>
      </c>
    </row>
    <row r="35" spans="1:16" ht="28.5" customHeight="1" x14ac:dyDescent="0.25">
      <c r="A35" s="9" t="s">
        <v>18</v>
      </c>
      <c r="B35" s="10">
        <v>23</v>
      </c>
      <c r="C35" s="56">
        <v>431086.93</v>
      </c>
      <c r="D35" s="56">
        <v>0</v>
      </c>
      <c r="E35" s="56">
        <v>0</v>
      </c>
      <c r="F35" s="56">
        <v>0</v>
      </c>
      <c r="G35" s="56">
        <f>SUM(Tabela241622344[[#This Row],[Salário Base Total (R$)]:[Média Valor Férias/H. Extras]])</f>
        <v>431086.93</v>
      </c>
      <c r="H35" s="56">
        <f>G35*0.21</f>
        <v>90528.25529999999</v>
      </c>
      <c r="I35" s="56"/>
      <c r="J35" s="56"/>
      <c r="K35" s="11">
        <v>0</v>
      </c>
      <c r="M35" s="4"/>
      <c r="N35"/>
    </row>
    <row r="36" spans="1:16" ht="28.5" customHeight="1" x14ac:dyDescent="0.25">
      <c r="A36" s="13" t="s">
        <v>19</v>
      </c>
      <c r="B36" s="10">
        <v>5</v>
      </c>
      <c r="C36" s="56">
        <v>18431.849999999999</v>
      </c>
      <c r="D36" s="56">
        <v>0</v>
      </c>
      <c r="E36" s="56">
        <v>0</v>
      </c>
      <c r="F36" s="56">
        <v>0</v>
      </c>
      <c r="G36" s="56">
        <f>SUM(Tabela241622344[[#This Row],[Salário Base Total (R$)]:[Média Valor Férias/H. Extras]])</f>
        <v>18431.849999999999</v>
      </c>
      <c r="H36" s="56">
        <v>0</v>
      </c>
      <c r="I36" s="56"/>
      <c r="J36" s="56"/>
      <c r="K36" s="11">
        <v>0</v>
      </c>
      <c r="M36" s="4"/>
      <c r="N36"/>
    </row>
    <row r="37" spans="1:16" ht="28.5" customHeight="1" x14ac:dyDescent="0.25">
      <c r="A37" s="13" t="s">
        <v>20</v>
      </c>
      <c r="B37" s="10">
        <v>386</v>
      </c>
      <c r="C37" s="56">
        <v>984980.02</v>
      </c>
      <c r="D37" s="56">
        <v>3835</v>
      </c>
      <c r="E37" s="56">
        <v>12733.33</v>
      </c>
      <c r="F37" s="56">
        <v>0</v>
      </c>
      <c r="G37" s="56">
        <f>SUM(Tabela241622344[[#This Row],[Salário Base Total (R$)]:[Média Valor Férias/H. Extras]])</f>
        <v>1001548.35</v>
      </c>
      <c r="H37" s="56">
        <f>(G37-D37)*0.21</f>
        <v>209519.80349999998</v>
      </c>
      <c r="I37" s="56">
        <f>11958.34+3986.09</f>
        <v>15944.43</v>
      </c>
      <c r="J37" s="56"/>
      <c r="K37" s="11">
        <v>0</v>
      </c>
      <c r="M37" s="4">
        <v>14</v>
      </c>
      <c r="N37"/>
    </row>
    <row r="38" spans="1:16" ht="28.5" customHeight="1" x14ac:dyDescent="0.25">
      <c r="A38" s="9" t="s">
        <v>21</v>
      </c>
      <c r="B38" s="10">
        <v>51</v>
      </c>
      <c r="C38" s="56">
        <v>207745.12</v>
      </c>
      <c r="D38" s="56">
        <f>295063.77-1791.26-Tabela241622344[[#This Row],[Salário Base Total (R$)]]</f>
        <v>85527.390000000014</v>
      </c>
      <c r="E38" s="56">
        <v>0</v>
      </c>
      <c r="F38" s="56">
        <v>0</v>
      </c>
      <c r="G38" s="56">
        <f>SUM(Tabela241622344[[#This Row],[Salário Base Total (R$)]:[Média Valor Férias/H. Extras]])</f>
        <v>293272.51</v>
      </c>
      <c r="H38" s="56">
        <f>G38*0.21</f>
        <v>61587.227099999996</v>
      </c>
      <c r="I38" s="56">
        <f>742.02+247.34</f>
        <v>989.36</v>
      </c>
      <c r="J38" s="56"/>
      <c r="K38" s="11">
        <v>0</v>
      </c>
      <c r="M38" s="4"/>
      <c r="N38"/>
    </row>
    <row r="39" spans="1:16" ht="28.5" customHeight="1" x14ac:dyDescent="0.25">
      <c r="A39" s="9" t="s">
        <v>22</v>
      </c>
      <c r="B39" s="10">
        <v>9</v>
      </c>
      <c r="C39" s="56">
        <v>8607.06</v>
      </c>
      <c r="D39" s="56">
        <v>956.34</v>
      </c>
      <c r="E39" s="56">
        <v>0</v>
      </c>
      <c r="F39" s="56">
        <v>0</v>
      </c>
      <c r="G39" s="56">
        <f>SUM(Tabela241622344[[#This Row],[Salário Base Total (R$)]:[Média Valor Férias/H. Extras]])</f>
        <v>9563.4</v>
      </c>
      <c r="H39" s="56">
        <v>0</v>
      </c>
      <c r="I39" s="56"/>
      <c r="J39" s="56"/>
      <c r="K39" s="11">
        <v>0</v>
      </c>
      <c r="M39" s="4"/>
      <c r="N39"/>
    </row>
    <row r="40" spans="1:16" ht="28.5" customHeight="1" x14ac:dyDescent="0.25">
      <c r="A40" s="14" t="s">
        <v>23</v>
      </c>
      <c r="B40" s="15">
        <f t="shared" ref="B40:J40" si="2">SUBTOTAL(109,B34:B39)</f>
        <v>505</v>
      </c>
      <c r="C40" s="59">
        <f t="shared" si="2"/>
        <v>1734521.96</v>
      </c>
      <c r="D40" s="59">
        <f t="shared" si="2"/>
        <v>198178.72</v>
      </c>
      <c r="E40" s="59">
        <f t="shared" si="2"/>
        <v>16959.32</v>
      </c>
      <c r="F40" s="59">
        <f t="shared" si="2"/>
        <v>4714.8</v>
      </c>
      <c r="G40" s="59">
        <f t="shared" si="2"/>
        <v>1954374.7999999998</v>
      </c>
      <c r="H40" s="59">
        <f t="shared" si="2"/>
        <v>403724.35739999998</v>
      </c>
      <c r="I40" s="59">
        <f t="shared" si="2"/>
        <v>16933.79</v>
      </c>
      <c r="J40" s="59">
        <f t="shared" si="2"/>
        <v>0</v>
      </c>
      <c r="K40" s="17">
        <f>SUBTOTAL(109,K34:K39)</f>
        <v>0</v>
      </c>
      <c r="M40" s="4"/>
      <c r="N40"/>
    </row>
    <row r="41" spans="1:16" ht="7.5" customHeight="1" x14ac:dyDescent="0.25">
      <c r="A41" s="18"/>
      <c r="B41" s="19"/>
      <c r="C41" s="62"/>
      <c r="D41" s="62"/>
      <c r="E41" s="62"/>
      <c r="F41" s="62"/>
      <c r="G41" s="62"/>
      <c r="H41" s="62"/>
      <c r="I41" s="62"/>
      <c r="J41" s="62"/>
      <c r="K41" s="20"/>
      <c r="L41" s="20"/>
    </row>
    <row r="42" spans="1:16" ht="15.75" x14ac:dyDescent="0.25">
      <c r="C42" s="63" t="s">
        <v>24</v>
      </c>
      <c r="D42" s="60">
        <f>G40</f>
        <v>1954374.7999999998</v>
      </c>
      <c r="E42" s="62"/>
      <c r="F42" s="62"/>
      <c r="G42" s="62"/>
      <c r="H42" s="63" t="s">
        <v>25</v>
      </c>
      <c r="I42" s="60">
        <v>1922496.94</v>
      </c>
      <c r="J42" s="64"/>
      <c r="K42" s="26"/>
    </row>
    <row r="43" spans="1:16" ht="15.75" x14ac:dyDescent="0.25">
      <c r="C43" s="64"/>
      <c r="D43" s="64"/>
      <c r="E43" s="62"/>
      <c r="F43" s="64"/>
      <c r="G43" s="64"/>
      <c r="H43" s="63" t="s">
        <v>10</v>
      </c>
      <c r="I43" s="60">
        <f>I42*0.21</f>
        <v>403724.35739999998</v>
      </c>
      <c r="J43" s="64"/>
    </row>
    <row r="44" spans="1:16" ht="7.5" customHeight="1" x14ac:dyDescent="0.25">
      <c r="A44" s="24"/>
      <c r="B44" s="25"/>
      <c r="C44" s="65"/>
      <c r="D44" s="65"/>
      <c r="E44" s="65"/>
      <c r="F44" s="65"/>
      <c r="G44" s="65"/>
      <c r="H44" s="65"/>
      <c r="I44" s="65"/>
      <c r="J44" s="66"/>
      <c r="K44" s="23"/>
      <c r="L44" s="23"/>
    </row>
    <row r="45" spans="1:16" ht="7.5" customHeight="1" x14ac:dyDescent="0.25">
      <c r="C45" s="64"/>
      <c r="D45" s="64"/>
      <c r="E45" s="64"/>
      <c r="F45" s="64"/>
      <c r="G45" s="64"/>
      <c r="H45" s="64"/>
      <c r="I45" s="64"/>
      <c r="J45" s="64"/>
    </row>
    <row r="46" spans="1:16" ht="17.25" x14ac:dyDescent="0.3">
      <c r="A46" s="1" t="s">
        <v>0</v>
      </c>
      <c r="B46" s="2" t="s">
        <v>28</v>
      </c>
      <c r="C46" s="67"/>
      <c r="D46" s="68" t="s">
        <v>2</v>
      </c>
      <c r="E46" s="64"/>
      <c r="F46" s="64"/>
      <c r="G46" s="64"/>
      <c r="H46" s="64"/>
      <c r="I46" s="64"/>
      <c r="J46" s="64"/>
    </row>
    <row r="47" spans="1:16" ht="6.75" customHeight="1" x14ac:dyDescent="0.25">
      <c r="C47" s="64"/>
      <c r="D47" s="64"/>
      <c r="E47" s="64"/>
      <c r="F47" s="64"/>
      <c r="G47" s="64"/>
      <c r="H47" s="64"/>
      <c r="I47" s="64"/>
      <c r="J47" s="64"/>
    </row>
    <row r="48" spans="1:16" ht="30" customHeight="1" x14ac:dyDescent="0.25">
      <c r="A48" s="5" t="s">
        <v>3</v>
      </c>
      <c r="B48" s="6" t="s">
        <v>4</v>
      </c>
      <c r="C48" s="57" t="s">
        <v>5</v>
      </c>
      <c r="D48" s="57" t="s">
        <v>6</v>
      </c>
      <c r="E48" s="58" t="s">
        <v>7</v>
      </c>
      <c r="F48" s="58" t="s">
        <v>8</v>
      </c>
      <c r="G48" s="58" t="s">
        <v>9</v>
      </c>
      <c r="H48" s="57" t="s">
        <v>10</v>
      </c>
      <c r="I48" s="57" t="s">
        <v>11</v>
      </c>
      <c r="J48" s="57" t="s">
        <v>12</v>
      </c>
      <c r="K48" s="8" t="s">
        <v>13</v>
      </c>
      <c r="M48" s="4"/>
      <c r="N48"/>
    </row>
    <row r="49" spans="1:15" ht="28.5" customHeight="1" x14ac:dyDescent="0.25">
      <c r="A49" s="9" t="s">
        <v>17</v>
      </c>
      <c r="B49" s="10">
        <v>31</v>
      </c>
      <c r="C49" s="56">
        <v>81591.399999999994</v>
      </c>
      <c r="D49" s="56">
        <f>198768.62-81591.4-135.16-997.92-393.81-7158.24</f>
        <v>108492.09</v>
      </c>
      <c r="E49" s="56">
        <v>393.81</v>
      </c>
      <c r="F49" s="56">
        <f>135.16+997.92</f>
        <v>1133.08</v>
      </c>
      <c r="G49" s="56">
        <f>SUM(Tabela24162234355[[#This Row],[Salário Base Total (R$)]:[Média Valor Férias/H. Extras]])</f>
        <v>191610.37999999998</v>
      </c>
      <c r="H49" s="61">
        <f>G49*0.21</f>
        <v>40238.179799999991</v>
      </c>
      <c r="I49" s="56"/>
      <c r="J49" s="56"/>
      <c r="K49" s="12">
        <f>IFERROR(E49*3/M49/30*10*1.333333*P49,0)</f>
        <v>0</v>
      </c>
      <c r="M49" s="4">
        <v>1</v>
      </c>
    </row>
    <row r="50" spans="1:15" ht="28.5" customHeight="1" x14ac:dyDescent="0.25">
      <c r="A50" s="9" t="s">
        <v>18</v>
      </c>
      <c r="B50" s="10">
        <v>23</v>
      </c>
      <c r="C50" s="56">
        <f>C35</f>
        <v>431086.93</v>
      </c>
      <c r="D50" s="56">
        <f t="shared" ref="D50" si="3">D35</f>
        <v>0</v>
      </c>
      <c r="E50" s="56">
        <f>IF(B46="dezembro/2025",C50/3,0)</f>
        <v>0</v>
      </c>
      <c r="F50" s="56">
        <v>0</v>
      </c>
      <c r="G50" s="56">
        <f>SUM(Tabela24162234355[[#This Row],[Salário Base Total (R$)]:[Média Valor Férias/H. Extras]])</f>
        <v>431086.93</v>
      </c>
      <c r="H50" s="61">
        <f>G50*0.21</f>
        <v>90528.25529999999</v>
      </c>
      <c r="I50" s="56"/>
      <c r="J50" s="56"/>
      <c r="K50" s="12">
        <f>IFERROR(E50*3/M50/30*10*1.333333*P50,0)</f>
        <v>0</v>
      </c>
      <c r="M50" s="4"/>
      <c r="N50"/>
    </row>
    <row r="51" spans="1:15" ht="28.5" customHeight="1" x14ac:dyDescent="0.25">
      <c r="A51" s="13" t="s">
        <v>19</v>
      </c>
      <c r="B51" s="10">
        <v>5</v>
      </c>
      <c r="C51" s="56">
        <v>18431.849999999999</v>
      </c>
      <c r="D51" s="56">
        <v>0</v>
      </c>
      <c r="E51" s="56">
        <v>0</v>
      </c>
      <c r="F51" s="56">
        <v>0</v>
      </c>
      <c r="G51" s="56">
        <f>SUM(Tabela24162234355[[#This Row],[Salário Base Total (R$)]:[Média Valor Férias/H. Extras]])</f>
        <v>18431.849999999999</v>
      </c>
      <c r="H51" s="61">
        <v>0</v>
      </c>
      <c r="I51" s="56"/>
      <c r="J51" s="56"/>
      <c r="K51" s="12">
        <f>IFERROR(E51*3/M51/30*10*1.333333*P51,0)</f>
        <v>0</v>
      </c>
      <c r="M51" s="4"/>
      <c r="N51"/>
    </row>
    <row r="52" spans="1:15" ht="28.5" customHeight="1" x14ac:dyDescent="0.25">
      <c r="A52" s="13" t="s">
        <v>20</v>
      </c>
      <c r="B52" s="10">
        <v>387</v>
      </c>
      <c r="C52" s="56">
        <v>994330.01</v>
      </c>
      <c r="D52" s="56">
        <f>5100+3640</f>
        <v>8740</v>
      </c>
      <c r="E52" s="56">
        <v>4133.3500000000004</v>
      </c>
      <c r="F52" s="56">
        <v>0</v>
      </c>
      <c r="G52" s="56">
        <f>SUM(Tabela24162234355[[#This Row],[Salário Base Total (R$)]:[Média Valor Férias/H. Extras]])</f>
        <v>1007203.36</v>
      </c>
      <c r="H52" s="61">
        <f>(G52-3640)*0.21</f>
        <v>210748.30559999999</v>
      </c>
      <c r="I52" s="56">
        <f>10141.67+1700+3947.21</f>
        <v>15788.880000000001</v>
      </c>
      <c r="J52" s="56"/>
      <c r="K52" s="12">
        <f>IFERROR(E52*3/M52/30*10*1.333333*P52,0)</f>
        <v>0</v>
      </c>
      <c r="M52" s="4">
        <v>5</v>
      </c>
    </row>
    <row r="53" spans="1:15" ht="28.5" customHeight="1" x14ac:dyDescent="0.25">
      <c r="A53" s="9" t="s">
        <v>21</v>
      </c>
      <c r="B53" s="10">
        <v>52</v>
      </c>
      <c r="C53" s="56">
        <v>212215.19</v>
      </c>
      <c r="D53" s="56">
        <f>298719.15-212215.19-2586.62</f>
        <v>83917.340000000026</v>
      </c>
      <c r="E53" s="56">
        <v>0</v>
      </c>
      <c r="F53" s="56">
        <v>0</v>
      </c>
      <c r="G53" s="56">
        <f>SUM(Tabela24162234355[[#This Row],[Salário Base Total (R$)]:[Média Valor Férias/H. Extras]])</f>
        <v>296132.53000000003</v>
      </c>
      <c r="H53" s="61">
        <f>(G53-1786.76)*0.21</f>
        <v>61812.611700000001</v>
      </c>
      <c r="I53" s="56">
        <f>686.81+228.93</f>
        <v>915.74</v>
      </c>
      <c r="J53" s="56"/>
      <c r="K53" s="12">
        <f>IFERROR(IF(O53="não",IFERROR(E53*3/M53/30*10*1.333333*P53,0),(E53*3/(M53+N53))/30*10*1.333333*P53),0)</f>
        <v>0</v>
      </c>
      <c r="M53" s="27">
        <v>3</v>
      </c>
      <c r="N53">
        <v>5</v>
      </c>
      <c r="O53" t="s">
        <v>29</v>
      </c>
    </row>
    <row r="54" spans="1:15" ht="28.5" customHeight="1" x14ac:dyDescent="0.25">
      <c r="A54" s="9" t="s">
        <v>22</v>
      </c>
      <c r="B54" s="10">
        <v>6</v>
      </c>
      <c r="C54" s="56">
        <v>5738.04</v>
      </c>
      <c r="D54" s="56">
        <v>637.55999999999995</v>
      </c>
      <c r="E54" s="56">
        <f>E39</f>
        <v>0</v>
      </c>
      <c r="F54" s="56">
        <f>F39</f>
        <v>0</v>
      </c>
      <c r="G54" s="56">
        <f>SUM(Tabela24162234355[[#This Row],[Salário Base Total (R$)]:[Média Valor Férias/H. Extras]])</f>
        <v>6375.6</v>
      </c>
      <c r="H54" s="61">
        <f>G54*($H39/$G39)</f>
        <v>0</v>
      </c>
      <c r="I54" s="56"/>
      <c r="J54" s="56"/>
      <c r="K54" s="12">
        <f>IFERROR(E54*3/M54/30*10*1.333333*P54,0)</f>
        <v>0</v>
      </c>
      <c r="M54" s="4">
        <v>1</v>
      </c>
      <c r="N54"/>
    </row>
    <row r="55" spans="1:15" ht="28.5" customHeight="1" x14ac:dyDescent="0.25">
      <c r="A55" s="14" t="s">
        <v>23</v>
      </c>
      <c r="B55" s="15">
        <f t="shared" ref="B55:G55" si="4">SUBTOTAL(109,B49:B54)</f>
        <v>504</v>
      </c>
      <c r="C55" s="59">
        <f t="shared" si="4"/>
        <v>1743393.42</v>
      </c>
      <c r="D55" s="59">
        <f t="shared" si="4"/>
        <v>201786.99000000002</v>
      </c>
      <c r="E55" s="59">
        <f t="shared" si="4"/>
        <v>4527.1600000000008</v>
      </c>
      <c r="F55" s="59">
        <f t="shared" si="4"/>
        <v>1133.08</v>
      </c>
      <c r="G55" s="59">
        <f t="shared" si="4"/>
        <v>1950840.6500000001</v>
      </c>
      <c r="H55" s="69">
        <f>SUBTOTAL(109,H49:H54)</f>
        <v>403327.35239999997</v>
      </c>
      <c r="I55" s="59">
        <f>SUBTOTAL(109,I49:I54)</f>
        <v>16704.620000000003</v>
      </c>
      <c r="J55" s="59">
        <f>SUBTOTAL(109,J49:J54)</f>
        <v>0</v>
      </c>
      <c r="K55" s="16">
        <f>SUBTOTAL(109,K49:K54)</f>
        <v>0</v>
      </c>
      <c r="M55" s="4"/>
      <c r="N55"/>
    </row>
    <row r="56" spans="1:15" ht="7.5" customHeight="1" x14ac:dyDescent="0.25">
      <c r="A56" s="18"/>
      <c r="B56" s="19"/>
      <c r="C56" s="62"/>
      <c r="D56" s="62"/>
      <c r="E56" s="62"/>
      <c r="F56" s="62"/>
      <c r="G56" s="62"/>
      <c r="H56" s="62"/>
      <c r="I56" s="62"/>
      <c r="J56" s="62"/>
      <c r="K56" s="20"/>
      <c r="L56" s="20"/>
    </row>
    <row r="57" spans="1:15" ht="15.75" x14ac:dyDescent="0.25">
      <c r="C57" s="63" t="s">
        <v>24</v>
      </c>
      <c r="D57" s="60">
        <f>G55</f>
        <v>1950840.6500000001</v>
      </c>
      <c r="E57" s="62"/>
      <c r="F57" s="62"/>
      <c r="G57" s="62"/>
      <c r="H57" s="63" t="s">
        <v>25</v>
      </c>
      <c r="I57" s="60">
        <f>H55/0.21</f>
        <v>1920606.44</v>
      </c>
      <c r="J57" s="64"/>
      <c r="K57" s="26"/>
    </row>
    <row r="58" spans="1:15" ht="15.75" x14ac:dyDescent="0.25">
      <c r="C58" s="64"/>
      <c r="D58" s="64"/>
      <c r="E58" s="62"/>
      <c r="F58" s="64"/>
      <c r="G58" s="64"/>
      <c r="H58" s="63" t="s">
        <v>10</v>
      </c>
      <c r="I58" s="60">
        <f>I57*0.21</f>
        <v>403327.35239999997</v>
      </c>
      <c r="J58" s="64"/>
    </row>
    <row r="59" spans="1:15" ht="7.5" customHeight="1" x14ac:dyDescent="0.25">
      <c r="A59" s="24"/>
      <c r="B59" s="25"/>
      <c r="C59" s="65"/>
      <c r="D59" s="65"/>
      <c r="E59" s="65"/>
      <c r="F59" s="65"/>
      <c r="G59" s="65"/>
      <c r="H59" s="65"/>
      <c r="I59" s="65"/>
      <c r="J59" s="66"/>
      <c r="K59" s="23"/>
      <c r="L59" s="23"/>
    </row>
    <row r="60" spans="1:15" ht="7.5" customHeight="1" x14ac:dyDescent="0.25">
      <c r="C60" s="64"/>
      <c r="D60" s="64"/>
      <c r="E60" s="64"/>
      <c r="F60" s="64"/>
      <c r="G60" s="64"/>
      <c r="H60" s="64"/>
      <c r="I60" s="64"/>
      <c r="J60" s="64"/>
    </row>
    <row r="61" spans="1:15" ht="17.25" x14ac:dyDescent="0.3">
      <c r="A61" s="1" t="s">
        <v>0</v>
      </c>
      <c r="B61" s="2" t="s">
        <v>30</v>
      </c>
      <c r="C61" s="67"/>
      <c r="D61" s="68" t="s">
        <v>2</v>
      </c>
      <c r="E61" s="64"/>
      <c r="F61" s="64"/>
      <c r="G61" s="64"/>
      <c r="H61" s="64"/>
      <c r="I61" s="64"/>
      <c r="J61" s="64"/>
    </row>
    <row r="62" spans="1:15" ht="6.75" customHeight="1" x14ac:dyDescent="0.25">
      <c r="C62" s="64"/>
      <c r="D62" s="64"/>
      <c r="E62" s="64"/>
      <c r="F62" s="64"/>
      <c r="G62" s="64"/>
      <c r="H62" s="64"/>
      <c r="I62" s="64"/>
      <c r="J62" s="64"/>
    </row>
    <row r="63" spans="1:15" ht="30" customHeight="1" x14ac:dyDescent="0.25">
      <c r="A63" s="5" t="s">
        <v>3</v>
      </c>
      <c r="B63" s="6" t="s">
        <v>4</v>
      </c>
      <c r="C63" s="57" t="s">
        <v>5</v>
      </c>
      <c r="D63" s="57" t="s">
        <v>6</v>
      </c>
      <c r="E63" s="58" t="s">
        <v>7</v>
      </c>
      <c r="F63" s="58" t="s">
        <v>8</v>
      </c>
      <c r="G63" s="58" t="s">
        <v>9</v>
      </c>
      <c r="H63" s="57" t="s">
        <v>10</v>
      </c>
      <c r="I63" s="57" t="s">
        <v>11</v>
      </c>
      <c r="J63" s="57" t="s">
        <v>12</v>
      </c>
      <c r="K63" s="8" t="s">
        <v>13</v>
      </c>
      <c r="M63" s="4"/>
      <c r="N63"/>
    </row>
    <row r="64" spans="1:15" ht="28.5" customHeight="1" x14ac:dyDescent="0.25">
      <c r="A64" s="9" t="s">
        <v>17</v>
      </c>
      <c r="B64" s="10">
        <v>31</v>
      </c>
      <c r="C64" s="56">
        <v>83780.38</v>
      </c>
      <c r="D64" s="56">
        <f>202368.8-C64-E64-F64-7158.24</f>
        <v>105934.21999999997</v>
      </c>
      <c r="E64" s="56">
        <v>3134.63</v>
      </c>
      <c r="F64" s="56">
        <f>2158.23+203.1</f>
        <v>2361.33</v>
      </c>
      <c r="G64" s="56">
        <f>SUM(Tabela24162234366[[#This Row],[Salário Base Total (R$)]:[Média Valor Férias/H. Extras]])</f>
        <v>195210.55999999997</v>
      </c>
      <c r="H64" s="61">
        <f>(G64-380.85)*0.21</f>
        <v>40914.239099999992</v>
      </c>
      <c r="I64" s="56"/>
      <c r="J64" s="56"/>
      <c r="K64" s="12">
        <f>IFERROR(E64*3/M64/30*10*1.333333*P64,0)</f>
        <v>0</v>
      </c>
      <c r="M64" s="4">
        <v>3</v>
      </c>
      <c r="N64"/>
    </row>
    <row r="65" spans="1:15" ht="28.5" customHeight="1" x14ac:dyDescent="0.25">
      <c r="A65" s="9" t="s">
        <v>18</v>
      </c>
      <c r="B65" s="10">
        <v>23</v>
      </c>
      <c r="C65" s="56">
        <f t="shared" ref="C65:D69" si="5">C50</f>
        <v>431086.93</v>
      </c>
      <c r="D65" s="56">
        <f t="shared" si="5"/>
        <v>0</v>
      </c>
      <c r="E65" s="56">
        <f>IF(B61="dezembro/2025",C65/3,0)</f>
        <v>0</v>
      </c>
      <c r="F65" s="56">
        <f>F50</f>
        <v>0</v>
      </c>
      <c r="G65" s="56">
        <f>SUM(Tabela24162234366[[#This Row],[Salário Base Total (R$)]:[Média Valor Férias/H. Extras]])</f>
        <v>431086.93</v>
      </c>
      <c r="H65" s="61">
        <f>G65*0.21</f>
        <v>90528.25529999999</v>
      </c>
      <c r="I65" s="56"/>
      <c r="J65" s="56"/>
      <c r="K65" s="12">
        <f>IFERROR(E65*3/M65/30*10*1.333333*P65,0)</f>
        <v>0</v>
      </c>
      <c r="M65" s="4"/>
      <c r="N65"/>
    </row>
    <row r="66" spans="1:15" ht="28.5" customHeight="1" x14ac:dyDescent="0.25">
      <c r="A66" s="13" t="s">
        <v>19</v>
      </c>
      <c r="B66" s="10">
        <v>5</v>
      </c>
      <c r="C66" s="56">
        <f t="shared" si="5"/>
        <v>18431.849999999999</v>
      </c>
      <c r="D66" s="56">
        <f t="shared" si="5"/>
        <v>0</v>
      </c>
      <c r="E66" s="56">
        <v>0</v>
      </c>
      <c r="F66" s="56">
        <f>F51</f>
        <v>0</v>
      </c>
      <c r="G66" s="56">
        <f>SUM(Tabela24162234366[[#This Row],[Salário Base Total (R$)]:[Média Valor Férias/H. Extras]])</f>
        <v>18431.849999999999</v>
      </c>
      <c r="H66" s="61">
        <v>0</v>
      </c>
      <c r="I66" s="56"/>
      <c r="J66" s="56"/>
      <c r="K66" s="12">
        <f>IFERROR(E66*3/M66/30*10*1.333333*P66,0)</f>
        <v>0</v>
      </c>
      <c r="M66" s="4"/>
      <c r="N66"/>
    </row>
    <row r="67" spans="1:15" ht="28.5" customHeight="1" x14ac:dyDescent="0.25">
      <c r="A67" s="13" t="s">
        <v>20</v>
      </c>
      <c r="B67" s="10">
        <v>396</v>
      </c>
      <c r="C67" s="56">
        <v>1013459.98</v>
      </c>
      <c r="D67" s="56">
        <f>11500+4030</f>
        <v>15530</v>
      </c>
      <c r="E67" s="56">
        <v>8400.0300000000007</v>
      </c>
      <c r="F67" s="56">
        <f>F52</f>
        <v>0</v>
      </c>
      <c r="G67" s="56">
        <f>SUM(Tabela24162234366[[#This Row],[Salário Base Total (R$)]:[Média Valor Férias/H. Extras]])</f>
        <v>1037390.01</v>
      </c>
      <c r="H67" s="61">
        <f>(G67-4030)*0.21</f>
        <v>217005.60209999999</v>
      </c>
      <c r="I67" s="56">
        <f>5432.99+1811.01</f>
        <v>7244</v>
      </c>
      <c r="J67" s="56"/>
      <c r="K67" s="12">
        <f>IFERROR(E67*3/M67/30*10*1.333333*P67,0)</f>
        <v>0</v>
      </c>
      <c r="M67" s="4">
        <v>9</v>
      </c>
      <c r="N67"/>
    </row>
    <row r="68" spans="1:15" ht="28.5" customHeight="1" x14ac:dyDescent="0.25">
      <c r="A68" s="9" t="s">
        <v>21</v>
      </c>
      <c r="B68" s="10">
        <v>52</v>
      </c>
      <c r="C68" s="56">
        <v>212398.22</v>
      </c>
      <c r="D68" s="56">
        <f>297959.95-C68-3181.44</f>
        <v>82380.290000000008</v>
      </c>
      <c r="E68" s="56">
        <v>0</v>
      </c>
      <c r="F68" s="56">
        <v>0</v>
      </c>
      <c r="G68" s="56">
        <f>SUM(Tabela24162234366[[#This Row],[Salário Base Total (R$)]:[Média Valor Férias/H. Extras]])</f>
        <v>294778.51</v>
      </c>
      <c r="H68" s="61">
        <f>G68*0.21</f>
        <v>61903.487099999998</v>
      </c>
      <c r="I68" s="56"/>
      <c r="J68" s="56"/>
      <c r="K68" s="12">
        <f>IFERROR(IF(O68="não",IFERROR(E68*3/M68/30*10*1.333333*P68,0),(E68*3/(M68+N68))/30*10*1.333333*P68),0)</f>
        <v>0</v>
      </c>
      <c r="M68" s="4">
        <v>1</v>
      </c>
      <c r="N68">
        <v>2</v>
      </c>
      <c r="O68" t="s">
        <v>29</v>
      </c>
    </row>
    <row r="69" spans="1:15" ht="28.5" customHeight="1" x14ac:dyDescent="0.25">
      <c r="A69" s="9" t="s">
        <v>22</v>
      </c>
      <c r="B69" s="10">
        <v>6</v>
      </c>
      <c r="C69" s="56">
        <f t="shared" si="5"/>
        <v>5738.04</v>
      </c>
      <c r="D69" s="56">
        <f t="shared" si="5"/>
        <v>637.55999999999995</v>
      </c>
      <c r="E69" s="56">
        <f>E54</f>
        <v>0</v>
      </c>
      <c r="F69" s="56">
        <f>F54</f>
        <v>0</v>
      </c>
      <c r="G69" s="56">
        <f>SUM(Tabela24162234366[[#This Row],[Salário Base Total (R$)]:[Média Valor Férias/H. Extras]])</f>
        <v>6375.6</v>
      </c>
      <c r="H69" s="61">
        <f>G69*($H54/$G54)</f>
        <v>0</v>
      </c>
      <c r="I69" s="56"/>
      <c r="J69" s="56"/>
      <c r="K69" s="12">
        <f>IFERROR(E69*3/M69/30*10*1.333333*P69,0)</f>
        <v>0</v>
      </c>
      <c r="M69" s="4">
        <v>0</v>
      </c>
      <c r="N69"/>
    </row>
    <row r="70" spans="1:15" ht="28.5" customHeight="1" x14ac:dyDescent="0.25">
      <c r="A70" s="14" t="s">
        <v>23</v>
      </c>
      <c r="B70" s="15">
        <f t="shared" ref="B70:J70" si="6">SUBTOTAL(109,B64:B69)</f>
        <v>513</v>
      </c>
      <c r="C70" s="59">
        <f t="shared" si="6"/>
        <v>1764895.4000000001</v>
      </c>
      <c r="D70" s="59">
        <f t="shared" si="6"/>
        <v>204482.06999999998</v>
      </c>
      <c r="E70" s="59">
        <f t="shared" si="6"/>
        <v>11534.66</v>
      </c>
      <c r="F70" s="59">
        <f t="shared" si="6"/>
        <v>2361.33</v>
      </c>
      <c r="G70" s="59">
        <f t="shared" si="6"/>
        <v>1983273.4600000002</v>
      </c>
      <c r="H70" s="59">
        <f t="shared" si="6"/>
        <v>410351.58360000001</v>
      </c>
      <c r="I70" s="59">
        <f t="shared" si="6"/>
        <v>7244</v>
      </c>
      <c r="J70" s="59">
        <f t="shared" si="6"/>
        <v>0</v>
      </c>
      <c r="K70" s="16">
        <f>SUBTOTAL(109,K64:K69)</f>
        <v>0</v>
      </c>
      <c r="M70" s="4"/>
      <c r="N70"/>
    </row>
    <row r="71" spans="1:15" ht="7.5" customHeight="1" x14ac:dyDescent="0.25">
      <c r="A71" s="18"/>
      <c r="B71" s="19"/>
      <c r="C71" s="62"/>
      <c r="D71" s="62"/>
      <c r="E71" s="62"/>
      <c r="F71" s="62"/>
      <c r="G71" s="62"/>
      <c r="H71" s="62"/>
      <c r="I71" s="62"/>
      <c r="J71" s="62"/>
      <c r="K71" s="20"/>
      <c r="L71" s="20"/>
    </row>
    <row r="72" spans="1:15" ht="15.75" x14ac:dyDescent="0.25">
      <c r="C72" s="63" t="s">
        <v>24</v>
      </c>
      <c r="D72" s="60">
        <f>G70</f>
        <v>1983273.4600000002</v>
      </c>
      <c r="E72" s="62"/>
      <c r="F72" s="62"/>
      <c r="G72" s="62"/>
      <c r="H72" s="63" t="s">
        <v>25</v>
      </c>
      <c r="I72" s="60">
        <f>H70/0.21</f>
        <v>1954055.1600000001</v>
      </c>
      <c r="J72" s="64"/>
      <c r="K72" s="26"/>
    </row>
    <row r="73" spans="1:15" ht="15.75" x14ac:dyDescent="0.25">
      <c r="C73" s="64"/>
      <c r="D73" s="64"/>
      <c r="E73" s="62"/>
      <c r="F73" s="64"/>
      <c r="G73" s="64"/>
      <c r="H73" s="63" t="s">
        <v>10</v>
      </c>
      <c r="I73" s="60">
        <f>I72*0.21</f>
        <v>410351.58360000001</v>
      </c>
      <c r="J73" s="64"/>
    </row>
    <row r="74" spans="1:15" ht="7.5" customHeight="1" x14ac:dyDescent="0.25">
      <c r="A74" s="24"/>
      <c r="B74" s="25"/>
      <c r="C74" s="65"/>
      <c r="D74" s="65"/>
      <c r="E74" s="65"/>
      <c r="F74" s="65"/>
      <c r="G74" s="65"/>
      <c r="H74" s="65"/>
      <c r="I74" s="65"/>
      <c r="J74" s="66"/>
      <c r="K74" s="23"/>
      <c r="L74" s="23"/>
    </row>
    <row r="75" spans="1:15" ht="7.5" customHeight="1" x14ac:dyDescent="0.25">
      <c r="C75" s="64"/>
      <c r="D75" s="64"/>
      <c r="E75" s="64"/>
      <c r="F75" s="64"/>
      <c r="G75" s="64"/>
      <c r="H75" s="64"/>
      <c r="I75" s="64"/>
      <c r="J75" s="64"/>
    </row>
    <row r="76" spans="1:15" ht="17.25" x14ac:dyDescent="0.3">
      <c r="A76" s="1" t="s">
        <v>0</v>
      </c>
      <c r="B76" s="2" t="s">
        <v>32</v>
      </c>
      <c r="C76" s="67"/>
      <c r="D76" s="70" t="s">
        <v>31</v>
      </c>
      <c r="E76" s="64"/>
      <c r="F76" s="64"/>
      <c r="G76" s="64"/>
      <c r="H76" s="64"/>
      <c r="I76" s="64"/>
      <c r="J76" s="64"/>
    </row>
    <row r="77" spans="1:15" ht="6.75" customHeight="1" x14ac:dyDescent="0.25">
      <c r="C77" s="64"/>
      <c r="D77" s="64"/>
      <c r="E77" s="64"/>
      <c r="F77" s="64"/>
      <c r="G77" s="64"/>
      <c r="H77" s="64"/>
      <c r="I77" s="64"/>
      <c r="J77" s="64"/>
    </row>
    <row r="78" spans="1:15" ht="30" customHeight="1" x14ac:dyDescent="0.25">
      <c r="A78" s="5" t="s">
        <v>3</v>
      </c>
      <c r="B78" s="6" t="s">
        <v>4</v>
      </c>
      <c r="C78" s="57" t="s">
        <v>5</v>
      </c>
      <c r="D78" s="57" t="s">
        <v>6</v>
      </c>
      <c r="E78" s="58" t="s">
        <v>7</v>
      </c>
      <c r="F78" s="58" t="s">
        <v>8</v>
      </c>
      <c r="G78" s="58" t="s">
        <v>9</v>
      </c>
      <c r="H78" s="57" t="s">
        <v>10</v>
      </c>
      <c r="I78" s="57" t="s">
        <v>11</v>
      </c>
      <c r="J78" s="57" t="s">
        <v>12</v>
      </c>
      <c r="K78" s="8" t="s">
        <v>13</v>
      </c>
      <c r="M78" s="4"/>
      <c r="N78"/>
    </row>
    <row r="79" spans="1:15" ht="28.5" customHeight="1" x14ac:dyDescent="0.25">
      <c r="A79" s="9" t="s">
        <v>17</v>
      </c>
      <c r="B79" s="10">
        <v>31</v>
      </c>
      <c r="C79" s="56">
        <f>C64</f>
        <v>83780.38</v>
      </c>
      <c r="D79" s="56">
        <f t="shared" ref="D79" si="7">D64</f>
        <v>105934.21999999997</v>
      </c>
      <c r="E79" s="56">
        <f>(((C79+(0.95*D79))/B79/3*M79))</f>
        <v>5948.9641612903215</v>
      </c>
      <c r="F79" s="56">
        <f>(D79*0.55/B79*M79)+($C$223/12/B79*M79)</f>
        <v>5977.1439677419339</v>
      </c>
      <c r="G79" s="56">
        <f>SUM(Tabela24162234377[[#This Row],[Salário Base Total (R$)]:[Média Valor Férias/H. Extras]])</f>
        <v>201640.70812903222</v>
      </c>
      <c r="H79" s="61">
        <f>G79*0.21</f>
        <v>42344.548707096765</v>
      </c>
      <c r="I79" s="56"/>
      <c r="J79" s="56"/>
      <c r="K79" s="12">
        <f>IFERROR(E79*3/M79/30*10*1.333333*P79,0)</f>
        <v>0</v>
      </c>
      <c r="M79" s="4">
        <v>3</v>
      </c>
      <c r="N79"/>
    </row>
    <row r="80" spans="1:15" ht="28.5" customHeight="1" x14ac:dyDescent="0.25">
      <c r="A80" s="9" t="s">
        <v>18</v>
      </c>
      <c r="B80" s="10">
        <v>23</v>
      </c>
      <c r="C80" s="56">
        <f t="shared" ref="C80:D84" si="8">C65</f>
        <v>431086.93</v>
      </c>
      <c r="D80" s="56">
        <f t="shared" si="8"/>
        <v>0</v>
      </c>
      <c r="E80" s="56">
        <f>IF(B76="dezembro/2025",C80/3,0)</f>
        <v>0</v>
      </c>
      <c r="F80" s="56">
        <f>F65</f>
        <v>0</v>
      </c>
      <c r="G80" s="56">
        <f>SUM(Tabela24162234377[[#This Row],[Salário Base Total (R$)]:[Média Valor Férias/H. Extras]])</f>
        <v>431086.93</v>
      </c>
      <c r="H80" s="61">
        <f>G80*0.21</f>
        <v>90528.25529999999</v>
      </c>
      <c r="I80" s="56"/>
      <c r="J80" s="56"/>
      <c r="K80" s="12">
        <f>IFERROR(E80*3/M80/30*10*1.333333*P80,0)</f>
        <v>0</v>
      </c>
      <c r="M80" s="4"/>
      <c r="N80"/>
    </row>
    <row r="81" spans="1:14" ht="28.5" customHeight="1" x14ac:dyDescent="0.25">
      <c r="A81" s="13" t="s">
        <v>19</v>
      </c>
      <c r="B81" s="10">
        <v>5</v>
      </c>
      <c r="C81" s="56">
        <f t="shared" si="8"/>
        <v>18431.849999999999</v>
      </c>
      <c r="D81" s="56">
        <f t="shared" si="8"/>
        <v>0</v>
      </c>
      <c r="E81" s="56">
        <v>0</v>
      </c>
      <c r="F81" s="56">
        <f>F66</f>
        <v>0</v>
      </c>
      <c r="G81" s="56">
        <f>SUM(Tabela24162234377[[#This Row],[Salário Base Total (R$)]:[Média Valor Férias/H. Extras]])</f>
        <v>18431.849999999999</v>
      </c>
      <c r="H81" s="61">
        <v>0</v>
      </c>
      <c r="I81" s="56"/>
      <c r="J81" s="56"/>
      <c r="K81" s="12">
        <f>IFERROR(E81*3/M81/30*10*1.333333*P81,0)</f>
        <v>0</v>
      </c>
      <c r="M81" s="4"/>
      <c r="N81"/>
    </row>
    <row r="82" spans="1:14" ht="28.5" customHeight="1" x14ac:dyDescent="0.25">
      <c r="A82" s="13" t="s">
        <v>20</v>
      </c>
      <c r="B82" s="10">
        <v>386</v>
      </c>
      <c r="C82" s="56">
        <f>C222*23</f>
        <v>1104000</v>
      </c>
      <c r="D82" s="56">
        <f t="shared" si="8"/>
        <v>15530</v>
      </c>
      <c r="E82" s="56">
        <f>(C82/B82)/2.4*M82</f>
        <v>4766.8393782383419</v>
      </c>
      <c r="F82" s="56">
        <f>F67</f>
        <v>0</v>
      </c>
      <c r="G82" s="56">
        <f>SUM(Tabela24162234377[[#This Row],[Salário Base Total (R$)]:[Média Valor Férias/H. Extras]])</f>
        <v>1124296.8393782384</v>
      </c>
      <c r="H82" s="61">
        <f>(G82-D82)*0.21</f>
        <v>232841.03626943007</v>
      </c>
      <c r="I82" s="56">
        <f>AVERAGE($I$52,$I$37,$I$22)</f>
        <v>15718.503333333334</v>
      </c>
      <c r="J82" s="56"/>
      <c r="K82" s="12">
        <f>IFERROR(E82*3/M82/30*10*1.333333*P82,0)</f>
        <v>0</v>
      </c>
      <c r="M82" s="4">
        <v>4</v>
      </c>
      <c r="N82"/>
    </row>
    <row r="83" spans="1:14" ht="28.5" customHeight="1" x14ac:dyDescent="0.25">
      <c r="A83" s="9" t="s">
        <v>21</v>
      </c>
      <c r="B83" s="10">
        <v>51</v>
      </c>
      <c r="C83" s="56">
        <f t="shared" si="8"/>
        <v>212398.22</v>
      </c>
      <c r="D83" s="56">
        <f t="shared" si="8"/>
        <v>82380.290000000008</v>
      </c>
      <c r="E83" s="56">
        <f>IF(O83=[1]Cálculo!$D$1,((C83+D83)/B83/3*M83)+$E$49/$M$49*N83,(C83+D83)/B83/3*M83)</f>
        <v>0</v>
      </c>
      <c r="F83" s="56">
        <f>IF(O83=[1]Cálculo!$D$1,($F$49/$M$49*N83),0)</f>
        <v>0</v>
      </c>
      <c r="G83" s="56">
        <f>SUM(Tabela24162234377[[#This Row],[Salário Base Total (R$)]:[Média Valor Férias/H. Extras]])</f>
        <v>294778.51</v>
      </c>
      <c r="H83" s="61">
        <f>G83*0.21</f>
        <v>61903.487099999998</v>
      </c>
      <c r="I83" s="56">
        <f>AVERAGE($I$53,$I$38,$I$8)</f>
        <v>1346.9966666666667</v>
      </c>
      <c r="J83" s="56"/>
      <c r="K83" s="12">
        <f>IFERROR(IF(O83="não",IFERROR(E83*3/M83/30*10*1.333333*P83,0),(E83*3/(M83+N83))/30*10*1.333333*P83),0)</f>
        <v>0</v>
      </c>
      <c r="M83" s="4">
        <v>0</v>
      </c>
      <c r="N83"/>
    </row>
    <row r="84" spans="1:14" ht="28.5" customHeight="1" x14ac:dyDescent="0.25">
      <c r="A84" s="9" t="s">
        <v>22</v>
      </c>
      <c r="B84" s="10">
        <v>9</v>
      </c>
      <c r="C84" s="56">
        <f t="shared" si="8"/>
        <v>5738.04</v>
      </c>
      <c r="D84" s="56">
        <f t="shared" si="8"/>
        <v>637.55999999999995</v>
      </c>
      <c r="E84" s="56">
        <f>E69</f>
        <v>0</v>
      </c>
      <c r="F84" s="56">
        <f>F69</f>
        <v>0</v>
      </c>
      <c r="G84" s="56">
        <f>SUM(Tabela24162234377[[#This Row],[Salário Base Total (R$)]:[Média Valor Férias/H. Extras]])</f>
        <v>6375.6</v>
      </c>
      <c r="H84" s="61">
        <f>G84*($H69/$G69)</f>
        <v>0</v>
      </c>
      <c r="I84" s="56"/>
      <c r="J84" s="56"/>
      <c r="K84" s="12">
        <f>IFERROR(E84*3/M84/30*10*1.333333*P84,0)</f>
        <v>0</v>
      </c>
      <c r="M84" s="4">
        <v>0</v>
      </c>
      <c r="N84"/>
    </row>
    <row r="85" spans="1:14" ht="28.5" customHeight="1" x14ac:dyDescent="0.25">
      <c r="A85" s="14" t="s">
        <v>23</v>
      </c>
      <c r="B85" s="15">
        <f t="shared" ref="B85:H85" si="9">SUBTOTAL(109,B79:B84)</f>
        <v>505</v>
      </c>
      <c r="C85" s="59">
        <f t="shared" si="9"/>
        <v>1855435.4200000002</v>
      </c>
      <c r="D85" s="59">
        <f t="shared" si="9"/>
        <v>204482.06999999998</v>
      </c>
      <c r="E85" s="59">
        <f t="shared" si="9"/>
        <v>10715.803539528664</v>
      </c>
      <c r="F85" s="59">
        <f t="shared" si="9"/>
        <v>5977.1439677419339</v>
      </c>
      <c r="G85" s="59">
        <f>SUBTOTAL(109,G79:G84)</f>
        <v>2076610.4375072706</v>
      </c>
      <c r="H85" s="59">
        <f t="shared" si="9"/>
        <v>427617.32737652678</v>
      </c>
      <c r="I85" s="59">
        <f>SUBTOTAL(109,I79:I84)</f>
        <v>17065.5</v>
      </c>
      <c r="J85" s="59">
        <f>SUBTOTAL(109,J79:J84)</f>
        <v>0</v>
      </c>
      <c r="K85" s="16">
        <f>SUBTOTAL(109,K79:K84)</f>
        <v>0</v>
      </c>
      <c r="M85" s="4"/>
      <c r="N85"/>
    </row>
    <row r="86" spans="1:14" ht="7.5" customHeight="1" x14ac:dyDescent="0.25">
      <c r="A86" s="18"/>
      <c r="B86" s="19"/>
      <c r="C86" s="62"/>
      <c r="D86" s="62"/>
      <c r="E86" s="62"/>
      <c r="F86" s="62"/>
      <c r="G86" s="62"/>
      <c r="H86" s="62"/>
      <c r="I86" s="62"/>
      <c r="J86" s="62"/>
      <c r="K86" s="20"/>
      <c r="L86" s="20"/>
    </row>
    <row r="87" spans="1:14" ht="15.75" x14ac:dyDescent="0.25">
      <c r="C87" s="63" t="s">
        <v>24</v>
      </c>
      <c r="D87" s="60">
        <f>G85</f>
        <v>2076610.4375072706</v>
      </c>
      <c r="E87" s="62"/>
      <c r="F87" s="62"/>
      <c r="G87" s="62"/>
      <c r="H87" s="63" t="s">
        <v>25</v>
      </c>
      <c r="I87" s="60">
        <f>H85/0.21</f>
        <v>2036272.9875072704</v>
      </c>
      <c r="J87" s="64"/>
      <c r="K87" s="26"/>
    </row>
    <row r="88" spans="1:14" ht="15.75" x14ac:dyDescent="0.25">
      <c r="C88" s="64"/>
      <c r="D88" s="64"/>
      <c r="E88" s="62"/>
      <c r="F88" s="64"/>
      <c r="G88" s="64"/>
      <c r="H88" s="63" t="s">
        <v>10</v>
      </c>
      <c r="I88" s="60">
        <f>I87*0.21</f>
        <v>427617.32737652678</v>
      </c>
      <c r="J88" s="64"/>
    </row>
    <row r="89" spans="1:14" ht="7.5" customHeight="1" x14ac:dyDescent="0.25">
      <c r="A89" s="24"/>
      <c r="B89" s="25"/>
      <c r="C89" s="65"/>
      <c r="D89" s="65"/>
      <c r="E89" s="65"/>
      <c r="F89" s="65"/>
      <c r="G89" s="65"/>
      <c r="H89" s="65"/>
      <c r="I89" s="65"/>
      <c r="J89" s="66"/>
      <c r="K89" s="23"/>
      <c r="L89" s="23"/>
    </row>
    <row r="90" spans="1:14" ht="7.5" customHeight="1" x14ac:dyDescent="0.25">
      <c r="C90" s="64"/>
      <c r="D90" s="64"/>
      <c r="E90" s="64"/>
      <c r="F90" s="64"/>
      <c r="G90" s="64"/>
      <c r="H90" s="64"/>
      <c r="I90" s="64"/>
      <c r="J90" s="64"/>
    </row>
    <row r="91" spans="1:14" ht="17.25" x14ac:dyDescent="0.3">
      <c r="A91" s="1" t="s">
        <v>0</v>
      </c>
      <c r="B91" s="2" t="s">
        <v>33</v>
      </c>
      <c r="C91" s="67"/>
      <c r="D91" s="70" t="s">
        <v>31</v>
      </c>
      <c r="E91" s="64"/>
      <c r="F91" s="64"/>
      <c r="G91" s="64"/>
      <c r="H91" s="64"/>
      <c r="I91" s="64"/>
      <c r="J91" s="64"/>
    </row>
    <row r="92" spans="1:14" ht="6.75" customHeight="1" x14ac:dyDescent="0.25">
      <c r="C92" s="64"/>
      <c r="D92" s="64"/>
      <c r="E92" s="64"/>
      <c r="F92" s="64"/>
      <c r="G92" s="64"/>
      <c r="H92" s="64"/>
      <c r="I92" s="64"/>
      <c r="J92" s="64"/>
    </row>
    <row r="93" spans="1:14" ht="30" customHeight="1" x14ac:dyDescent="0.25">
      <c r="A93" s="5" t="s">
        <v>3</v>
      </c>
      <c r="B93" s="6" t="s">
        <v>4</v>
      </c>
      <c r="C93" s="57" t="s">
        <v>5</v>
      </c>
      <c r="D93" s="57" t="s">
        <v>6</v>
      </c>
      <c r="E93" s="58" t="s">
        <v>7</v>
      </c>
      <c r="F93" s="58" t="s">
        <v>8</v>
      </c>
      <c r="G93" s="58" t="s">
        <v>9</v>
      </c>
      <c r="H93" s="57" t="s">
        <v>10</v>
      </c>
      <c r="I93" s="57" t="s">
        <v>11</v>
      </c>
      <c r="J93" s="57" t="s">
        <v>12</v>
      </c>
      <c r="K93" s="8" t="s">
        <v>13</v>
      </c>
      <c r="M93" s="4"/>
      <c r="N93"/>
    </row>
    <row r="94" spans="1:14" ht="28.5" customHeight="1" x14ac:dyDescent="0.25">
      <c r="A94" s="9" t="s">
        <v>17</v>
      </c>
      <c r="B94" s="10">
        <v>31</v>
      </c>
      <c r="C94" s="56">
        <f>C79</f>
        <v>83780.38</v>
      </c>
      <c r="D94" s="56">
        <f t="shared" ref="D94" si="10">D79</f>
        <v>105934.21999999997</v>
      </c>
      <c r="E94" s="56">
        <f>(((C94+(0.95*D94))/B94/3*M94))</f>
        <v>1982.9880537634406</v>
      </c>
      <c r="F94" s="56">
        <f>(D94*0.55/B94*M94)+($C$223/12/B94*M94)</f>
        <v>1992.3813225806448</v>
      </c>
      <c r="G94" s="56">
        <f>SUM(Tabela24162234388[[#This Row],[Salário Base Total (R$)]:[Média Valor Férias/H. Extras]])</f>
        <v>193689.96937634406</v>
      </c>
      <c r="H94" s="61">
        <f>G94*0.21</f>
        <v>40674.893569032254</v>
      </c>
      <c r="I94" s="56"/>
      <c r="J94" s="56"/>
      <c r="K94" s="12">
        <f>IFERROR(E94*3/M94/30*10*1.333333*P94,0)</f>
        <v>0</v>
      </c>
      <c r="M94" s="4">
        <v>1</v>
      </c>
      <c r="N94"/>
    </row>
    <row r="95" spans="1:14" ht="28.5" customHeight="1" x14ac:dyDescent="0.25">
      <c r="A95" s="9" t="s">
        <v>18</v>
      </c>
      <c r="B95" s="10">
        <v>23</v>
      </c>
      <c r="C95" s="56">
        <f t="shared" ref="C95:D99" si="11">C80</f>
        <v>431086.93</v>
      </c>
      <c r="D95" s="56">
        <f t="shared" si="11"/>
        <v>0</v>
      </c>
      <c r="E95" s="56">
        <f>IF(B91="dezembro/2025",C95/3,0)</f>
        <v>0</v>
      </c>
      <c r="F95" s="56">
        <f>F80</f>
        <v>0</v>
      </c>
      <c r="G95" s="56">
        <f>SUM(Tabela24162234388[[#This Row],[Salário Base Total (R$)]:[Média Valor Férias/H. Extras]])</f>
        <v>431086.93</v>
      </c>
      <c r="H95" s="61">
        <f>G95*0.21</f>
        <v>90528.25529999999</v>
      </c>
      <c r="I95" s="56"/>
      <c r="J95" s="56"/>
      <c r="K95" s="12">
        <f>IFERROR(E95*3/M95/30*10*1.333333*P95,0)</f>
        <v>0</v>
      </c>
      <c r="M95" s="4"/>
      <c r="N95"/>
    </row>
    <row r="96" spans="1:14" ht="28.5" customHeight="1" x14ac:dyDescent="0.25">
      <c r="A96" s="13" t="s">
        <v>19</v>
      </c>
      <c r="B96" s="10">
        <v>5</v>
      </c>
      <c r="C96" s="56">
        <f t="shared" si="11"/>
        <v>18431.849999999999</v>
      </c>
      <c r="D96" s="56">
        <f t="shared" si="11"/>
        <v>0</v>
      </c>
      <c r="E96" s="56">
        <v>0</v>
      </c>
      <c r="F96" s="56">
        <f>F81</f>
        <v>0</v>
      </c>
      <c r="G96" s="56">
        <f>SUM(Tabela24162234388[[#This Row],[Salário Base Total (R$)]:[Média Valor Férias/H. Extras]])</f>
        <v>18431.849999999999</v>
      </c>
      <c r="H96" s="61">
        <v>0</v>
      </c>
      <c r="I96" s="56"/>
      <c r="J96" s="56"/>
      <c r="K96" s="12">
        <f>IFERROR(E96*3/M96/30*10*1.333333*P96,0)</f>
        <v>0</v>
      </c>
      <c r="M96" s="4"/>
      <c r="N96"/>
    </row>
    <row r="97" spans="1:14" ht="28.5" customHeight="1" x14ac:dyDescent="0.25">
      <c r="A97" s="13" t="s">
        <v>20</v>
      </c>
      <c r="B97" s="10">
        <v>386</v>
      </c>
      <c r="C97" s="56">
        <f>C222*23</f>
        <v>1104000</v>
      </c>
      <c r="D97" s="56">
        <f t="shared" si="11"/>
        <v>15530</v>
      </c>
      <c r="E97" s="56">
        <f>(C97/B97)/2.4*M97</f>
        <v>8341.968911917098</v>
      </c>
      <c r="F97" s="56">
        <f>F82</f>
        <v>0</v>
      </c>
      <c r="G97" s="56">
        <f>SUM(Tabela24162234388[[#This Row],[Salário Base Total (R$)]:[Média Valor Férias/H. Extras]])</f>
        <v>1127871.9689119172</v>
      </c>
      <c r="H97" s="61">
        <f>(G97-D97)*0.21</f>
        <v>233591.8134715026</v>
      </c>
      <c r="I97" s="56">
        <f>AVERAGE($I$52,$I$37,$I$22)</f>
        <v>15718.503333333334</v>
      </c>
      <c r="J97" s="56"/>
      <c r="K97" s="12">
        <f>IFERROR(E97*3/M97/30*10*1.333333*P97,0)</f>
        <v>0</v>
      </c>
      <c r="M97" s="4">
        <v>7</v>
      </c>
      <c r="N97"/>
    </row>
    <row r="98" spans="1:14" ht="28.5" customHeight="1" x14ac:dyDescent="0.25">
      <c r="A98" s="9" t="s">
        <v>21</v>
      </c>
      <c r="B98" s="10">
        <v>51</v>
      </c>
      <c r="C98" s="56">
        <f t="shared" si="11"/>
        <v>212398.22</v>
      </c>
      <c r="D98" s="56">
        <f t="shared" si="11"/>
        <v>82380.290000000008</v>
      </c>
      <c r="E98" s="56">
        <f>IF(O98=[1]Cálculo!$D$1,((C98+D98)/B98/3*M98)+$E$49/$M$49*N98,(C98+D98)/B98/3*M98)</f>
        <v>0</v>
      </c>
      <c r="F98" s="56">
        <f>IF(O98=[1]Cálculo!$D$1,($F$49/$M$49*N98),0)</f>
        <v>0</v>
      </c>
      <c r="G98" s="56">
        <f>SUM(Tabela24162234388[[#This Row],[Salário Base Total (R$)]:[Média Valor Férias/H. Extras]])</f>
        <v>294778.51</v>
      </c>
      <c r="H98" s="61">
        <f>G98*0.21</f>
        <v>61903.487099999998</v>
      </c>
      <c r="I98" s="56">
        <f>AVERAGE($I$53,$I$38,$I$8)</f>
        <v>1346.9966666666667</v>
      </c>
      <c r="J98" s="56"/>
      <c r="K98" s="12">
        <f>IFERROR(IF(O98="não",IFERROR(E98*3/M98/30*10*1.333333*P98,0),(E98*3/(M98+N98))/30*10*1.333333*P98),0)</f>
        <v>0</v>
      </c>
      <c r="M98" s="4">
        <v>0</v>
      </c>
      <c r="N98"/>
    </row>
    <row r="99" spans="1:14" ht="28.5" customHeight="1" x14ac:dyDescent="0.25">
      <c r="A99" s="9" t="s">
        <v>22</v>
      </c>
      <c r="B99" s="10">
        <v>9</v>
      </c>
      <c r="C99" s="56">
        <f t="shared" si="11"/>
        <v>5738.04</v>
      </c>
      <c r="D99" s="56">
        <f t="shared" si="11"/>
        <v>637.55999999999995</v>
      </c>
      <c r="E99" s="56">
        <f>E84</f>
        <v>0</v>
      </c>
      <c r="F99" s="56">
        <f>F84</f>
        <v>0</v>
      </c>
      <c r="G99" s="56">
        <f>SUM(Tabela24162234388[[#This Row],[Salário Base Total (R$)]:[Média Valor Férias/H. Extras]])</f>
        <v>6375.6</v>
      </c>
      <c r="H99" s="61">
        <f>G99*($H84/$G84)</f>
        <v>0</v>
      </c>
      <c r="I99" s="56"/>
      <c r="J99" s="56"/>
      <c r="K99" s="12">
        <f>IFERROR(E99*3/M99/30*10*1.333333*P99,0)</f>
        <v>0</v>
      </c>
      <c r="M99" s="4">
        <v>1</v>
      </c>
      <c r="N99"/>
    </row>
    <row r="100" spans="1:14" ht="28.5" customHeight="1" x14ac:dyDescent="0.25">
      <c r="A100" s="14" t="s">
        <v>23</v>
      </c>
      <c r="B100" s="15">
        <f t="shared" ref="B100:J100" si="12">SUBTOTAL(109,B94:B99)</f>
        <v>505</v>
      </c>
      <c r="C100" s="59">
        <f t="shared" si="12"/>
        <v>1855435.4200000002</v>
      </c>
      <c r="D100" s="59">
        <f t="shared" si="12"/>
        <v>204482.06999999998</v>
      </c>
      <c r="E100" s="59">
        <f t="shared" si="12"/>
        <v>10324.956965680538</v>
      </c>
      <c r="F100" s="59">
        <f t="shared" si="12"/>
        <v>1992.3813225806448</v>
      </c>
      <c r="G100" s="59">
        <f t="shared" si="12"/>
        <v>2072234.8282882613</v>
      </c>
      <c r="H100" s="59">
        <f t="shared" si="12"/>
        <v>426698.44944053481</v>
      </c>
      <c r="I100" s="59">
        <f t="shared" si="12"/>
        <v>17065.5</v>
      </c>
      <c r="J100" s="59">
        <f t="shared" si="12"/>
        <v>0</v>
      </c>
      <c r="K100" s="16">
        <f>SUBTOTAL(109,K94:K99)</f>
        <v>0</v>
      </c>
      <c r="M100" s="4"/>
      <c r="N100"/>
    </row>
    <row r="101" spans="1:14" ht="7.5" customHeight="1" x14ac:dyDescent="0.25">
      <c r="A101" s="18"/>
      <c r="B101" s="19"/>
      <c r="C101" s="62"/>
      <c r="D101" s="62"/>
      <c r="E101" s="62"/>
      <c r="F101" s="62"/>
      <c r="G101" s="62"/>
      <c r="H101" s="62"/>
      <c r="I101" s="62"/>
      <c r="J101" s="62"/>
      <c r="K101" s="20"/>
      <c r="L101" s="20"/>
    </row>
    <row r="102" spans="1:14" ht="15.75" x14ac:dyDescent="0.25">
      <c r="C102" s="63" t="s">
        <v>24</v>
      </c>
      <c r="D102" s="60">
        <f>G100</f>
        <v>2072234.8282882613</v>
      </c>
      <c r="E102" s="62"/>
      <c r="F102" s="62"/>
      <c r="G102" s="62"/>
      <c r="H102" s="63" t="s">
        <v>25</v>
      </c>
      <c r="I102" s="60">
        <f>H100/0.21</f>
        <v>2031897.3782882611</v>
      </c>
      <c r="J102" s="64"/>
      <c r="K102" s="26"/>
    </row>
    <row r="103" spans="1:14" ht="15.75" x14ac:dyDescent="0.25">
      <c r="C103" s="64"/>
      <c r="D103" s="64"/>
      <c r="E103" s="62"/>
      <c r="F103" s="64"/>
      <c r="G103" s="64"/>
      <c r="H103" s="63" t="s">
        <v>10</v>
      </c>
      <c r="I103" s="60">
        <f>I102*0.21</f>
        <v>426698.44944053481</v>
      </c>
      <c r="J103" s="64"/>
    </row>
    <row r="104" spans="1:14" ht="7.5" customHeight="1" x14ac:dyDescent="0.25">
      <c r="A104" s="24"/>
      <c r="B104" s="25"/>
      <c r="C104" s="65"/>
      <c r="D104" s="65"/>
      <c r="E104" s="65"/>
      <c r="F104" s="65"/>
      <c r="G104" s="65"/>
      <c r="H104" s="65"/>
      <c r="I104" s="65"/>
      <c r="J104" s="66"/>
      <c r="K104" s="23"/>
      <c r="L104" s="23"/>
    </row>
    <row r="105" spans="1:14" ht="7.5" customHeight="1" x14ac:dyDescent="0.25">
      <c r="C105" s="64"/>
      <c r="D105" s="64"/>
      <c r="E105" s="64"/>
      <c r="F105" s="64"/>
      <c r="G105" s="64"/>
      <c r="H105" s="64"/>
      <c r="I105" s="64"/>
      <c r="J105" s="64"/>
    </row>
    <row r="106" spans="1:14" ht="17.25" x14ac:dyDescent="0.3">
      <c r="A106" s="1" t="s">
        <v>0</v>
      </c>
      <c r="B106" s="2" t="s">
        <v>34</v>
      </c>
      <c r="C106" s="67"/>
      <c r="D106" s="70" t="s">
        <v>31</v>
      </c>
      <c r="E106" s="64"/>
      <c r="F106" s="64"/>
      <c r="G106" s="64"/>
      <c r="H106" s="64"/>
      <c r="I106" s="64"/>
      <c r="J106" s="64"/>
    </row>
    <row r="107" spans="1:14" ht="6.75" customHeight="1" x14ac:dyDescent="0.25">
      <c r="C107" s="64"/>
      <c r="D107" s="64"/>
      <c r="E107" s="64"/>
      <c r="F107" s="64"/>
      <c r="G107" s="64"/>
      <c r="H107" s="64"/>
      <c r="I107" s="64"/>
      <c r="J107" s="64"/>
    </row>
    <row r="108" spans="1:14" ht="30" customHeight="1" x14ac:dyDescent="0.25">
      <c r="A108" s="5" t="s">
        <v>3</v>
      </c>
      <c r="B108" s="6" t="s">
        <v>4</v>
      </c>
      <c r="C108" s="57" t="s">
        <v>5</v>
      </c>
      <c r="D108" s="57" t="s">
        <v>6</v>
      </c>
      <c r="E108" s="58" t="s">
        <v>7</v>
      </c>
      <c r="F108" s="58" t="s">
        <v>8</v>
      </c>
      <c r="G108" s="58" t="s">
        <v>9</v>
      </c>
      <c r="H108" s="57" t="s">
        <v>10</v>
      </c>
      <c r="I108" s="57" t="s">
        <v>11</v>
      </c>
      <c r="J108" s="57" t="s">
        <v>12</v>
      </c>
      <c r="K108" s="8" t="s">
        <v>13</v>
      </c>
      <c r="M108" s="4"/>
      <c r="N108"/>
    </row>
    <row r="109" spans="1:14" ht="28.5" customHeight="1" x14ac:dyDescent="0.25">
      <c r="A109" s="9" t="s">
        <v>17</v>
      </c>
      <c r="B109" s="10">
        <v>31</v>
      </c>
      <c r="C109" s="56">
        <f>C226+(C225*7)</f>
        <v>109509.42024000001</v>
      </c>
      <c r="D109" s="56">
        <f t="shared" ref="D109" si="13">D94</f>
        <v>105934.21999999997</v>
      </c>
      <c r="E109" s="56">
        <f>(((C109+(0.95*D109))/B109/3*M109))</f>
        <v>0</v>
      </c>
      <c r="F109" s="56">
        <f>(D109*0.55/B109*M109)+($C$223/12/B109*M109)</f>
        <v>0</v>
      </c>
      <c r="G109" s="56">
        <f>SUM(Tabela24162234399[[#This Row],[Salário Base Total (R$)]:[Média Valor Férias/H. Extras]])</f>
        <v>215443.64023999998</v>
      </c>
      <c r="H109" s="61">
        <f>G109*0.21</f>
        <v>45243.164450399992</v>
      </c>
      <c r="I109" s="56"/>
      <c r="J109" s="56"/>
      <c r="K109" s="12">
        <f>IFERROR(E109*3/M109/30*10*1.333333*P109,0)</f>
        <v>0</v>
      </c>
      <c r="M109" s="4">
        <v>0</v>
      </c>
      <c r="N109"/>
    </row>
    <row r="110" spans="1:14" ht="28.5" customHeight="1" x14ac:dyDescent="0.25">
      <c r="A110" s="9" t="s">
        <v>18</v>
      </c>
      <c r="B110" s="10">
        <v>23</v>
      </c>
      <c r="C110" s="56">
        <f t="shared" ref="C110:D114" si="14">C95</f>
        <v>431086.93</v>
      </c>
      <c r="D110" s="56">
        <f t="shared" si="14"/>
        <v>0</v>
      </c>
      <c r="E110" s="56">
        <f>IF(B106="dezembro/2025",C110/3,0)</f>
        <v>0</v>
      </c>
      <c r="F110" s="56">
        <f>F95</f>
        <v>0</v>
      </c>
      <c r="G110" s="56">
        <f>SUM(Tabela24162234399[[#This Row],[Salário Base Total (R$)]:[Média Valor Férias/H. Extras]])</f>
        <v>431086.93</v>
      </c>
      <c r="H110" s="61">
        <f>G110*0.21</f>
        <v>90528.25529999999</v>
      </c>
      <c r="I110" s="56"/>
      <c r="J110" s="56"/>
      <c r="K110" s="12">
        <f>IFERROR(E110*3/M110/30*10*1.333333*P110,0)</f>
        <v>0</v>
      </c>
      <c r="M110" s="4"/>
      <c r="N110"/>
    </row>
    <row r="111" spans="1:14" ht="28.5" customHeight="1" x14ac:dyDescent="0.25">
      <c r="A111" s="13" t="s">
        <v>19</v>
      </c>
      <c r="B111" s="10">
        <v>5</v>
      </c>
      <c r="C111" s="56">
        <f t="shared" si="14"/>
        <v>18431.849999999999</v>
      </c>
      <c r="D111" s="56">
        <f t="shared" si="14"/>
        <v>0</v>
      </c>
      <c r="E111" s="56">
        <v>0</v>
      </c>
      <c r="F111" s="56">
        <f>F96</f>
        <v>0</v>
      </c>
      <c r="G111" s="56">
        <f>SUM(Tabela24162234399[[#This Row],[Salário Base Total (R$)]:[Média Valor Férias/H. Extras]])</f>
        <v>18431.849999999999</v>
      </c>
      <c r="H111" s="61">
        <v>0</v>
      </c>
      <c r="I111" s="56"/>
      <c r="J111" s="56"/>
      <c r="K111" s="12">
        <f>IFERROR(E111*3/M111/30*10*1.333333*P111,0)</f>
        <v>0</v>
      </c>
      <c r="M111" s="4"/>
      <c r="N111"/>
    </row>
    <row r="112" spans="1:14" ht="28.5" customHeight="1" x14ac:dyDescent="0.25">
      <c r="A112" s="13" t="s">
        <v>20</v>
      </c>
      <c r="B112" s="10">
        <v>386</v>
      </c>
      <c r="C112" s="56">
        <f>C222*23</f>
        <v>1104000</v>
      </c>
      <c r="D112" s="56">
        <f t="shared" si="14"/>
        <v>15530</v>
      </c>
      <c r="E112" s="56">
        <f>(C112/B112)/2.4*M112</f>
        <v>1191.7098445595855</v>
      </c>
      <c r="F112" s="56">
        <f>F97</f>
        <v>0</v>
      </c>
      <c r="G112" s="56">
        <f>SUM(Tabela24162234399[[#This Row],[Salário Base Total (R$)]:[Média Valor Férias/H. Extras]])</f>
        <v>1120721.7098445597</v>
      </c>
      <c r="H112" s="61">
        <f>(G112-D112)*0.21</f>
        <v>232090.25906735752</v>
      </c>
      <c r="I112" s="56">
        <f>AVERAGE($I$52,$I$37,$I$22)</f>
        <v>15718.503333333334</v>
      </c>
      <c r="J112" s="56"/>
      <c r="K112" s="12">
        <f>IFERROR(E112*3/M112/30*10*1.333333*P112,0)</f>
        <v>0</v>
      </c>
      <c r="M112" s="4">
        <v>1</v>
      </c>
      <c r="N112"/>
    </row>
    <row r="113" spans="1:15" ht="28.5" customHeight="1" x14ac:dyDescent="0.25">
      <c r="A113" s="9" t="s">
        <v>21</v>
      </c>
      <c r="B113" s="10">
        <v>51</v>
      </c>
      <c r="C113" s="56">
        <f t="shared" si="14"/>
        <v>212398.22</v>
      </c>
      <c r="D113" s="56">
        <f t="shared" si="14"/>
        <v>82380.290000000008</v>
      </c>
      <c r="E113" s="56">
        <f>IF(O113=[1]Cálculo!$D$1,((C113+D113)/B113/3*M113)+$E$49/$M$49*N113,(C113+D113)/B113/3*M113)</f>
        <v>2320.4669281045753</v>
      </c>
      <c r="F113" s="56">
        <f>IF(O113=[1]Cálculo!$D$1,($F$49/$M$49*N113),0)</f>
        <v>1133.08</v>
      </c>
      <c r="G113" s="56">
        <f>SUM(Tabela24162234399[[#This Row],[Salário Base Total (R$)]:[Média Valor Férias/H. Extras]])</f>
        <v>298232.0569281046</v>
      </c>
      <c r="H113" s="61">
        <f>G113*0.21</f>
        <v>62628.731954901967</v>
      </c>
      <c r="I113" s="56">
        <f>AVERAGE($I$53,$I$38,$I$8)</f>
        <v>1346.9966666666667</v>
      </c>
      <c r="J113" s="56"/>
      <c r="K113" s="12">
        <f>IFERROR(IF(O113="não",IFERROR(E113*3/M113/30*10*1.333333*P113,0),(E113*3/(M113+N113))/30*10*1.333333*P113),0)</f>
        <v>0</v>
      </c>
      <c r="M113" s="27">
        <v>1</v>
      </c>
      <c r="N113">
        <v>1</v>
      </c>
      <c r="O113" t="s">
        <v>29</v>
      </c>
    </row>
    <row r="114" spans="1:15" ht="28.5" customHeight="1" x14ac:dyDescent="0.25">
      <c r="A114" s="9" t="s">
        <v>22</v>
      </c>
      <c r="B114" s="10">
        <v>9</v>
      </c>
      <c r="C114" s="56">
        <f t="shared" si="14"/>
        <v>5738.04</v>
      </c>
      <c r="D114" s="56">
        <f t="shared" si="14"/>
        <v>637.55999999999995</v>
      </c>
      <c r="E114" s="56">
        <f>E99</f>
        <v>0</v>
      </c>
      <c r="F114" s="56">
        <f>F99</f>
        <v>0</v>
      </c>
      <c r="G114" s="56">
        <f>SUM(Tabela24162234399[[#This Row],[Salário Base Total (R$)]:[Média Valor Férias/H. Extras]])</f>
        <v>6375.6</v>
      </c>
      <c r="H114" s="61">
        <f>G114*($H99/$G99)</f>
        <v>0</v>
      </c>
      <c r="I114" s="56"/>
      <c r="J114" s="56"/>
      <c r="K114" s="12">
        <f>IFERROR(E114*3/M114/30*10*1.333333*P114,0)</f>
        <v>0</v>
      </c>
      <c r="M114" s="4">
        <v>0</v>
      </c>
      <c r="N114"/>
    </row>
    <row r="115" spans="1:15" ht="28.5" customHeight="1" x14ac:dyDescent="0.25">
      <c r="A115" s="14" t="s">
        <v>23</v>
      </c>
      <c r="B115" s="15">
        <f t="shared" ref="B115:J115" si="15">SUBTOTAL(109,B109:B114)</f>
        <v>505</v>
      </c>
      <c r="C115" s="59">
        <f t="shared" si="15"/>
        <v>1881164.4602400002</v>
      </c>
      <c r="D115" s="59">
        <f t="shared" si="15"/>
        <v>204482.06999999998</v>
      </c>
      <c r="E115" s="59">
        <f t="shared" si="15"/>
        <v>3512.176772664161</v>
      </c>
      <c r="F115" s="59">
        <f t="shared" si="15"/>
        <v>1133.08</v>
      </c>
      <c r="G115" s="59">
        <f t="shared" si="15"/>
        <v>2090291.7870126646</v>
      </c>
      <c r="H115" s="59">
        <f t="shared" si="15"/>
        <v>430490.41077265947</v>
      </c>
      <c r="I115" s="59">
        <f t="shared" si="15"/>
        <v>17065.5</v>
      </c>
      <c r="J115" s="59">
        <f t="shared" si="15"/>
        <v>0</v>
      </c>
      <c r="K115" s="16">
        <f>SUBTOTAL(109,K109:K114)</f>
        <v>0</v>
      </c>
      <c r="M115" s="4"/>
      <c r="N115"/>
    </row>
    <row r="116" spans="1:15" ht="7.5" customHeight="1" x14ac:dyDescent="0.25">
      <c r="A116" s="18"/>
      <c r="B116" s="19"/>
      <c r="C116" s="62"/>
      <c r="D116" s="62"/>
      <c r="E116" s="62"/>
      <c r="F116" s="62"/>
      <c r="G116" s="62"/>
      <c r="H116" s="62"/>
      <c r="I116" s="62"/>
      <c r="J116" s="62"/>
      <c r="K116" s="20"/>
      <c r="L116" s="20"/>
    </row>
    <row r="117" spans="1:15" ht="15.75" x14ac:dyDescent="0.25">
      <c r="C117" s="63" t="s">
        <v>24</v>
      </c>
      <c r="D117" s="60">
        <f>G115</f>
        <v>2090291.7870126646</v>
      </c>
      <c r="E117" s="62"/>
      <c r="F117" s="62"/>
      <c r="G117" s="62"/>
      <c r="H117" s="63" t="s">
        <v>25</v>
      </c>
      <c r="I117" s="60">
        <f>H115/0.21</f>
        <v>2049954.3370126642</v>
      </c>
      <c r="J117" s="64"/>
      <c r="K117" s="26"/>
    </row>
    <row r="118" spans="1:15" ht="15.75" x14ac:dyDescent="0.25">
      <c r="C118" s="64"/>
      <c r="D118" s="64"/>
      <c r="E118" s="62"/>
      <c r="F118" s="64"/>
      <c r="G118" s="64"/>
      <c r="H118" s="63" t="s">
        <v>10</v>
      </c>
      <c r="I118" s="60">
        <f>I117*0.21</f>
        <v>430490.41077265947</v>
      </c>
      <c r="J118" s="64"/>
    </row>
    <row r="119" spans="1:15" ht="7.5" customHeight="1" x14ac:dyDescent="0.25">
      <c r="A119" s="24"/>
      <c r="B119" s="25"/>
      <c r="C119" s="65"/>
      <c r="D119" s="65"/>
      <c r="E119" s="65"/>
      <c r="F119" s="65"/>
      <c r="G119" s="65"/>
      <c r="H119" s="65"/>
      <c r="I119" s="65"/>
      <c r="J119" s="66"/>
      <c r="K119" s="23"/>
      <c r="L119" s="23"/>
    </row>
    <row r="120" spans="1:15" ht="7.5" customHeight="1" x14ac:dyDescent="0.25">
      <c r="C120" s="64"/>
      <c r="D120" s="64"/>
      <c r="E120" s="64"/>
      <c r="F120" s="64"/>
      <c r="G120" s="64"/>
      <c r="H120" s="64"/>
      <c r="I120" s="64"/>
      <c r="J120" s="64"/>
    </row>
    <row r="121" spans="1:15" ht="17.25" x14ac:dyDescent="0.3">
      <c r="A121" s="1" t="s">
        <v>0</v>
      </c>
      <c r="B121" s="2" t="s">
        <v>35</v>
      </c>
      <c r="C121" s="67"/>
      <c r="D121" s="70" t="s">
        <v>31</v>
      </c>
      <c r="E121" s="64"/>
      <c r="F121" s="64"/>
      <c r="G121" s="64"/>
      <c r="H121" s="64"/>
      <c r="I121" s="64"/>
      <c r="J121" s="64"/>
    </row>
    <row r="122" spans="1:15" ht="6.75" customHeight="1" x14ac:dyDescent="0.25">
      <c r="C122" s="64"/>
      <c r="D122" s="64"/>
      <c r="E122" s="64"/>
      <c r="F122" s="64"/>
      <c r="G122" s="64"/>
      <c r="H122" s="64"/>
      <c r="I122" s="64"/>
      <c r="J122" s="64"/>
    </row>
    <row r="123" spans="1:15" ht="30" customHeight="1" x14ac:dyDescent="0.25">
      <c r="A123" s="5" t="s">
        <v>3</v>
      </c>
      <c r="B123" s="6" t="s">
        <v>4</v>
      </c>
      <c r="C123" s="57" t="s">
        <v>5</v>
      </c>
      <c r="D123" s="57" t="s">
        <v>6</v>
      </c>
      <c r="E123" s="58" t="s">
        <v>7</v>
      </c>
      <c r="F123" s="58" t="s">
        <v>8</v>
      </c>
      <c r="G123" s="58" t="s">
        <v>9</v>
      </c>
      <c r="H123" s="57" t="s">
        <v>10</v>
      </c>
      <c r="I123" s="57" t="s">
        <v>11</v>
      </c>
      <c r="J123" s="57" t="s">
        <v>12</v>
      </c>
      <c r="K123" s="8" t="s">
        <v>13</v>
      </c>
      <c r="M123" s="4"/>
      <c r="N123"/>
    </row>
    <row r="124" spans="1:15" ht="28.5" customHeight="1" x14ac:dyDescent="0.25">
      <c r="A124" s="9" t="s">
        <v>17</v>
      </c>
      <c r="B124" s="10">
        <v>31</v>
      </c>
      <c r="C124" s="56">
        <f>C226</f>
        <v>86280.149279999998</v>
      </c>
      <c r="D124" s="56">
        <f t="shared" ref="D124" si="16">D109</f>
        <v>105934.21999999997</v>
      </c>
      <c r="E124" s="56">
        <f>(((C124+(0.95*D124))/B124/3*M124))</f>
        <v>0</v>
      </c>
      <c r="F124" s="56">
        <f>(D124*0.55/B124*M124)+($C$223/12/B124*M124)</f>
        <v>0</v>
      </c>
      <c r="G124" s="56">
        <f>SUM(Tabela241622344010[[#This Row],[Salário Base Total (R$)]:[Média Valor Férias/H. Extras]])</f>
        <v>192214.36927999998</v>
      </c>
      <c r="H124" s="61">
        <f>G124*0.21</f>
        <v>40365.017548799995</v>
      </c>
      <c r="I124" s="56"/>
      <c r="J124" s="56"/>
      <c r="K124" s="12">
        <f>IFERROR(E124*3/M124/30*10*1.333333*P124,0)</f>
        <v>0</v>
      </c>
      <c r="M124" s="4">
        <v>0</v>
      </c>
      <c r="N124"/>
    </row>
    <row r="125" spans="1:15" ht="28.5" customHeight="1" x14ac:dyDescent="0.25">
      <c r="A125" s="9" t="s">
        <v>18</v>
      </c>
      <c r="B125" s="10">
        <v>23</v>
      </c>
      <c r="C125" s="56">
        <f t="shared" ref="C125:D129" si="17">C110</f>
        <v>431086.93</v>
      </c>
      <c r="D125" s="56">
        <f t="shared" si="17"/>
        <v>0</v>
      </c>
      <c r="E125" s="56">
        <f>IF(B121="dezembro/2025",C125/3,0)</f>
        <v>0</v>
      </c>
      <c r="F125" s="56">
        <f>F110</f>
        <v>0</v>
      </c>
      <c r="G125" s="56">
        <f>SUM(Tabela241622344010[[#This Row],[Salário Base Total (R$)]:[Média Valor Férias/H. Extras]])</f>
        <v>431086.93</v>
      </c>
      <c r="H125" s="61">
        <f>G125*0.21</f>
        <v>90528.25529999999</v>
      </c>
      <c r="I125" s="56"/>
      <c r="J125" s="56"/>
      <c r="K125" s="12">
        <f>IFERROR(E125*3/M125/30*10*1.333333*P125,0)</f>
        <v>0</v>
      </c>
      <c r="M125" s="4"/>
      <c r="N125"/>
    </row>
    <row r="126" spans="1:15" ht="28.5" customHeight="1" x14ac:dyDescent="0.25">
      <c r="A126" s="13" t="s">
        <v>19</v>
      </c>
      <c r="B126" s="10">
        <v>5</v>
      </c>
      <c r="C126" s="56">
        <f t="shared" si="17"/>
        <v>18431.849999999999</v>
      </c>
      <c r="D126" s="56">
        <f t="shared" si="17"/>
        <v>0</v>
      </c>
      <c r="E126" s="56">
        <v>0</v>
      </c>
      <c r="F126" s="56">
        <f>F111</f>
        <v>0</v>
      </c>
      <c r="G126" s="56">
        <f>SUM(Tabela241622344010[[#This Row],[Salário Base Total (R$)]:[Média Valor Férias/H. Extras]])</f>
        <v>18431.849999999999</v>
      </c>
      <c r="H126" s="61">
        <v>0</v>
      </c>
      <c r="I126" s="56"/>
      <c r="J126" s="56"/>
      <c r="K126" s="12">
        <f>IFERROR(E126*3/M126/30*10*1.333333*P126,0)</f>
        <v>0</v>
      </c>
      <c r="M126" s="4"/>
      <c r="N126"/>
    </row>
    <row r="127" spans="1:15" ht="28.5" customHeight="1" x14ac:dyDescent="0.25">
      <c r="A127" s="13" t="s">
        <v>20</v>
      </c>
      <c r="B127" s="10">
        <v>386</v>
      </c>
      <c r="C127" s="56">
        <f>C222*23</f>
        <v>1104000</v>
      </c>
      <c r="D127" s="56">
        <f t="shared" si="17"/>
        <v>15530</v>
      </c>
      <c r="E127" s="56">
        <f>(C127/B127)/2.4*M127</f>
        <v>7150.2590673575123</v>
      </c>
      <c r="F127" s="56">
        <f>F112</f>
        <v>0</v>
      </c>
      <c r="G127" s="56">
        <f>SUM(Tabela241622344010[[#This Row],[Salário Base Total (R$)]:[Média Valor Férias/H. Extras]])</f>
        <v>1126680.2590673575</v>
      </c>
      <c r="H127" s="61">
        <f>(G127-D127)*0.21</f>
        <v>233341.55440414508</v>
      </c>
      <c r="I127" s="56">
        <f>AVERAGE($I$52,$I$37,$I$22)</f>
        <v>15718.503333333334</v>
      </c>
      <c r="J127" s="56"/>
      <c r="K127" s="12">
        <f>IFERROR(E127*3/M127/30*10*1.333333*P127,0)</f>
        <v>0</v>
      </c>
      <c r="M127" s="4">
        <v>6</v>
      </c>
      <c r="N127"/>
    </row>
    <row r="128" spans="1:15" ht="28.5" customHeight="1" x14ac:dyDescent="0.25">
      <c r="A128" s="9" t="s">
        <v>21</v>
      </c>
      <c r="B128" s="10">
        <v>51</v>
      </c>
      <c r="C128" s="56">
        <f t="shared" si="17"/>
        <v>212398.22</v>
      </c>
      <c r="D128" s="56">
        <f t="shared" si="17"/>
        <v>82380.290000000008</v>
      </c>
      <c r="E128" s="56">
        <f>IF(O128=[1]Cálculo!$D$1,((C128+D128)/B128/3*M128)+$E$49/$M$49*N128,(C128+D128)/B128/3*M128)</f>
        <v>0</v>
      </c>
      <c r="F128" s="56">
        <f>IF(O128=[1]Cálculo!$D$1,($F$49/$M$49*N128),0)</f>
        <v>0</v>
      </c>
      <c r="G128" s="56">
        <f>SUM(Tabela241622344010[[#This Row],[Salário Base Total (R$)]:[Média Valor Férias/H. Extras]])</f>
        <v>294778.51</v>
      </c>
      <c r="H128" s="61">
        <f>G128*0.21</f>
        <v>61903.487099999998</v>
      </c>
      <c r="I128" s="56">
        <f>AVERAGE($I$53,$I$38,$I$8)</f>
        <v>1346.9966666666667</v>
      </c>
      <c r="J128" s="56"/>
      <c r="K128" s="12">
        <f>IFERROR(IF(O128="não",IFERROR(E128*3/M128/30*10*1.333333*P128,0),(E128*3/(M128+N128))/30*10*1.333333*P128),0)</f>
        <v>0</v>
      </c>
      <c r="M128" s="4">
        <v>0</v>
      </c>
      <c r="N128"/>
    </row>
    <row r="129" spans="1:14" ht="28.5" customHeight="1" x14ac:dyDescent="0.25">
      <c r="A129" s="9" t="s">
        <v>22</v>
      </c>
      <c r="B129" s="10">
        <v>9</v>
      </c>
      <c r="C129" s="56">
        <f t="shared" si="17"/>
        <v>5738.04</v>
      </c>
      <c r="D129" s="56">
        <f t="shared" si="17"/>
        <v>637.55999999999995</v>
      </c>
      <c r="E129" s="56">
        <f>E114</f>
        <v>0</v>
      </c>
      <c r="F129" s="56">
        <f>F114</f>
        <v>0</v>
      </c>
      <c r="G129" s="56">
        <f>SUM(Tabela241622344010[[#This Row],[Salário Base Total (R$)]:[Média Valor Férias/H. Extras]])</f>
        <v>6375.6</v>
      </c>
      <c r="H129" s="61">
        <f>G129*($H114/$G114)</f>
        <v>0</v>
      </c>
      <c r="I129" s="56"/>
      <c r="J129" s="56"/>
      <c r="K129" s="12">
        <f>IFERROR(E129*3/M129/30*10*1.333333*P129,0)</f>
        <v>0</v>
      </c>
      <c r="M129" s="4">
        <v>0</v>
      </c>
      <c r="N129"/>
    </row>
    <row r="130" spans="1:14" ht="28.5" customHeight="1" x14ac:dyDescent="0.25">
      <c r="A130" s="14" t="s">
        <v>23</v>
      </c>
      <c r="B130" s="15">
        <f t="shared" ref="B130:J130" si="18">SUBTOTAL(109,B124:B129)</f>
        <v>505</v>
      </c>
      <c r="C130" s="59">
        <f t="shared" si="18"/>
        <v>1857935.18928</v>
      </c>
      <c r="D130" s="59">
        <f t="shared" si="18"/>
        <v>204482.06999999998</v>
      </c>
      <c r="E130" s="59">
        <f t="shared" si="18"/>
        <v>7150.2590673575123</v>
      </c>
      <c r="F130" s="59">
        <f t="shared" si="18"/>
        <v>0</v>
      </c>
      <c r="G130" s="59">
        <f t="shared" si="18"/>
        <v>2069567.5183473576</v>
      </c>
      <c r="H130" s="59">
        <f t="shared" si="18"/>
        <v>426138.31435294508</v>
      </c>
      <c r="I130" s="59">
        <f t="shared" si="18"/>
        <v>17065.5</v>
      </c>
      <c r="J130" s="59">
        <f t="shared" si="18"/>
        <v>0</v>
      </c>
      <c r="K130" s="16">
        <f>SUBTOTAL(109,K124:K129)</f>
        <v>0</v>
      </c>
      <c r="M130" s="4"/>
      <c r="N130"/>
    </row>
    <row r="131" spans="1:14" ht="7.5" customHeight="1" x14ac:dyDescent="0.25">
      <c r="A131" s="18"/>
      <c r="B131" s="19"/>
      <c r="C131" s="62"/>
      <c r="D131" s="62"/>
      <c r="E131" s="62"/>
      <c r="F131" s="62"/>
      <c r="G131" s="62"/>
      <c r="H131" s="62"/>
      <c r="I131" s="62"/>
      <c r="J131" s="62"/>
      <c r="K131" s="20"/>
      <c r="L131" s="20"/>
    </row>
    <row r="132" spans="1:14" ht="15.75" x14ac:dyDescent="0.25">
      <c r="C132" s="63" t="s">
        <v>24</v>
      </c>
      <c r="D132" s="60">
        <f>G130</f>
        <v>2069567.5183473576</v>
      </c>
      <c r="E132" s="62"/>
      <c r="F132" s="62"/>
      <c r="G132" s="62"/>
      <c r="H132" s="63" t="s">
        <v>25</v>
      </c>
      <c r="I132" s="60">
        <f>H130/0.21</f>
        <v>2029230.0683473577</v>
      </c>
      <c r="J132" s="64"/>
      <c r="K132" s="26"/>
    </row>
    <row r="133" spans="1:14" ht="15.75" x14ac:dyDescent="0.25">
      <c r="C133" s="64"/>
      <c r="D133" s="64"/>
      <c r="E133" s="62"/>
      <c r="F133" s="64"/>
      <c r="G133" s="64"/>
      <c r="H133" s="63" t="s">
        <v>10</v>
      </c>
      <c r="I133" s="60">
        <f>I132*0.21</f>
        <v>426138.31435294508</v>
      </c>
      <c r="J133" s="64"/>
    </row>
    <row r="134" spans="1:14" ht="7.5" customHeight="1" x14ac:dyDescent="0.25">
      <c r="A134" s="24"/>
      <c r="B134" s="25"/>
      <c r="C134" s="65"/>
      <c r="D134" s="65"/>
      <c r="E134" s="65"/>
      <c r="F134" s="65"/>
      <c r="G134" s="65"/>
      <c r="H134" s="65"/>
      <c r="I134" s="65"/>
      <c r="J134" s="66"/>
      <c r="K134" s="23"/>
      <c r="L134" s="23"/>
    </row>
    <row r="135" spans="1:14" ht="7.5" customHeight="1" x14ac:dyDescent="0.25">
      <c r="C135" s="64"/>
      <c r="D135" s="64"/>
      <c r="E135" s="64"/>
      <c r="F135" s="64"/>
      <c r="G135" s="64"/>
      <c r="H135" s="64"/>
      <c r="I135" s="64"/>
      <c r="J135" s="64"/>
    </row>
    <row r="136" spans="1:14" ht="17.25" x14ac:dyDescent="0.3">
      <c r="A136" s="1" t="s">
        <v>0</v>
      </c>
      <c r="B136" s="2" t="s">
        <v>36</v>
      </c>
      <c r="C136" s="67"/>
      <c r="D136" s="70" t="s">
        <v>31</v>
      </c>
      <c r="E136" s="64"/>
      <c r="F136" s="64"/>
      <c r="G136" s="64"/>
      <c r="H136" s="64"/>
      <c r="I136" s="64"/>
      <c r="J136" s="64"/>
    </row>
    <row r="137" spans="1:14" ht="6.75" customHeight="1" x14ac:dyDescent="0.25">
      <c r="C137" s="64"/>
      <c r="D137" s="64"/>
      <c r="E137" s="64"/>
      <c r="F137" s="64"/>
      <c r="G137" s="64"/>
      <c r="H137" s="64"/>
      <c r="I137" s="64"/>
      <c r="J137" s="64"/>
    </row>
    <row r="138" spans="1:14" ht="30" customHeight="1" x14ac:dyDescent="0.25">
      <c r="A138" s="5" t="s">
        <v>3</v>
      </c>
      <c r="B138" s="6" t="s">
        <v>4</v>
      </c>
      <c r="C138" s="57" t="s">
        <v>5</v>
      </c>
      <c r="D138" s="57" t="s">
        <v>6</v>
      </c>
      <c r="E138" s="58" t="s">
        <v>7</v>
      </c>
      <c r="F138" s="58" t="s">
        <v>8</v>
      </c>
      <c r="G138" s="58" t="s">
        <v>9</v>
      </c>
      <c r="H138" s="57" t="s">
        <v>10</v>
      </c>
      <c r="I138" s="57" t="s">
        <v>11</v>
      </c>
      <c r="J138" s="57" t="s">
        <v>12</v>
      </c>
      <c r="K138" s="8" t="s">
        <v>13</v>
      </c>
      <c r="M138" s="4"/>
      <c r="N138"/>
    </row>
    <row r="139" spans="1:14" ht="28.5" customHeight="1" x14ac:dyDescent="0.25">
      <c r="A139" s="9" t="s">
        <v>17</v>
      </c>
      <c r="B139" s="10">
        <v>31</v>
      </c>
      <c r="C139" s="56">
        <f>C226</f>
        <v>86280.149279999998</v>
      </c>
      <c r="D139" s="56">
        <f t="shared" ref="D139" si="19">D124</f>
        <v>105934.21999999997</v>
      </c>
      <c r="E139" s="56">
        <f>(((C139+(0.95*D139))/B139/3*M139))</f>
        <v>4019.734586666666</v>
      </c>
      <c r="F139" s="56">
        <f>(D139*0.55/B139*M139)+($C$223/12/B139*M139)</f>
        <v>3984.7626451612896</v>
      </c>
      <c r="G139" s="56">
        <f>SUM(Tabela241622344111[[#This Row],[Salário Base Total (R$)]:[Média Valor Férias/H. Extras]])</f>
        <v>200218.86651182795</v>
      </c>
      <c r="H139" s="61">
        <f>G139*0.21</f>
        <v>42045.961967483869</v>
      </c>
      <c r="I139" s="56"/>
      <c r="J139" s="56"/>
      <c r="K139" s="12">
        <f>IFERROR(E139*3/M139/30*10*1.333333*P139,0)</f>
        <v>0</v>
      </c>
      <c r="M139" s="4">
        <v>2</v>
      </c>
      <c r="N139"/>
    </row>
    <row r="140" spans="1:14" ht="28.5" customHeight="1" x14ac:dyDescent="0.25">
      <c r="A140" s="9" t="s">
        <v>18</v>
      </c>
      <c r="B140" s="10">
        <v>23</v>
      </c>
      <c r="C140" s="56">
        <f t="shared" ref="C140:D144" si="20">C125</f>
        <v>431086.93</v>
      </c>
      <c r="D140" s="56">
        <f t="shared" si="20"/>
        <v>0</v>
      </c>
      <c r="E140" s="56">
        <f>IF(B136="dezembro/2025",C140/3,0)</f>
        <v>0</v>
      </c>
      <c r="F140" s="56">
        <f>F125</f>
        <v>0</v>
      </c>
      <c r="G140" s="56">
        <f>SUM(Tabela241622344111[[#This Row],[Salário Base Total (R$)]:[Média Valor Férias/H. Extras]])</f>
        <v>431086.93</v>
      </c>
      <c r="H140" s="61">
        <f>G140*0.21</f>
        <v>90528.25529999999</v>
      </c>
      <c r="I140" s="56"/>
      <c r="J140" s="56"/>
      <c r="K140" s="12">
        <f>IFERROR(E140*3/M140/30*10*1.333333*P140,0)</f>
        <v>0</v>
      </c>
      <c r="M140" s="4"/>
      <c r="N140"/>
    </row>
    <row r="141" spans="1:14" ht="28.5" customHeight="1" x14ac:dyDescent="0.25">
      <c r="A141" s="13" t="s">
        <v>19</v>
      </c>
      <c r="B141" s="10">
        <v>5</v>
      </c>
      <c r="C141" s="56">
        <f t="shared" si="20"/>
        <v>18431.849999999999</v>
      </c>
      <c r="D141" s="56">
        <f t="shared" si="20"/>
        <v>0</v>
      </c>
      <c r="E141" s="56">
        <v>0</v>
      </c>
      <c r="F141" s="56">
        <f>F126</f>
        <v>0</v>
      </c>
      <c r="G141" s="56">
        <f>SUM(Tabela241622344111[[#This Row],[Salário Base Total (R$)]:[Média Valor Férias/H. Extras]])</f>
        <v>18431.849999999999</v>
      </c>
      <c r="H141" s="61">
        <v>0</v>
      </c>
      <c r="I141" s="56"/>
      <c r="J141" s="56"/>
      <c r="K141" s="12">
        <f>IFERROR(E141*3/M141/30*10*1.333333*P141,0)</f>
        <v>0</v>
      </c>
      <c r="M141" s="4"/>
      <c r="N141"/>
    </row>
    <row r="142" spans="1:14" ht="28.5" customHeight="1" x14ac:dyDescent="0.25">
      <c r="A142" s="13" t="s">
        <v>20</v>
      </c>
      <c r="B142" s="10">
        <v>386</v>
      </c>
      <c r="C142" s="56">
        <f>C222*23</f>
        <v>1104000</v>
      </c>
      <c r="D142" s="56">
        <f t="shared" si="20"/>
        <v>15530</v>
      </c>
      <c r="E142" s="56">
        <f>(C142/B142)/2.4*M142</f>
        <v>4766.8393782383419</v>
      </c>
      <c r="F142" s="56">
        <f>F127</f>
        <v>0</v>
      </c>
      <c r="G142" s="56">
        <f>SUM(Tabela241622344111[[#This Row],[Salário Base Total (R$)]:[Média Valor Férias/H. Extras]])</f>
        <v>1124296.8393782384</v>
      </c>
      <c r="H142" s="61">
        <f>(G142-D142)*0.21</f>
        <v>232841.03626943007</v>
      </c>
      <c r="I142" s="56">
        <f>AVERAGE($I$52,$I$37,$I$22)</f>
        <v>15718.503333333334</v>
      </c>
      <c r="J142" s="56"/>
      <c r="K142" s="12">
        <f>IFERROR(E142*3/M142/30*10*1.333333*P142,0)</f>
        <v>0</v>
      </c>
      <c r="M142" s="4">
        <v>4</v>
      </c>
      <c r="N142"/>
    </row>
    <row r="143" spans="1:14" ht="28.5" customHeight="1" x14ac:dyDescent="0.25">
      <c r="A143" s="9" t="s">
        <v>21</v>
      </c>
      <c r="B143" s="10">
        <v>51</v>
      </c>
      <c r="C143" s="56">
        <f t="shared" si="20"/>
        <v>212398.22</v>
      </c>
      <c r="D143" s="56">
        <f t="shared" si="20"/>
        <v>82380.290000000008</v>
      </c>
      <c r="E143" s="56">
        <f>IF(O143=[1]Cálculo!$D$1,((C143+D143)/B143/3*M143)+$E$49/$M$49*N143,(C143+D143)/B143/3*M143)</f>
        <v>0</v>
      </c>
      <c r="F143" s="56">
        <f>IF(O143=[1]Cálculo!$D$1,($F$49/$M$49*N143),0)</f>
        <v>0</v>
      </c>
      <c r="G143" s="56">
        <f>SUM(Tabela241622344111[[#This Row],[Salário Base Total (R$)]:[Média Valor Férias/H. Extras]])</f>
        <v>294778.51</v>
      </c>
      <c r="H143" s="61">
        <f>G143*0.21</f>
        <v>61903.487099999998</v>
      </c>
      <c r="I143" s="56">
        <f>AVERAGE($I$53,$I$38,$I$8)</f>
        <v>1346.9966666666667</v>
      </c>
      <c r="J143" s="56"/>
      <c r="K143" s="12">
        <f>IFERROR(IF(O143="não",IFERROR(E143*3/M143/30*10*1.333333*P143,0),(E143*3/(M143+N143))/30*10*1.333333*P143),0)</f>
        <v>0</v>
      </c>
      <c r="M143" s="4">
        <v>0</v>
      </c>
      <c r="N143"/>
    </row>
    <row r="144" spans="1:14" ht="28.5" customHeight="1" x14ac:dyDescent="0.25">
      <c r="A144" s="9" t="s">
        <v>22</v>
      </c>
      <c r="B144" s="10">
        <v>9</v>
      </c>
      <c r="C144" s="56">
        <f t="shared" si="20"/>
        <v>5738.04</v>
      </c>
      <c r="D144" s="56">
        <f t="shared" si="20"/>
        <v>637.55999999999995</v>
      </c>
      <c r="E144" s="56">
        <f>E129</f>
        <v>0</v>
      </c>
      <c r="F144" s="56">
        <f>F129</f>
        <v>0</v>
      </c>
      <c r="G144" s="56">
        <f>SUM(Tabela241622344111[[#This Row],[Salário Base Total (R$)]:[Média Valor Férias/H. Extras]])</f>
        <v>6375.6</v>
      </c>
      <c r="H144" s="61">
        <f>G144*($H129/$G129)</f>
        <v>0</v>
      </c>
      <c r="I144" s="56"/>
      <c r="J144" s="56"/>
      <c r="K144" s="12">
        <f>IFERROR(E144*3/M144/30*10*1.333333*P144,0)</f>
        <v>0</v>
      </c>
      <c r="M144" s="4">
        <v>1</v>
      </c>
      <c r="N144"/>
    </row>
    <row r="145" spans="1:14" ht="28.5" customHeight="1" x14ac:dyDescent="0.25">
      <c r="A145" s="14" t="s">
        <v>23</v>
      </c>
      <c r="B145" s="15">
        <f t="shared" ref="B145:J145" si="21">SUBTOTAL(109,B139:B144)</f>
        <v>505</v>
      </c>
      <c r="C145" s="59">
        <f t="shared" si="21"/>
        <v>1857935.18928</v>
      </c>
      <c r="D145" s="59">
        <f t="shared" si="21"/>
        <v>204482.06999999998</v>
      </c>
      <c r="E145" s="59">
        <f t="shared" si="21"/>
        <v>8786.5739649050083</v>
      </c>
      <c r="F145" s="59">
        <f t="shared" si="21"/>
        <v>3984.7626451612896</v>
      </c>
      <c r="G145" s="59">
        <f t="shared" si="21"/>
        <v>2075188.5958900664</v>
      </c>
      <c r="H145" s="59">
        <f t="shared" si="21"/>
        <v>427318.74063691392</v>
      </c>
      <c r="I145" s="59">
        <f t="shared" si="21"/>
        <v>17065.5</v>
      </c>
      <c r="J145" s="59">
        <f t="shared" si="21"/>
        <v>0</v>
      </c>
      <c r="K145" s="16">
        <f>SUBTOTAL(109,K139:K144)</f>
        <v>0</v>
      </c>
      <c r="M145" s="4"/>
      <c r="N145"/>
    </row>
    <row r="146" spans="1:14" ht="7.5" customHeight="1" x14ac:dyDescent="0.25">
      <c r="A146" s="18"/>
      <c r="B146" s="19"/>
      <c r="C146" s="62"/>
      <c r="D146" s="62"/>
      <c r="E146" s="62"/>
      <c r="F146" s="62"/>
      <c r="G146" s="62"/>
      <c r="H146" s="62"/>
      <c r="I146" s="62"/>
      <c r="J146" s="62"/>
      <c r="K146" s="20"/>
      <c r="L146" s="20"/>
    </row>
    <row r="147" spans="1:14" ht="15.75" x14ac:dyDescent="0.25">
      <c r="C147" s="63" t="s">
        <v>24</v>
      </c>
      <c r="D147" s="60">
        <f>G145</f>
        <v>2075188.5958900664</v>
      </c>
      <c r="E147" s="62"/>
      <c r="F147" s="62"/>
      <c r="G147" s="62"/>
      <c r="H147" s="63" t="s">
        <v>25</v>
      </c>
      <c r="I147" s="60">
        <f>H145/0.21</f>
        <v>2034851.1458900664</v>
      </c>
      <c r="J147" s="64"/>
      <c r="K147" s="26"/>
    </row>
    <row r="148" spans="1:14" ht="15.75" x14ac:dyDescent="0.25">
      <c r="C148" s="64"/>
      <c r="D148" s="64"/>
      <c r="E148" s="62"/>
      <c r="F148" s="64"/>
      <c r="G148" s="64"/>
      <c r="H148" s="63" t="s">
        <v>10</v>
      </c>
      <c r="I148" s="60">
        <f>I147*0.21</f>
        <v>427318.74063691392</v>
      </c>
      <c r="J148" s="64"/>
    </row>
    <row r="149" spans="1:14" ht="7.5" customHeight="1" x14ac:dyDescent="0.25">
      <c r="A149" s="24"/>
      <c r="B149" s="25"/>
      <c r="C149" s="65"/>
      <c r="D149" s="65"/>
      <c r="E149" s="65"/>
      <c r="F149" s="65"/>
      <c r="G149" s="65"/>
      <c r="H149" s="65"/>
      <c r="I149" s="65"/>
      <c r="J149" s="66"/>
      <c r="K149" s="23"/>
      <c r="L149" s="23"/>
    </row>
    <row r="150" spans="1:14" ht="7.5" customHeight="1" x14ac:dyDescent="0.25">
      <c r="C150" s="64"/>
      <c r="D150" s="64"/>
      <c r="E150" s="64"/>
      <c r="F150" s="64"/>
      <c r="G150" s="64"/>
      <c r="H150" s="64"/>
      <c r="I150" s="64"/>
      <c r="J150" s="64"/>
    </row>
    <row r="151" spans="1:14" ht="17.25" x14ac:dyDescent="0.3">
      <c r="A151" s="1" t="s">
        <v>0</v>
      </c>
      <c r="B151" s="2" t="s">
        <v>37</v>
      </c>
      <c r="C151" s="67"/>
      <c r="D151" s="70" t="s">
        <v>31</v>
      </c>
      <c r="E151" s="64"/>
      <c r="F151" s="64"/>
      <c r="G151" s="64"/>
      <c r="H151" s="64"/>
      <c r="I151" s="64"/>
      <c r="J151" s="64"/>
    </row>
    <row r="152" spans="1:14" ht="6.75" customHeight="1" x14ac:dyDescent="0.25">
      <c r="C152" s="64"/>
      <c r="D152" s="64"/>
      <c r="E152" s="64"/>
      <c r="F152" s="64"/>
      <c r="G152" s="64"/>
      <c r="H152" s="64"/>
      <c r="I152" s="64"/>
      <c r="J152" s="64"/>
    </row>
    <row r="153" spans="1:14" ht="30" customHeight="1" x14ac:dyDescent="0.25">
      <c r="A153" s="5" t="s">
        <v>3</v>
      </c>
      <c r="B153" s="6" t="s">
        <v>4</v>
      </c>
      <c r="C153" s="57" t="s">
        <v>5</v>
      </c>
      <c r="D153" s="57" t="s">
        <v>6</v>
      </c>
      <c r="E153" s="58" t="s">
        <v>7</v>
      </c>
      <c r="F153" s="58" t="s">
        <v>8</v>
      </c>
      <c r="G153" s="58" t="s">
        <v>9</v>
      </c>
      <c r="H153" s="57" t="s">
        <v>10</v>
      </c>
      <c r="I153" s="57" t="s">
        <v>11</v>
      </c>
      <c r="J153" s="57" t="s">
        <v>12</v>
      </c>
      <c r="K153" s="8" t="s">
        <v>13</v>
      </c>
      <c r="M153" s="4"/>
      <c r="N153"/>
    </row>
    <row r="154" spans="1:14" ht="28.5" customHeight="1" x14ac:dyDescent="0.25">
      <c r="A154" s="9" t="s">
        <v>17</v>
      </c>
      <c r="B154" s="10">
        <v>31</v>
      </c>
      <c r="C154" s="56">
        <f>C226</f>
        <v>86280.149279999998</v>
      </c>
      <c r="D154" s="56">
        <f t="shared" ref="D154" si="22">D139</f>
        <v>105934.21999999997</v>
      </c>
      <c r="E154" s="56">
        <f>(((C154+(0.95*D154))/B154/3*M154))</f>
        <v>0</v>
      </c>
      <c r="F154" s="56">
        <f>(D154*0.55/B154*M154)+($C$223/12/B154*M154)</f>
        <v>0</v>
      </c>
      <c r="G154" s="56">
        <f>SUM(Tabela241622344212[[#This Row],[Salário Base Total (R$)]:[Média Valor Férias/H. Extras]])</f>
        <v>192214.36927999998</v>
      </c>
      <c r="H154" s="61">
        <f>G154*0.21</f>
        <v>40365.017548799995</v>
      </c>
      <c r="I154" s="56"/>
      <c r="J154" s="56"/>
      <c r="K154" s="12">
        <f>IFERROR(E154*3/M154/30*10*1.333333*P154,0)</f>
        <v>0</v>
      </c>
      <c r="M154" s="4">
        <v>0</v>
      </c>
      <c r="N154"/>
    </row>
    <row r="155" spans="1:14" ht="28.5" customHeight="1" x14ac:dyDescent="0.25">
      <c r="A155" s="9" t="s">
        <v>18</v>
      </c>
      <c r="B155" s="10">
        <v>23</v>
      </c>
      <c r="C155" s="56">
        <f t="shared" ref="C155:D159" si="23">C140</f>
        <v>431086.93</v>
      </c>
      <c r="D155" s="56">
        <f t="shared" si="23"/>
        <v>0</v>
      </c>
      <c r="E155" s="56">
        <f>IF(B151="dezembro/2025",C155/3,0)</f>
        <v>0</v>
      </c>
      <c r="F155" s="56">
        <f>F140</f>
        <v>0</v>
      </c>
      <c r="G155" s="56">
        <f>SUM(Tabela241622344212[[#This Row],[Salário Base Total (R$)]:[Média Valor Férias/H. Extras]])</f>
        <v>431086.93</v>
      </c>
      <c r="H155" s="61">
        <f>G155*0.21</f>
        <v>90528.25529999999</v>
      </c>
      <c r="I155" s="56"/>
      <c r="J155" s="56"/>
      <c r="K155" s="12">
        <f>IFERROR(E155*3/M155/30*10*1.333333*P155,0)</f>
        <v>0</v>
      </c>
      <c r="M155" s="4"/>
      <c r="N155"/>
    </row>
    <row r="156" spans="1:14" ht="28.5" customHeight="1" x14ac:dyDescent="0.25">
      <c r="A156" s="13" t="s">
        <v>19</v>
      </c>
      <c r="B156" s="10">
        <v>5</v>
      </c>
      <c r="C156" s="56">
        <f t="shared" si="23"/>
        <v>18431.849999999999</v>
      </c>
      <c r="D156" s="56">
        <f t="shared" si="23"/>
        <v>0</v>
      </c>
      <c r="E156" s="56">
        <v>0</v>
      </c>
      <c r="F156" s="56">
        <f>F141</f>
        <v>0</v>
      </c>
      <c r="G156" s="56">
        <f>SUM(Tabela241622344212[[#This Row],[Salário Base Total (R$)]:[Média Valor Férias/H. Extras]])</f>
        <v>18431.849999999999</v>
      </c>
      <c r="H156" s="61">
        <v>0</v>
      </c>
      <c r="I156" s="56"/>
      <c r="J156" s="56"/>
      <c r="K156" s="12">
        <f>IFERROR(E156*3/M156/30*10*1.333333*P156,0)</f>
        <v>0</v>
      </c>
      <c r="M156" s="4"/>
      <c r="N156"/>
    </row>
    <row r="157" spans="1:14" ht="28.5" customHeight="1" x14ac:dyDescent="0.25">
      <c r="A157" s="13" t="s">
        <v>20</v>
      </c>
      <c r="B157" s="10">
        <v>386</v>
      </c>
      <c r="C157" s="56">
        <f>C222*23</f>
        <v>1104000</v>
      </c>
      <c r="D157" s="56">
        <f t="shared" si="23"/>
        <v>15530</v>
      </c>
      <c r="E157" s="56">
        <f>(C157/B157)/2.4*M157</f>
        <v>2383.4196891191709</v>
      </c>
      <c r="F157" s="56">
        <f>F142</f>
        <v>0</v>
      </c>
      <c r="G157" s="56">
        <f>SUM(Tabela241622344212[[#This Row],[Salário Base Total (R$)]:[Média Valor Férias/H. Extras]])</f>
        <v>1121913.4196891191</v>
      </c>
      <c r="H157" s="61">
        <f>(G157-D157)*0.21</f>
        <v>232340.51813471501</v>
      </c>
      <c r="I157" s="56">
        <f>AVERAGE($I$52,$I$37,$I$22)</f>
        <v>15718.503333333334</v>
      </c>
      <c r="J157" s="56"/>
      <c r="K157" s="12">
        <f>IFERROR(E157*3/M157/30*10*1.333333*P157,0)</f>
        <v>0</v>
      </c>
      <c r="M157" s="4">
        <v>2</v>
      </c>
      <c r="N157"/>
    </row>
    <row r="158" spans="1:14" ht="28.5" customHeight="1" x14ac:dyDescent="0.25">
      <c r="A158" s="9" t="s">
        <v>21</v>
      </c>
      <c r="B158" s="10">
        <v>51</v>
      </c>
      <c r="C158" s="56">
        <f t="shared" si="23"/>
        <v>212398.22</v>
      </c>
      <c r="D158" s="56">
        <f t="shared" si="23"/>
        <v>82380.290000000008</v>
      </c>
      <c r="E158" s="56">
        <f>IF(O158=[1]Cálculo!$D$1,((C158+D158)/B158/3*M158)+$E$49/$M$49*N158,(C158+D158)/B158/3*M158)</f>
        <v>0</v>
      </c>
      <c r="F158" s="56">
        <f>IF(O158=[1]Cálculo!$D$1,($F$49/$M$49*N158),0)</f>
        <v>0</v>
      </c>
      <c r="G158" s="56">
        <f>SUM(Tabela241622344212[[#This Row],[Salário Base Total (R$)]:[Média Valor Férias/H. Extras]])</f>
        <v>294778.51</v>
      </c>
      <c r="H158" s="61">
        <f>G158*0.21</f>
        <v>61903.487099999998</v>
      </c>
      <c r="I158" s="56">
        <f>AVERAGE($I$53,$I$38,$I$8)</f>
        <v>1346.9966666666667</v>
      </c>
      <c r="J158" s="56"/>
      <c r="K158" s="12">
        <f>IFERROR(IF(O158="não",IFERROR(E158*3/M158/30*10*1.333333*P158,0),(E158*3/(M158+N158))/30*10*1.333333*P158),0)</f>
        <v>0</v>
      </c>
      <c r="M158" s="4">
        <v>0</v>
      </c>
      <c r="N158"/>
    </row>
    <row r="159" spans="1:14" ht="28.5" customHeight="1" x14ac:dyDescent="0.25">
      <c r="A159" s="9" t="s">
        <v>22</v>
      </c>
      <c r="B159" s="10">
        <v>9</v>
      </c>
      <c r="C159" s="56">
        <f t="shared" si="23"/>
        <v>5738.04</v>
      </c>
      <c r="D159" s="56">
        <f t="shared" si="23"/>
        <v>637.55999999999995</v>
      </c>
      <c r="E159" s="56">
        <f>E144</f>
        <v>0</v>
      </c>
      <c r="F159" s="56">
        <f>F144</f>
        <v>0</v>
      </c>
      <c r="G159" s="56">
        <f>SUM(Tabela241622344212[[#This Row],[Salário Base Total (R$)]:[Média Valor Férias/H. Extras]])</f>
        <v>6375.6</v>
      </c>
      <c r="H159" s="61">
        <f>G159*($H144/$G144)</f>
        <v>0</v>
      </c>
      <c r="I159" s="56"/>
      <c r="J159" s="56"/>
      <c r="K159" s="12">
        <f>IFERROR(E159*3/M159/30*10*1.333333*P159,0)</f>
        <v>0</v>
      </c>
      <c r="M159" s="4">
        <v>2</v>
      </c>
      <c r="N159"/>
    </row>
    <row r="160" spans="1:14" ht="28.5" customHeight="1" x14ac:dyDescent="0.25">
      <c r="A160" s="14" t="s">
        <v>23</v>
      </c>
      <c r="B160" s="15">
        <f t="shared" ref="B160:F160" si="24">SUBTOTAL(109,B154:B159)</f>
        <v>505</v>
      </c>
      <c r="C160" s="59">
        <f t="shared" si="24"/>
        <v>1857935.18928</v>
      </c>
      <c r="D160" s="59">
        <f t="shared" si="24"/>
        <v>204482.06999999998</v>
      </c>
      <c r="E160" s="59">
        <f t="shared" si="24"/>
        <v>2383.4196891191709</v>
      </c>
      <c r="F160" s="59">
        <f t="shared" si="24"/>
        <v>0</v>
      </c>
      <c r="G160" s="59">
        <f>SUBTOTAL(109,G154:G159)</f>
        <v>2064800.678969119</v>
      </c>
      <c r="H160" s="59">
        <f t="shared" ref="H160:J160" si="25">SUBTOTAL(109,H154:H159)</f>
        <v>425137.278083515</v>
      </c>
      <c r="I160" s="59">
        <f t="shared" si="25"/>
        <v>17065.5</v>
      </c>
      <c r="J160" s="59">
        <f t="shared" si="25"/>
        <v>0</v>
      </c>
      <c r="K160" s="16">
        <f>SUBTOTAL(109,K154:K159)</f>
        <v>0</v>
      </c>
      <c r="M160" s="4"/>
      <c r="N160"/>
    </row>
    <row r="161" spans="1:15" ht="7.5" customHeight="1" x14ac:dyDescent="0.25">
      <c r="A161" s="18"/>
      <c r="B161" s="19"/>
      <c r="C161" s="62"/>
      <c r="D161" s="62"/>
      <c r="E161" s="62"/>
      <c r="F161" s="62"/>
      <c r="G161" s="62"/>
      <c r="H161" s="62"/>
      <c r="I161" s="62"/>
      <c r="J161" s="62"/>
      <c r="K161" s="20"/>
      <c r="L161" s="20"/>
    </row>
    <row r="162" spans="1:15" ht="15.75" x14ac:dyDescent="0.25">
      <c r="C162" s="63" t="s">
        <v>24</v>
      </c>
      <c r="D162" s="60">
        <f>G160</f>
        <v>2064800.678969119</v>
      </c>
      <c r="E162" s="62"/>
      <c r="F162" s="62"/>
      <c r="G162" s="62"/>
      <c r="H162" s="63" t="s">
        <v>25</v>
      </c>
      <c r="I162" s="60">
        <f>H160/0.21</f>
        <v>2024463.2289691193</v>
      </c>
      <c r="J162" s="64"/>
      <c r="K162" s="26"/>
    </row>
    <row r="163" spans="1:15" ht="15.75" x14ac:dyDescent="0.25">
      <c r="C163" s="64"/>
      <c r="D163" s="64"/>
      <c r="E163" s="62"/>
      <c r="F163" s="64"/>
      <c r="G163" s="64"/>
      <c r="H163" s="63" t="s">
        <v>10</v>
      </c>
      <c r="I163" s="60">
        <f>I162*0.21</f>
        <v>425137.278083515</v>
      </c>
      <c r="J163" s="64"/>
    </row>
    <row r="164" spans="1:15" ht="7.5" customHeight="1" x14ac:dyDescent="0.25">
      <c r="A164" s="24"/>
      <c r="B164" s="25"/>
      <c r="C164" s="65"/>
      <c r="D164" s="65"/>
      <c r="E164" s="65"/>
      <c r="F164" s="65"/>
      <c r="G164" s="65"/>
      <c r="H164" s="65"/>
      <c r="I164" s="65"/>
      <c r="J164" s="66"/>
      <c r="K164" s="23"/>
      <c r="L164" s="23"/>
    </row>
    <row r="165" spans="1:15" ht="7.5" customHeight="1" x14ac:dyDescent="0.25">
      <c r="C165" s="64"/>
      <c r="D165" s="64"/>
      <c r="E165" s="64"/>
      <c r="F165" s="64"/>
      <c r="G165" s="64"/>
      <c r="H165" s="64"/>
      <c r="I165" s="64"/>
      <c r="J165" s="64"/>
    </row>
    <row r="166" spans="1:15" ht="17.25" x14ac:dyDescent="0.3">
      <c r="A166" s="1" t="s">
        <v>0</v>
      </c>
      <c r="B166" s="2" t="s">
        <v>38</v>
      </c>
      <c r="C166" s="67"/>
      <c r="D166" s="70" t="s">
        <v>31</v>
      </c>
      <c r="E166" s="64"/>
      <c r="F166" s="64"/>
      <c r="G166" s="64"/>
      <c r="H166" s="64"/>
      <c r="I166" s="64"/>
      <c r="J166" s="64"/>
    </row>
    <row r="167" spans="1:15" ht="6.75" customHeight="1" x14ac:dyDescent="0.25">
      <c r="C167" s="64"/>
      <c r="D167" s="64"/>
      <c r="E167" s="64"/>
      <c r="F167" s="64"/>
      <c r="G167" s="64"/>
      <c r="H167" s="64"/>
      <c r="I167" s="64"/>
      <c r="J167" s="64"/>
    </row>
    <row r="168" spans="1:15" ht="30" customHeight="1" x14ac:dyDescent="0.25">
      <c r="A168" s="5" t="s">
        <v>3</v>
      </c>
      <c r="B168" s="6" t="s">
        <v>4</v>
      </c>
      <c r="C168" s="57" t="s">
        <v>5</v>
      </c>
      <c r="D168" s="57" t="s">
        <v>6</v>
      </c>
      <c r="E168" s="58" t="s">
        <v>7</v>
      </c>
      <c r="F168" s="58" t="s">
        <v>8</v>
      </c>
      <c r="G168" s="58" t="s">
        <v>9</v>
      </c>
      <c r="H168" s="57" t="s">
        <v>10</v>
      </c>
      <c r="I168" s="57" t="s">
        <v>11</v>
      </c>
      <c r="J168" s="57" t="s">
        <v>12</v>
      </c>
      <c r="K168" s="8" t="s">
        <v>13</v>
      </c>
      <c r="M168" s="4"/>
      <c r="N168"/>
    </row>
    <row r="169" spans="1:15" ht="28.5" customHeight="1" x14ac:dyDescent="0.25">
      <c r="A169" s="9" t="s">
        <v>17</v>
      </c>
      <c r="B169" s="10">
        <v>31</v>
      </c>
      <c r="C169" s="56">
        <f>C226</f>
        <v>86280.149279999998</v>
      </c>
      <c r="D169" s="56">
        <f t="shared" ref="D169" si="26">D154</f>
        <v>105934.21999999997</v>
      </c>
      <c r="E169" s="56">
        <f>(((C169+(0.95*D169))/B169/3*M169))</f>
        <v>4019.734586666666</v>
      </c>
      <c r="F169" s="56">
        <f>(D169*0.55/B169*M169)+($C$223/12/B169*M169)</f>
        <v>3984.7626451612896</v>
      </c>
      <c r="G169" s="56">
        <f>SUM(Tabela241622344313[[#This Row],[Salário Base Total (R$)]:[Média Valor Férias/H. Extras]])</f>
        <v>200218.86651182795</v>
      </c>
      <c r="H169" s="61">
        <f>G169*0.21</f>
        <v>42045.961967483869</v>
      </c>
      <c r="I169" s="56"/>
      <c r="J169" s="56"/>
      <c r="K169" s="12">
        <f>IFERROR(E169*3/M169/30*10*1.333333*P169,0)</f>
        <v>0</v>
      </c>
      <c r="M169" s="4">
        <v>2</v>
      </c>
      <c r="N169"/>
    </row>
    <row r="170" spans="1:15" ht="28.5" customHeight="1" x14ac:dyDescent="0.25">
      <c r="A170" s="9" t="s">
        <v>18</v>
      </c>
      <c r="B170" s="10">
        <v>23</v>
      </c>
      <c r="C170" s="56">
        <f t="shared" ref="C170:D174" si="27">C155</f>
        <v>431086.93</v>
      </c>
      <c r="D170" s="56">
        <f t="shared" si="27"/>
        <v>0</v>
      </c>
      <c r="E170" s="56">
        <f>IF(B166="dezembro/2025",C170/3,0)</f>
        <v>143695.64333333334</v>
      </c>
      <c r="F170" s="56">
        <f>F155</f>
        <v>0</v>
      </c>
      <c r="G170" s="56">
        <f>SUM(Tabela241622344313[[#This Row],[Salário Base Total (R$)]:[Média Valor Férias/H. Extras]])</f>
        <v>574782.57333333336</v>
      </c>
      <c r="H170" s="61">
        <f>G170*0.21</f>
        <v>120704.3404</v>
      </c>
      <c r="I170" s="56"/>
      <c r="J170" s="56"/>
      <c r="K170" s="12">
        <f>IFERROR(E170*3/M170/30*10*1.333333*P170,0)</f>
        <v>0</v>
      </c>
      <c r="M170" s="4"/>
      <c r="N170"/>
    </row>
    <row r="171" spans="1:15" ht="28.5" customHeight="1" x14ac:dyDescent="0.25">
      <c r="A171" s="13" t="s">
        <v>19</v>
      </c>
      <c r="B171" s="10">
        <v>5</v>
      </c>
      <c r="C171" s="56">
        <f t="shared" si="27"/>
        <v>18431.849999999999</v>
      </c>
      <c r="D171" s="56">
        <f t="shared" si="27"/>
        <v>0</v>
      </c>
      <c r="E171" s="56">
        <v>0</v>
      </c>
      <c r="F171" s="56">
        <f>F156</f>
        <v>0</v>
      </c>
      <c r="G171" s="56">
        <f>SUM(Tabela241622344313[[#This Row],[Salário Base Total (R$)]:[Média Valor Férias/H. Extras]])</f>
        <v>18431.849999999999</v>
      </c>
      <c r="H171" s="61">
        <v>0</v>
      </c>
      <c r="I171" s="56"/>
      <c r="J171" s="56"/>
      <c r="K171" s="12">
        <f>IFERROR(E171*3/M171/30*10*1.333333*P171,0)</f>
        <v>0</v>
      </c>
      <c r="M171" s="4"/>
      <c r="N171"/>
    </row>
    <row r="172" spans="1:15" ht="28.5" customHeight="1" x14ac:dyDescent="0.25">
      <c r="A172" s="13" t="s">
        <v>20</v>
      </c>
      <c r="B172" s="10">
        <v>386</v>
      </c>
      <c r="C172" s="56">
        <f>C222*23</f>
        <v>1104000</v>
      </c>
      <c r="D172" s="56">
        <f t="shared" si="27"/>
        <v>15530</v>
      </c>
      <c r="E172" s="56">
        <f>(C172/B172)/2.4*M172</f>
        <v>220466.3212435233</v>
      </c>
      <c r="F172" s="56">
        <f>F157</f>
        <v>0</v>
      </c>
      <c r="G172" s="56">
        <f>SUM(Tabela241622344313[[#This Row],[Salário Base Total (R$)]:[Média Valor Férias/H. Extras]])</f>
        <v>1339996.3212435234</v>
      </c>
      <c r="H172" s="61">
        <f>(G172-D172)*0.21</f>
        <v>278137.92746113992</v>
      </c>
      <c r="I172" s="56">
        <f>AVERAGE($I$52,$I$37,$I$22)</f>
        <v>15718.503333333334</v>
      </c>
      <c r="J172" s="56"/>
      <c r="K172" s="12">
        <f>IFERROR(E172*3/M172/30*10*1.333333*P172,0)</f>
        <v>0</v>
      </c>
      <c r="M172" s="4">
        <v>185</v>
      </c>
      <c r="N172"/>
    </row>
    <row r="173" spans="1:15" ht="28.5" customHeight="1" x14ac:dyDescent="0.25">
      <c r="A173" s="9" t="s">
        <v>21</v>
      </c>
      <c r="B173" s="10">
        <v>51</v>
      </c>
      <c r="C173" s="56">
        <f t="shared" si="27"/>
        <v>212398.22</v>
      </c>
      <c r="D173" s="56">
        <f t="shared" si="27"/>
        <v>82380.290000000008</v>
      </c>
      <c r="E173" s="56">
        <f>IF(O173=[1]Cálculo!$D$1,((C173+D173)/B173/3*M173)+$E$49/$M$49*N173,(C173+D173)/B173/3*M173)</f>
        <v>72073.926339869271</v>
      </c>
      <c r="F173" s="56">
        <f>IF(O173=[1]Cálculo!$D$1,($F$49/$M$49*N173),0)</f>
        <v>2266.16</v>
      </c>
      <c r="G173" s="56">
        <f>SUM(Tabela241622344313[[#This Row],[Salário Base Total (R$)]:[Média Valor Férias/H. Extras]])</f>
        <v>369118.59633986925</v>
      </c>
      <c r="H173" s="61">
        <f>G173*0.21</f>
        <v>77514.905231372541</v>
      </c>
      <c r="I173" s="56">
        <f>AVERAGE($I$53,$I$38,$I$8)</f>
        <v>1346.9966666666667</v>
      </c>
      <c r="J173" s="56"/>
      <c r="K173" s="12">
        <f>IFERROR(IF(O173="não",IFERROR(E173*3/M173/30*10*1.333333*P173,0),(E173*3/(M173+N173))/30*10*1.333333*P173),0)</f>
        <v>0</v>
      </c>
      <c r="M173" s="27">
        <v>37</v>
      </c>
      <c r="N173">
        <v>2</v>
      </c>
      <c r="O173" t="s">
        <v>29</v>
      </c>
    </row>
    <row r="174" spans="1:15" ht="28.5" customHeight="1" x14ac:dyDescent="0.25">
      <c r="A174" s="9" t="s">
        <v>22</v>
      </c>
      <c r="B174" s="10">
        <v>9</v>
      </c>
      <c r="C174" s="56">
        <f t="shared" si="27"/>
        <v>5738.04</v>
      </c>
      <c r="D174" s="56">
        <f t="shared" si="27"/>
        <v>637.55999999999995</v>
      </c>
      <c r="E174" s="56">
        <f>E159</f>
        <v>0</v>
      </c>
      <c r="F174" s="56">
        <f>F159</f>
        <v>0</v>
      </c>
      <c r="G174" s="56">
        <f>SUM(Tabela241622344313[[#This Row],[Salário Base Total (R$)]:[Média Valor Férias/H. Extras]])</f>
        <v>6375.6</v>
      </c>
      <c r="H174" s="61">
        <f>G174*($H159/$G159)</f>
        <v>0</v>
      </c>
      <c r="I174" s="56"/>
      <c r="J174" s="56"/>
      <c r="K174" s="12">
        <f>IFERROR(E174*3/M174/30*10*1.333333*P174,0)</f>
        <v>0</v>
      </c>
      <c r="M174" s="4">
        <v>1</v>
      </c>
      <c r="N174"/>
    </row>
    <row r="175" spans="1:15" ht="28.5" customHeight="1" x14ac:dyDescent="0.25">
      <c r="A175" s="14" t="s">
        <v>23</v>
      </c>
      <c r="B175" s="15">
        <f t="shared" ref="B175:F175" si="28">SUBTOTAL(109,B169:B174)</f>
        <v>505</v>
      </c>
      <c r="C175" s="59">
        <f t="shared" si="28"/>
        <v>1857935.18928</v>
      </c>
      <c r="D175" s="59">
        <f t="shared" si="28"/>
        <v>204482.06999999998</v>
      </c>
      <c r="E175" s="59">
        <f t="shared" si="28"/>
        <v>440255.62550339254</v>
      </c>
      <c r="F175" s="59">
        <f t="shared" si="28"/>
        <v>6250.9226451612894</v>
      </c>
      <c r="G175" s="59">
        <f>SUBTOTAL(109,G169:G174)</f>
        <v>2508923.8074285542</v>
      </c>
      <c r="H175" s="59">
        <f t="shared" ref="H175:J175" si="29">SUBTOTAL(109,H169:H174)</f>
        <v>518403.13505999639</v>
      </c>
      <c r="I175" s="59">
        <f t="shared" si="29"/>
        <v>17065.5</v>
      </c>
      <c r="J175" s="59">
        <f t="shared" si="29"/>
        <v>0</v>
      </c>
      <c r="K175" s="16">
        <f>SUBTOTAL(109,K169:K174)</f>
        <v>0</v>
      </c>
      <c r="M175" s="4"/>
      <c r="N175"/>
    </row>
    <row r="176" spans="1:15" ht="7.5" customHeight="1" x14ac:dyDescent="0.25">
      <c r="A176" s="18"/>
      <c r="B176" s="19"/>
      <c r="C176" s="62"/>
      <c r="D176" s="62"/>
      <c r="E176" s="62"/>
      <c r="F176" s="62"/>
      <c r="G176" s="62"/>
      <c r="H176" s="62"/>
      <c r="I176" s="62"/>
      <c r="J176" s="62"/>
      <c r="K176" s="20"/>
      <c r="L176" s="20"/>
    </row>
    <row r="177" spans="1:14" ht="15.75" x14ac:dyDescent="0.25">
      <c r="C177" s="63" t="s">
        <v>24</v>
      </c>
      <c r="D177" s="60">
        <f>G175</f>
        <v>2508923.8074285542</v>
      </c>
      <c r="E177" s="62"/>
      <c r="F177" s="62"/>
      <c r="G177" s="62"/>
      <c r="H177" s="63" t="s">
        <v>25</v>
      </c>
      <c r="I177" s="60">
        <f>H175/0.21</f>
        <v>2468586.3574285544</v>
      </c>
      <c r="J177" s="64"/>
      <c r="K177" s="26"/>
    </row>
    <row r="178" spans="1:14" ht="15.75" x14ac:dyDescent="0.25">
      <c r="C178" s="64"/>
      <c r="D178" s="64"/>
      <c r="E178" s="62"/>
      <c r="F178" s="64"/>
      <c r="G178" s="64"/>
      <c r="H178" s="63" t="s">
        <v>10</v>
      </c>
      <c r="I178" s="60">
        <f>I177*0.21</f>
        <v>518403.13505999639</v>
      </c>
      <c r="J178" s="64"/>
      <c r="K178" s="21"/>
    </row>
    <row r="179" spans="1:14" ht="7.5" customHeight="1" x14ac:dyDescent="0.25">
      <c r="A179" s="24"/>
      <c r="B179" s="25"/>
      <c r="C179" s="65"/>
      <c r="D179" s="65"/>
      <c r="E179" s="65"/>
      <c r="F179" s="65"/>
      <c r="G179" s="65"/>
      <c r="H179" s="65"/>
      <c r="I179" s="65"/>
      <c r="J179" s="66"/>
      <c r="K179" s="23"/>
      <c r="L179" s="23"/>
    </row>
    <row r="180" spans="1:14" ht="7.5" customHeight="1" x14ac:dyDescent="0.25">
      <c r="C180" s="64"/>
      <c r="D180" s="64"/>
      <c r="E180" s="64"/>
      <c r="F180" s="64"/>
      <c r="G180" s="64"/>
      <c r="H180" s="64"/>
      <c r="I180" s="64"/>
      <c r="J180" s="64"/>
    </row>
    <row r="181" spans="1:14" ht="17.25" x14ac:dyDescent="0.3">
      <c r="A181" s="1" t="s">
        <v>0</v>
      </c>
      <c r="B181" s="2" t="s">
        <v>39</v>
      </c>
      <c r="C181" s="67"/>
      <c r="D181" s="70" t="s">
        <v>31</v>
      </c>
      <c r="E181" s="64"/>
      <c r="F181" s="64"/>
      <c r="G181" s="64"/>
      <c r="H181" s="64"/>
      <c r="I181" s="64"/>
      <c r="J181" s="64"/>
    </row>
    <row r="182" spans="1:14" ht="6.75" customHeight="1" x14ac:dyDescent="0.25">
      <c r="C182" s="64"/>
      <c r="D182" s="64"/>
      <c r="E182" s="64"/>
      <c r="F182" s="64"/>
      <c r="G182" s="64"/>
      <c r="H182" s="64"/>
      <c r="I182" s="64"/>
      <c r="J182" s="64"/>
    </row>
    <row r="183" spans="1:14" ht="30" customHeight="1" x14ac:dyDescent="0.25">
      <c r="A183" s="5" t="s">
        <v>3</v>
      </c>
      <c r="B183" s="6" t="s">
        <v>4</v>
      </c>
      <c r="C183" s="57" t="s">
        <v>5</v>
      </c>
      <c r="D183" s="57" t="s">
        <v>6</v>
      </c>
      <c r="E183" s="58" t="s">
        <v>7</v>
      </c>
      <c r="F183" s="58" t="s">
        <v>8</v>
      </c>
      <c r="G183" s="58" t="s">
        <v>9</v>
      </c>
      <c r="H183" s="57" t="s">
        <v>10</v>
      </c>
      <c r="I183" s="57" t="s">
        <v>11</v>
      </c>
      <c r="J183" s="57" t="s">
        <v>12</v>
      </c>
      <c r="K183" s="8" t="s">
        <v>13</v>
      </c>
      <c r="L183" s="4"/>
      <c r="N183"/>
    </row>
    <row r="184" spans="1:14" ht="28.5" customHeight="1" x14ac:dyDescent="0.25">
      <c r="A184" s="9" t="s">
        <v>17</v>
      </c>
      <c r="B184" s="10">
        <v>31</v>
      </c>
      <c r="C184" s="56">
        <f>SUM($C$4,$C$19,$C$49,$C$34,$C$64,$C$79,$C$94,$C$109,$C$124,$C$139,$C$154,$C$169)/12</f>
        <v>86416.598946666665</v>
      </c>
      <c r="D184" s="56">
        <f t="shared" ref="D184" si="30">D169</f>
        <v>105934.21999999997</v>
      </c>
      <c r="E184" s="56">
        <v>0</v>
      </c>
      <c r="F184" s="56">
        <v>0</v>
      </c>
      <c r="G184" s="56">
        <f>SUM(Tabela241622344414[[#This Row],[Salário Base Total (R$)]:[Média Valor Férias/H. Extras]])</f>
        <v>192350.81894666664</v>
      </c>
      <c r="H184" s="61">
        <f>G184*0.21</f>
        <v>40393.67197879999</v>
      </c>
      <c r="I184" s="56"/>
      <c r="J184" s="56"/>
      <c r="K184" s="12">
        <v>0</v>
      </c>
      <c r="L184" s="4"/>
      <c r="N184"/>
    </row>
    <row r="185" spans="1:14" ht="28.5" customHeight="1" x14ac:dyDescent="0.25">
      <c r="A185" s="9" t="s">
        <v>18</v>
      </c>
      <c r="B185" s="10">
        <v>23</v>
      </c>
      <c r="C185" s="56">
        <f t="shared" ref="C185:D188" si="31">C170</f>
        <v>431086.93</v>
      </c>
      <c r="D185" s="56">
        <f t="shared" si="31"/>
        <v>0</v>
      </c>
      <c r="E185" s="56">
        <v>0</v>
      </c>
      <c r="F185" s="56">
        <v>0</v>
      </c>
      <c r="G185" s="56">
        <f>SUM(Tabela241622344414[[#This Row],[Salário Base Total (R$)]:[Média Valor Férias/H. Extras]])</f>
        <v>431086.93</v>
      </c>
      <c r="H185" s="61">
        <f>G185*0.21</f>
        <v>90528.25529999999</v>
      </c>
      <c r="I185" s="56"/>
      <c r="J185" s="56"/>
      <c r="K185" s="12">
        <v>0</v>
      </c>
      <c r="L185" s="4"/>
      <c r="N185"/>
    </row>
    <row r="186" spans="1:14" ht="28.5" customHeight="1" x14ac:dyDescent="0.25">
      <c r="A186" s="13" t="s">
        <v>19</v>
      </c>
      <c r="B186" s="10">
        <v>5</v>
      </c>
      <c r="C186" s="56">
        <f t="shared" si="31"/>
        <v>18431.849999999999</v>
      </c>
      <c r="D186" s="56">
        <f t="shared" si="31"/>
        <v>0</v>
      </c>
      <c r="E186" s="56">
        <v>0</v>
      </c>
      <c r="F186" s="56">
        <v>0</v>
      </c>
      <c r="G186" s="56">
        <f>SUM(Tabela241622344414[[#This Row],[Salário Base Total (R$)]:[Média Valor Férias/H. Extras]])</f>
        <v>18431.849999999999</v>
      </c>
      <c r="H186" s="61">
        <v>0</v>
      </c>
      <c r="I186" s="56"/>
      <c r="J186" s="56"/>
      <c r="K186" s="12">
        <v>0</v>
      </c>
      <c r="L186" s="4"/>
      <c r="N186"/>
    </row>
    <row r="187" spans="1:14" ht="28.5" customHeight="1" x14ac:dyDescent="0.25">
      <c r="A187" s="13" t="s">
        <v>20</v>
      </c>
      <c r="B187" s="10">
        <v>386</v>
      </c>
      <c r="C187" s="56">
        <f>SUM($C$7,$C$22,$C$52,$C$37,$C$67,$C$82,$C$97,$C$112,$C$127,$C$142,$C$157,$C$172)/12</f>
        <v>1045747.5066666667</v>
      </c>
      <c r="D187" s="56">
        <v>0</v>
      </c>
      <c r="E187" s="56">
        <v>0</v>
      </c>
      <c r="F187" s="56">
        <v>0</v>
      </c>
      <c r="G187" s="56">
        <f>SUM(Tabela241622344414[[#This Row],[Salário Base Total (R$)]:[Média Valor Férias/H. Extras]])</f>
        <v>1045747.5066666667</v>
      </c>
      <c r="H187" s="61">
        <f>(G187-D187)*0.21</f>
        <v>219606.97640000001</v>
      </c>
      <c r="I187" s="56"/>
      <c r="J187" s="56"/>
      <c r="K187" s="12">
        <v>0</v>
      </c>
      <c r="L187" s="4"/>
      <c r="N187"/>
    </row>
    <row r="188" spans="1:14" ht="28.5" customHeight="1" x14ac:dyDescent="0.25">
      <c r="A188" s="9" t="s">
        <v>21</v>
      </c>
      <c r="B188" s="10">
        <v>51</v>
      </c>
      <c r="C188" s="56">
        <f>SUM($C$8,$C$23,$C$53,$C$38,$C$68,$C$83,$C$98,$C$113,$C$128,$C$143,$C$158,$C$173)/12</f>
        <v>205185.64083333337</v>
      </c>
      <c r="D188" s="56">
        <f t="shared" si="31"/>
        <v>82380.290000000008</v>
      </c>
      <c r="E188" s="56">
        <v>0</v>
      </c>
      <c r="F188" s="56">
        <v>0</v>
      </c>
      <c r="G188" s="56">
        <f>SUM(Tabela241622344414[[#This Row],[Salário Base Total (R$)]:[Média Valor Férias/H. Extras]])</f>
        <v>287565.9308333334</v>
      </c>
      <c r="H188" s="61">
        <f>G188*0.21</f>
        <v>60388.845475000009</v>
      </c>
      <c r="I188" s="56"/>
      <c r="J188" s="56"/>
      <c r="K188" s="12">
        <v>0</v>
      </c>
      <c r="L188" s="4"/>
      <c r="N188"/>
    </row>
    <row r="189" spans="1:14" ht="28.5" customHeight="1" x14ac:dyDescent="0.25">
      <c r="A189" s="9" t="s">
        <v>22</v>
      </c>
      <c r="B189" s="10">
        <v>9</v>
      </c>
      <c r="C189" s="56">
        <v>0</v>
      </c>
      <c r="D189" s="56">
        <v>0</v>
      </c>
      <c r="E189" s="56">
        <v>0</v>
      </c>
      <c r="F189" s="56">
        <v>0</v>
      </c>
      <c r="G189" s="56">
        <f>SUM(Tabela241622344414[[#This Row],[Salário Base Total (R$)]:[Média Valor Férias/H. Extras]])</f>
        <v>0</v>
      </c>
      <c r="H189" s="61">
        <f>G189*($H174/$G174)</f>
        <v>0</v>
      </c>
      <c r="I189" s="56"/>
      <c r="J189" s="56"/>
      <c r="K189" s="12">
        <v>0</v>
      </c>
      <c r="L189" s="4"/>
      <c r="N189"/>
    </row>
    <row r="190" spans="1:14" ht="28.5" customHeight="1" x14ac:dyDescent="0.25">
      <c r="A190" s="14" t="s">
        <v>23</v>
      </c>
      <c r="B190" s="15">
        <f t="shared" ref="B190:J190" si="32">SUBTOTAL(109,B184:B189)</f>
        <v>505</v>
      </c>
      <c r="C190" s="59">
        <f t="shared" si="32"/>
        <v>1786868.5264466668</v>
      </c>
      <c r="D190" s="59">
        <f t="shared" si="32"/>
        <v>188314.50999999998</v>
      </c>
      <c r="E190" s="59">
        <f t="shared" si="32"/>
        <v>0</v>
      </c>
      <c r="F190" s="59">
        <f t="shared" si="32"/>
        <v>0</v>
      </c>
      <c r="G190" s="59">
        <f t="shared" si="32"/>
        <v>1975183.0364466666</v>
      </c>
      <c r="H190" s="59">
        <f>SUBTOTAL(109,H184:H189)</f>
        <v>410917.74915379996</v>
      </c>
      <c r="I190" s="59">
        <f t="shared" si="32"/>
        <v>0</v>
      </c>
      <c r="J190" s="59">
        <f t="shared" si="32"/>
        <v>0</v>
      </c>
      <c r="K190" s="16">
        <v>0</v>
      </c>
      <c r="L190" s="4"/>
      <c r="N190"/>
    </row>
    <row r="191" spans="1:14" ht="7.5" customHeight="1" x14ac:dyDescent="0.25">
      <c r="A191" s="18"/>
      <c r="B191" s="19"/>
      <c r="C191" s="62"/>
      <c r="D191" s="62"/>
      <c r="E191" s="62"/>
      <c r="F191" s="62"/>
      <c r="G191" s="62"/>
      <c r="H191" s="62"/>
      <c r="I191" s="62"/>
      <c r="J191" s="62"/>
      <c r="K191" s="20"/>
      <c r="L191" s="20"/>
    </row>
    <row r="192" spans="1:14" ht="15.75" x14ac:dyDescent="0.25">
      <c r="C192" s="63" t="s">
        <v>24</v>
      </c>
      <c r="D192" s="60">
        <f>G190</f>
        <v>1975183.0364466666</v>
      </c>
      <c r="E192" s="62"/>
      <c r="F192" s="62"/>
      <c r="G192" s="62"/>
      <c r="H192" s="63" t="s">
        <v>25</v>
      </c>
      <c r="I192" s="60">
        <f>H190/0.21</f>
        <v>1956751.1864466665</v>
      </c>
      <c r="J192" s="64"/>
      <c r="K192" s="26"/>
    </row>
    <row r="193" spans="1:14" ht="15.75" x14ac:dyDescent="0.25">
      <c r="C193" s="64"/>
      <c r="D193" s="64"/>
      <c r="E193" s="62"/>
      <c r="F193" s="64"/>
      <c r="G193" s="64"/>
      <c r="H193" s="63" t="s">
        <v>10</v>
      </c>
      <c r="I193" s="60">
        <f>I192*0.21</f>
        <v>410917.74915379996</v>
      </c>
      <c r="J193" s="64"/>
    </row>
    <row r="194" spans="1:14" ht="15.75" x14ac:dyDescent="0.25">
      <c r="C194" s="64"/>
      <c r="D194" s="64"/>
      <c r="E194" s="62"/>
      <c r="F194" s="64"/>
      <c r="G194" s="64"/>
      <c r="H194" s="71"/>
      <c r="I194" s="72"/>
      <c r="J194" s="64"/>
    </row>
    <row r="195" spans="1:14" ht="7.5" customHeight="1" x14ac:dyDescent="0.25">
      <c r="C195" s="64"/>
      <c r="D195" s="64"/>
      <c r="E195" s="64"/>
      <c r="F195" s="64"/>
      <c r="G195" s="64"/>
      <c r="H195" s="64"/>
      <c r="I195" s="64"/>
      <c r="J195" s="64"/>
    </row>
    <row r="196" spans="1:14" ht="17.25" x14ac:dyDescent="0.3">
      <c r="A196" s="1" t="s">
        <v>0</v>
      </c>
      <c r="B196" s="28" t="s">
        <v>40</v>
      </c>
      <c r="C196" s="73"/>
      <c r="D196" s="70" t="s">
        <v>31</v>
      </c>
      <c r="E196" s="64"/>
      <c r="F196" s="64"/>
      <c r="G196" s="64"/>
      <c r="H196" s="64"/>
      <c r="I196" s="64"/>
      <c r="J196" s="64"/>
    </row>
    <row r="197" spans="1:14" ht="6.75" customHeight="1" x14ac:dyDescent="0.25">
      <c r="C197" s="64"/>
      <c r="D197" s="64"/>
      <c r="E197" s="64"/>
      <c r="F197" s="64"/>
      <c r="G197" s="64"/>
      <c r="H197" s="64"/>
      <c r="I197" s="64"/>
      <c r="J197" s="64"/>
    </row>
    <row r="198" spans="1:14" ht="30" customHeight="1" x14ac:dyDescent="0.25">
      <c r="A198" s="5" t="s">
        <v>3</v>
      </c>
      <c r="B198" s="6" t="s">
        <v>4</v>
      </c>
      <c r="C198" s="57" t="s">
        <v>5</v>
      </c>
      <c r="D198" s="57" t="s">
        <v>6</v>
      </c>
      <c r="E198" s="58" t="s">
        <v>7</v>
      </c>
      <c r="F198" s="58" t="s">
        <v>8</v>
      </c>
      <c r="G198" s="58" t="s">
        <v>9</v>
      </c>
      <c r="H198" s="75" t="s">
        <v>10</v>
      </c>
      <c r="I198" s="57" t="s">
        <v>11</v>
      </c>
      <c r="J198" s="57" t="s">
        <v>12</v>
      </c>
      <c r="K198" s="8" t="s">
        <v>13</v>
      </c>
      <c r="N198"/>
    </row>
    <row r="199" spans="1:14" ht="28.5" customHeight="1" x14ac:dyDescent="0.25">
      <c r="A199" s="9" t="s">
        <v>17</v>
      </c>
      <c r="B199" s="10">
        <v>31</v>
      </c>
      <c r="C199" s="56">
        <f>SUM($C$4,$C$19,$C$49,$C$34,$C$64,$C$79,$C$94,$C$109,$C$124,$C$139,$C$154,$C$169,$C$184)</f>
        <v>1123415.7863066667</v>
      </c>
      <c r="D199" s="56">
        <f>SUM($D$4,$D$19,$D$49,$D$34,$D$64,$D$79,$D$94,$D$109,$D$124,$D$139,$D$154,$D$169,$D$184)</f>
        <v>1371232.89</v>
      </c>
      <c r="E199" s="56">
        <f>SUM($E$4,$E$19,$E$49,$E$34,$E$64,$E$79,$E$94,$E$109,$E$124,$E$139,$E$154,$E$169,$E$184)</f>
        <v>27209.631388387093</v>
      </c>
      <c r="F199" s="56">
        <f>SUM($F$4,$F$19,$F$49,$F$34,$F$64,$F$79,$F$94,$F$109,$F$124,$F$139,$F$154,$F$169,$F$184)</f>
        <v>25995.170580645154</v>
      </c>
      <c r="G199" s="56">
        <f>SUM($G$4,$G$19,$G$49,$G$34,$G$64,$G$79,$G$94,$G$109,$G$124,$G$139,$G$154,$G$169,$G$184)</f>
        <v>2547853.4782756986</v>
      </c>
      <c r="H199" s="56">
        <f>SUM($H$4,$H$19,$H$49,$H$34,$H$64,$H$79,$H$94,$H$109,$H$124,$H$139,$H$154,$H$169,$H$184)</f>
        <v>534959.25383789663</v>
      </c>
      <c r="I199" s="56">
        <f>SUM($I$4,$I$19,$I$49,$I$34,$I$64,$I$79,$I$94,$I$109,$I$124,$I$139,$I$154,$I$169,$I$184)</f>
        <v>0</v>
      </c>
      <c r="J199" s="56">
        <f>SUM($J$4,$J$19,$J$49,$J$34,$J$64,$J$79,$J$94,$J$109,$J$124,$J$139,$J$154,$J$169,$J$184)</f>
        <v>0</v>
      </c>
      <c r="K199" s="11">
        <f>SUM($K$4,$K$19,$K$49,$K$34,$K$64,$K$79,$K$94,$K$109,$K$124,$K$139,$K$154,$K$169,$K$184)</f>
        <v>0</v>
      </c>
      <c r="N199"/>
    </row>
    <row r="200" spans="1:14" ht="28.5" customHeight="1" x14ac:dyDescent="0.25">
      <c r="A200" s="9" t="s">
        <v>18</v>
      </c>
      <c r="B200" s="10">
        <v>23</v>
      </c>
      <c r="C200" s="56">
        <f>SUM($C$5,$C$20,$C$50,$C$35,$C$65,$C$80,$C$95,$C$110,$C$125,$C$140,$C$155,$C$170,$C$185)</f>
        <v>5604130.0899999999</v>
      </c>
      <c r="D200" s="56">
        <f>SUM($D$5,$D$20,$D$50,$D$35,$D$65,$D$80,$D$95,$D$110,$D$125,$D$140,$D$155,$D$170,$D$185)</f>
        <v>0</v>
      </c>
      <c r="E200" s="56">
        <f>SUM($E$5,$E$20,$E$50,$E$35,$E$65,$E$80,$E$95,$E$110,$E$125,$E$140,$E$155,$E$170,$E$185)</f>
        <v>143695.64333333334</v>
      </c>
      <c r="F200" s="56">
        <f>SUM($F$5,$F$20,$F$50,$F$35,$F$65,$F$80,$F$95,$F$110,$F$125,$F$140,$F$155,$F$170,$F$185)</f>
        <v>0</v>
      </c>
      <c r="G200" s="56">
        <f>SUM($G$5,$G$20,$G$50,$G$35,$G$65,$G$80,$G$95,$G$110,$G$125,$G$140,$G$155,$G$170,$G$185)</f>
        <v>5747825.7333333334</v>
      </c>
      <c r="H200" s="56">
        <f>SUM($H$5,$H$20,$H$50,$H$35,$H$65,$H$80,$H$95,$H$110,$H$125,$H$140,$H$155,$H$170,$H$185)</f>
        <v>1207043.4039999999</v>
      </c>
      <c r="I200" s="56">
        <f>SUM($I$5,$I$20,$I$50,$I$35,$I$65,$I$80,$I$95,$I$110,$I$125,$I$140,$I$155,$I$170,$I$185)</f>
        <v>0</v>
      </c>
      <c r="J200" s="56">
        <f>SUM($J$5,$J$20,$J$50,$J$35,$J$65,$J$80,$J$95,$J$110,$J$125,$J$140,$J$155,$J$170,$J$185)</f>
        <v>0</v>
      </c>
      <c r="K200" s="11">
        <f>SUM($K$5,$K$20,$K$50,$K$35,$K$65,$K$80,$K$95,$K$110,$K$125,$K$140,$K$155,$K$170,$K$185)</f>
        <v>0</v>
      </c>
      <c r="N200"/>
    </row>
    <row r="201" spans="1:14" ht="28.5" customHeight="1" x14ac:dyDescent="0.25">
      <c r="A201" s="13" t="s">
        <v>19</v>
      </c>
      <c r="B201" s="10">
        <v>5</v>
      </c>
      <c r="C201" s="56">
        <f>SUM($C$6,$C$21,$C$51,$C$36,$C$66,$C$81,$C$96,$C$111,$C$126,$C$141,$C$156,$C$171,$C$186)</f>
        <v>239614.05000000005</v>
      </c>
      <c r="D201" s="56">
        <f>SUM($D$6,$D$21,$D$51,$D$36,$D$66,$D$81,$D$96,$D$111,$D$126,$D$141,$D$156,$D$171,$D$186)</f>
        <v>0</v>
      </c>
      <c r="E201" s="56">
        <f>SUM($E$6,$E$21,$E$51,$E$36,$E$66,$E$81,$E$96,$E$111,$E$126,$E$141,$E$156,$E$171,$E$186)</f>
        <v>0</v>
      </c>
      <c r="F201" s="56">
        <f>SUM($F$6,$F$21,$F$51,$F$36,$F$66,$F$81,$F$96,$F$111,$F$126,$F$141,$F$156,$F$171,$F$186)</f>
        <v>0</v>
      </c>
      <c r="G201" s="56">
        <f>SUM($G$6,$G$21,$G$51,$G$36,$G$66,$G$81,$G$96,$G$111,$G$126,$G$141,$G$156,$G$171,$G$186)</f>
        <v>239614.05000000005</v>
      </c>
      <c r="H201" s="56">
        <f>SUM($H$6,$H$21,$H$51,$H$36,$H$66,$H$81,$H$96,$H$111,$H$126,$H$141,$H$156,$H$171,$H$186)</f>
        <v>0</v>
      </c>
      <c r="I201" s="56">
        <f>SUM($I$6,$I$21,$I$51,$I$36,$I$66,$I$81,$I$96,$I$111,$I$126,$I$141,$I$156,$I$171,$I$186)</f>
        <v>0</v>
      </c>
      <c r="J201" s="56">
        <f>SUM($J$6,$J$21,$J$51,$J$36,$J$66,$J$81,$J$96,$J$111,$J$126,$J$141,$J$156,$J$171,$J$186)</f>
        <v>0</v>
      </c>
      <c r="K201" s="11">
        <f>SUM($K$6,$K$21,$K$51,$K$36,$K$66,$K$81,$K$96,$K$111,$K$126,$K$141,$K$156,$K$171,$K$186)</f>
        <v>0</v>
      </c>
      <c r="N201"/>
    </row>
    <row r="202" spans="1:14" ht="28.5" customHeight="1" x14ac:dyDescent="0.25">
      <c r="A202" s="13" t="s">
        <v>20</v>
      </c>
      <c r="B202" s="10">
        <v>386</v>
      </c>
      <c r="C202" s="56">
        <f>SUM($C$7,$C$22,$C$52,$C$37,$C$67,$C$82,$C$97,$C$112,$C$127,$C$142,$C$157,$C$172,$C$187)</f>
        <v>13594717.586666666</v>
      </c>
      <c r="D202" s="56">
        <f>SUM($D$7,$D$22,$D$52,$D$37,$D$67,$D$82,$D$97,$D$112,$D$127,$D$142,$D$157,$D$172,$D$187)</f>
        <v>143445</v>
      </c>
      <c r="E202" s="56">
        <f>SUM($E$7,$E$22,$E$52,$E$37,$E$67,$E$82,$E$97,$E$112,$E$127,$E$142,$E$157,$E$172,$E$187)</f>
        <v>347517.03751295333</v>
      </c>
      <c r="F202" s="56">
        <f>SUM($F$7,$F$22,$F$52,$F$37,$F$67,$F$82,$F$97,$F$112,$F$127,$F$142,$F$157,$F$172,$F$187)</f>
        <v>0</v>
      </c>
      <c r="G202" s="56">
        <f>SUM($G$7,$G$22,$G$52,$G$37,$G$67,$G$82,$G$97,$G$112,$G$127,$G$142,$G$157,$G$172,$G$187)</f>
        <v>14085679.624179617</v>
      </c>
      <c r="H202" s="56">
        <f>SUM($H$7,$H$22,$H$52,$H$37,$H$67,$H$82,$H$97,$H$112,$H$127,$H$142,$H$157,$H$172,$H$187)</f>
        <v>2931355.2710777204</v>
      </c>
      <c r="I202" s="56">
        <f>SUM($I$7,$I$22,$I$52,$I$37,$I$67,$I$82,$I$97,$I$112,$I$127,$I$142,$I$157,$I$172,$I$187)</f>
        <v>281029.02333333332</v>
      </c>
      <c r="J202" s="56">
        <f>SUM($J$7,$J$22,$J$52,$J$37,$J$67,$J$82,$J$97,$J$112,$J$127,$J$142,$J$157,$J$172,$J$187)</f>
        <v>0</v>
      </c>
      <c r="K202" s="11">
        <f>SUM($K$7,$K$22,$K$52,$K$37,$K$67,$K$82,$K$97,$K$112,$K$127,$K$142,$K$157,$K$172,$K$187)</f>
        <v>0</v>
      </c>
      <c r="N202"/>
    </row>
    <row r="203" spans="1:14" ht="28.5" customHeight="1" x14ac:dyDescent="0.25">
      <c r="A203" s="9" t="s">
        <v>21</v>
      </c>
      <c r="B203" s="10">
        <v>51</v>
      </c>
      <c r="C203" s="56">
        <f>SUM($C$8,$C$23,$C$53,$C$38,$C$68,$C$83,$C$98,$C$113,$C$128,$C$143,$C$158,$C$173,$C$188)</f>
        <v>2667413.3308333335</v>
      </c>
      <c r="D203" s="56">
        <f>SUM($D$8,$D$23,$D$53,$D$38,$D$68,$D$83,$D$98,$D$113,$D$128,$D$143,$D$158,$D$173,$D$188)</f>
        <v>1063862.1900000004</v>
      </c>
      <c r="E203" s="56">
        <f>SUM($E$8,$E$23,$E$53,$E$38,$E$68,$E$83,$E$98,$E$113,$E$128,$E$143,$E$158,$E$173,$E$188)</f>
        <v>76807.223267973852</v>
      </c>
      <c r="F203" s="56">
        <f>SUM($F$8,$F$23,$F$53,$F$38,$F$68,$F$83,$F$98,$F$113,$F$128,$F$143,$F$158,$F$173,$F$188)</f>
        <v>3399.24</v>
      </c>
      <c r="G203" s="56">
        <f>SUM($G$8,$G$23,$G$53,$G$38,$G$68,$G$83,$G$98,$G$113,$G$128,$G$143,$G$158,$G$173,$G$188)</f>
        <v>3811481.9841013066</v>
      </c>
      <c r="H203" s="56">
        <f>SUM($H$8,$H$23,$H$53,$H$38,$H$68,$H$83,$H$98,$H$113,$H$128,$H$143,$H$158,$H$173,$H$188)</f>
        <v>800035.9970612746</v>
      </c>
      <c r="I203" s="56">
        <f>SUM($I$8,$I$23,$I$53,$I$38,$I$68,$I$83,$I$98,$I$113,$I$128,$I$143,$I$158,$I$173,$I$188)</f>
        <v>13469.966666666665</v>
      </c>
      <c r="J203" s="56">
        <f>SUM($J$8,$J$23,$J$53,$J$38,$J$68,$J$83,$J$98,$J$113,$J$128,$J$143,$J$158,$J$173,$J$188)</f>
        <v>0</v>
      </c>
      <c r="K203" s="11">
        <f>SUM($K$8,$K$23,$K$53,$K$38,$K$68,$K$83,$K$98,$K$113,$K$128,$K$143,$K$158,$K$173,$K$188)</f>
        <v>0</v>
      </c>
      <c r="N203"/>
    </row>
    <row r="204" spans="1:14" ht="28.5" customHeight="1" x14ac:dyDescent="0.25">
      <c r="A204" s="9" t="s">
        <v>22</v>
      </c>
      <c r="B204" s="10">
        <v>9</v>
      </c>
      <c r="C204" s="56">
        <f>SUM($C$9,$C$24,$C$54,$C$39,$C$69,$C$84,$C$99,$C$114,$C$129,$C$144,$C$159,$C$174,$C$189)</f>
        <v>74812.819999999992</v>
      </c>
      <c r="D204" s="56">
        <f>SUM($D$9,$D$24,$D$54,$D$39,$D$69,$D$84,$D$99,$D$114,$D$129,$D$144,$D$159,$D$174,$D$189)</f>
        <v>9756.9799999999959</v>
      </c>
      <c r="E204" s="56">
        <f>SUM($E$9,$E$24,$E$54,$E$39,$E$69,$E$84,$E$99,$E$114,$E$129,$E$144,$E$159,$E$174,$E$189)</f>
        <v>0</v>
      </c>
      <c r="F204" s="56">
        <f>SUM($F$9,$F$24,$F$54,$F$39,$F$69,$F$84,$F$99,$F$114,$F$129,$F$144,$F$159,$F$174,$F$189)</f>
        <v>0</v>
      </c>
      <c r="G204" s="56">
        <f>SUM($G$9,$G$24,$G$54,$G$39,$G$69,$G$84,$G$99,$G$114,$G$129,$G$144,$G$159,$G$174,$G$189)</f>
        <v>84569.8</v>
      </c>
      <c r="H204" s="56">
        <f>SUM($H$9,$H$24,$H$54,$H$39,$H$69,$H$84,$H$99,$H$114,$H$129,$H$144,$H$159,$H$174,$H$189)</f>
        <v>0</v>
      </c>
      <c r="I204" s="56">
        <f>SUM($I$9,$I$24,$I$54,$I$39,$I$69,$I$84,$I$99,$I$114,$I$129,$I$144,$I$159,$I$174,$I$189)</f>
        <v>0</v>
      </c>
      <c r="J204" s="56">
        <f>SUM($J$9,$J$24,$J$54,$J$39,$J$69,$J$84,$J$99,$J$114,$J$129,$J$144,$J$159,$J$174,$J$189)</f>
        <v>0</v>
      </c>
      <c r="K204" s="11">
        <f>SUM($K$9,$K$24,$K$54,$K$39,$K$69,$K$84,$K$99,$K$114,$K$129,$K$144,$K$159,$K$174,$K$189)</f>
        <v>0</v>
      </c>
      <c r="N204"/>
    </row>
    <row r="205" spans="1:14" ht="28.5" customHeight="1" x14ac:dyDescent="0.25">
      <c r="A205" s="14" t="s">
        <v>23</v>
      </c>
      <c r="B205" s="15">
        <f t="shared" ref="B205" si="33">SUBTOTAL(109,B199:B204)</f>
        <v>505</v>
      </c>
      <c r="C205" s="59">
        <f>SUBTOTAL(109,$C$199:$C$204)</f>
        <v>23304103.663806666</v>
      </c>
      <c r="D205" s="59">
        <f>SUBTOTAL(109,$D$199:$D$204)</f>
        <v>2588297.06</v>
      </c>
      <c r="E205" s="59">
        <f>SUBTOTAL(109,$E$199:$E$204)</f>
        <v>595229.53550264763</v>
      </c>
      <c r="F205" s="59">
        <f>SUBTOTAL(109,$F$199:$F$204)</f>
        <v>29394.410580645155</v>
      </c>
      <c r="G205" s="59">
        <f>SUBTOTAL(109,$G$199:$G$204)</f>
        <v>26517024.669889957</v>
      </c>
      <c r="H205" s="59">
        <f>SUBTOTAL(109,$H$199:$H$204)</f>
        <v>5473393.925976892</v>
      </c>
      <c r="I205" s="59">
        <f>SUBTOTAL(109,$I$199:$I$204)</f>
        <v>294498.99</v>
      </c>
      <c r="J205" s="59">
        <f>SUBTOTAL(109,$J$199:$J$204)</f>
        <v>0</v>
      </c>
      <c r="K205" s="16">
        <f>SUBTOTAL(109,$K$199:$K$204)</f>
        <v>0</v>
      </c>
      <c r="N205"/>
    </row>
    <row r="206" spans="1:14" ht="7.5" customHeight="1" x14ac:dyDescent="0.25">
      <c r="A206" s="18"/>
      <c r="B206" s="19"/>
      <c r="C206" s="62"/>
      <c r="D206" s="62"/>
      <c r="E206" s="62"/>
      <c r="F206" s="62"/>
      <c r="G206" s="62"/>
      <c r="H206" s="62"/>
      <c r="I206" s="62"/>
      <c r="J206" s="62"/>
      <c r="K206" s="20"/>
      <c r="L206" s="20"/>
    </row>
    <row r="207" spans="1:14" ht="15.75" x14ac:dyDescent="0.25">
      <c r="C207" s="63" t="s">
        <v>24</v>
      </c>
      <c r="D207" s="60">
        <f>$G$205</f>
        <v>26517024.669889957</v>
      </c>
      <c r="E207" s="62"/>
      <c r="F207" s="62"/>
      <c r="G207" s="62"/>
      <c r="H207" s="63" t="s">
        <v>25</v>
      </c>
      <c r="I207" s="60">
        <f>H205/0.21</f>
        <v>26063780.599889964</v>
      </c>
      <c r="J207" s="64"/>
      <c r="K207" s="26"/>
    </row>
    <row r="208" spans="1:14" ht="15.75" x14ac:dyDescent="0.25">
      <c r="C208" s="64"/>
      <c r="D208" s="64"/>
      <c r="E208" s="62"/>
      <c r="F208" s="64"/>
      <c r="G208" s="64"/>
      <c r="H208" s="63" t="s">
        <v>10</v>
      </c>
      <c r="I208" s="60">
        <f>I207*0.21</f>
        <v>5473393.925976892</v>
      </c>
      <c r="J208" s="64"/>
    </row>
    <row r="209" spans="1:14" ht="15.75" x14ac:dyDescent="0.25">
      <c r="C209" s="64"/>
      <c r="D209" s="64"/>
      <c r="E209" s="62"/>
      <c r="F209" s="64"/>
      <c r="G209" s="64"/>
      <c r="H209" s="71"/>
      <c r="I209" s="72"/>
      <c r="J209" s="64"/>
    </row>
    <row r="210" spans="1:14" ht="15.75" x14ac:dyDescent="0.25">
      <c r="C210" s="74"/>
      <c r="D210" s="64"/>
      <c r="E210" s="62"/>
      <c r="F210" s="64"/>
      <c r="G210" s="64"/>
      <c r="H210" s="71"/>
      <c r="I210" s="72"/>
      <c r="J210" s="64"/>
    </row>
    <row r="211" spans="1:14" ht="17.25" x14ac:dyDescent="0.3">
      <c r="A211" s="76" t="s">
        <v>42</v>
      </c>
      <c r="B211" s="76"/>
      <c r="C211" s="76"/>
      <c r="D211" s="76"/>
      <c r="E211" s="76"/>
      <c r="F211" s="76"/>
      <c r="G211" s="76"/>
      <c r="H211" s="76"/>
      <c r="I211" s="76"/>
      <c r="J211" s="76"/>
      <c r="K211" s="76"/>
    </row>
    <row r="212" spans="1:14" ht="6.75" customHeight="1" x14ac:dyDescent="0.25"/>
    <row r="213" spans="1:14" ht="30" customHeight="1" x14ac:dyDescent="0.25">
      <c r="A213" s="5" t="s">
        <v>3</v>
      </c>
      <c r="B213" s="6" t="s">
        <v>4</v>
      </c>
      <c r="C213" s="6" t="s">
        <v>5</v>
      </c>
      <c r="D213" s="6" t="s">
        <v>6</v>
      </c>
      <c r="E213" s="7" t="s">
        <v>7</v>
      </c>
      <c r="F213" s="7" t="s">
        <v>8</v>
      </c>
      <c r="G213" s="7" t="s">
        <v>9</v>
      </c>
      <c r="H213" s="6" t="s">
        <v>10</v>
      </c>
      <c r="I213" s="6" t="s">
        <v>11</v>
      </c>
      <c r="J213" s="6" t="s">
        <v>12</v>
      </c>
      <c r="K213" s="8" t="s">
        <v>13</v>
      </c>
      <c r="N213"/>
    </row>
    <row r="214" spans="1:14" ht="28.5" customHeight="1" x14ac:dyDescent="0.25">
      <c r="A214" s="9" t="s">
        <v>17</v>
      </c>
      <c r="B214" s="10">
        <v>31</v>
      </c>
      <c r="C214" s="56">
        <f>SUM($C$4,$C$19,$C$49,$C$34,$C$64,$C$79,$C$94,$C$109,$C$124,$C$139,$C$154,$C$169,$C$184)</f>
        <v>1123415.7863066667</v>
      </c>
      <c r="D214" s="56">
        <f>SUM($D$4,$D$19,$D$49,$D$34,$D$64,$D$79,$D$94,$D$109,$D$124,$D$139,$D$154,$D$169,$D$184)</f>
        <v>1371232.89</v>
      </c>
      <c r="E214" s="56">
        <f>SUM($E$4,$E$19,$E$49,$E$34,$E$64,$E$79,$E$94,$E$109,$E$124,$E$139,$E$154,$E$169,$E$184)</f>
        <v>27209.631388387093</v>
      </c>
      <c r="F214" s="56">
        <f>SUM($F$4,$F$19,$F$49,$F$34,$F$64,$F$79,$F$94,$F$109,$F$124,$F$139,$F$154,$F$169,$F$184)</f>
        <v>25995.170580645154</v>
      </c>
      <c r="G214" s="56">
        <f>SUM(Tabela2416223444141517[[#This Row],[Salário Base Total (R$)]:[Média Valor Férias/H. Extras]])</f>
        <v>2547853.4782756991</v>
      </c>
      <c r="H214" s="56">
        <v>0</v>
      </c>
      <c r="I214" s="56">
        <v>0</v>
      </c>
      <c r="J214" s="56">
        <f>SUM($J$4,$J$19,$J$49,$J$34,$J$64,$J$79,$J$94,$J$109,$J$124,$J$139,$J$154,$J$169,$J$184)</f>
        <v>0</v>
      </c>
      <c r="K214" s="56">
        <f>SUM($K$4,$K$19,$K$49,$K$34,$K$64,$K$79,$K$94,$K$109,$K$124,$K$139,$K$154,$K$169,$K$184)</f>
        <v>0</v>
      </c>
      <c r="N214"/>
    </row>
    <row r="215" spans="1:14" ht="28.5" customHeight="1" x14ac:dyDescent="0.25">
      <c r="A215" s="9" t="s">
        <v>18</v>
      </c>
      <c r="B215" s="10">
        <v>23</v>
      </c>
      <c r="C215" s="56">
        <f>SUM($C$5,$C$20,$C$50,$C$35,$C$65,$C$80,$C$95,$C$110,$C$125,$C$140,$C$155,$C$170,$C$185)</f>
        <v>5604130.0899999999</v>
      </c>
      <c r="D215" s="56">
        <f>SUM($D$5,$D$20,$D$50,$D$35,$D$65,$D$80,$D$95,$D$110,$D$125,$D$140,$D$155,$D$170,$D$185)</f>
        <v>0</v>
      </c>
      <c r="E215" s="56">
        <f>SUM($E$5,$E$20,$E$50,$E$35,$E$65,$E$80,$E$95,$E$110,$E$125,$E$140,$E$155,$E$170,$E$185)</f>
        <v>143695.64333333334</v>
      </c>
      <c r="F215" s="56">
        <f>SUM($F$5,$F$20,$F$50,$F$35,$F$65,$F$80,$F$95,$F$110,$F$125,$F$140,$F$155,$F$170,$F$185)</f>
        <v>0</v>
      </c>
      <c r="G215" s="56">
        <f>SUM(Tabela2416223444141517[[#This Row],[Salário Base Total (R$)]:[Média Valor Férias/H. Extras]])</f>
        <v>5747825.7333333334</v>
      </c>
      <c r="H215" s="56">
        <v>0</v>
      </c>
      <c r="I215" s="56">
        <v>0</v>
      </c>
      <c r="J215" s="56">
        <f>SUM($J$5,$J$20,$J$50,$J$35,$J$65,$J$80,$J$95,$J$110,$J$125,$J$140,$J$155,$J$170,$J$185)</f>
        <v>0</v>
      </c>
      <c r="K215" s="56">
        <f>SUM($K$5,$K$20,$K$50,$K$35,$K$65,$K$80,$K$95,$K$110,$K$125,$K$140,$K$155,$K$170,$K$185)</f>
        <v>0</v>
      </c>
      <c r="N215"/>
    </row>
    <row r="216" spans="1:14" ht="28.5" customHeight="1" x14ac:dyDescent="0.25">
      <c r="A216" s="13" t="s">
        <v>19</v>
      </c>
      <c r="B216" s="10">
        <v>5</v>
      </c>
      <c r="C216" s="56">
        <f>SUM($C$6,$C$21,$C$51,$C$36,$C$66,$C$81,$C$96,$C$111,$C$126,$C$141,$C$156,$C$171,$C$186)</f>
        <v>239614.05000000005</v>
      </c>
      <c r="D216" s="56">
        <f>SUM($D$6,$D$21,$D$51,$D$36,$D$66,$D$81,$D$96,$D$111,$D$126,$D$141,$D$156,$D$171,$D$186)</f>
        <v>0</v>
      </c>
      <c r="E216" s="56">
        <f>SUM($E$6,$E$21,$E$51,$E$36,$E$66,$E$81,$E$96,$E$111,$E$126,$E$141,$E$156,$E$171,$E$186)</f>
        <v>0</v>
      </c>
      <c r="F216" s="56">
        <f>SUM($F$6,$F$21,$F$51,$F$36,$F$66,$F$81,$F$96,$F$111,$F$126,$F$141,$F$156,$F$171,$F$186)</f>
        <v>0</v>
      </c>
      <c r="G216" s="56">
        <f>SUM(Tabela2416223444141517[[#This Row],[Salário Base Total (R$)]:[Média Valor Férias/H. Extras]])</f>
        <v>239614.05000000005</v>
      </c>
      <c r="H216" s="56">
        <v>0</v>
      </c>
      <c r="I216" s="56">
        <v>0</v>
      </c>
      <c r="J216" s="56">
        <f>SUM($J$6,$J$21,$J$51,$J$36,$J$66,$J$81,$J$96,$J$111,$J$126,$J$141,$J$156,$J$171,$J$186)</f>
        <v>0</v>
      </c>
      <c r="K216" s="56">
        <f>SUM($K$6,$K$21,$K$51,$K$36,$K$66,$K$81,$K$96,$K$111,$K$126,$K$141,$K$156,$K$171,$K$186)</f>
        <v>0</v>
      </c>
      <c r="N216"/>
    </row>
    <row r="217" spans="1:14" ht="28.5" customHeight="1" x14ac:dyDescent="0.25">
      <c r="A217" s="13" t="s">
        <v>20</v>
      </c>
      <c r="B217" s="10">
        <v>386</v>
      </c>
      <c r="C217" s="56">
        <f>SUM($C$7,$C$22,$C$52,$C$37,$C$67,$C$82,$C$97,$C$112,$C$127,$C$142,$C$157,$C$172,$C$187)</f>
        <v>13594717.586666666</v>
      </c>
      <c r="D217" s="56">
        <f>SUM($D$7,$D$22,$D$52,$D$37,$D$67,$D$82,$D$97,$D$112,$D$127,$D$142,$D$157,$D$172,$D$187)</f>
        <v>143445</v>
      </c>
      <c r="E217" s="56">
        <f>SUM($E$7,$E$22,$E$52,$E$37,$E$67,$E$82,$E$97,$E$112,$E$127,$E$142,$E$157,$E$172,$E$187)</f>
        <v>347517.03751295333</v>
      </c>
      <c r="F217" s="56">
        <f>SUM($F$7,$F$22,$F$52,$F$37,$F$67,$F$82,$F$97,$F$112,$F$127,$F$142,$F$157,$F$172,$F$187)</f>
        <v>0</v>
      </c>
      <c r="G217" s="56">
        <f>SUM(Tabela2416223444141517[[#This Row],[Salário Base Total (R$)]:[Média Valor Férias/H. Extras]])</f>
        <v>14085679.624179618</v>
      </c>
      <c r="H217" s="56">
        <v>0</v>
      </c>
      <c r="I217" s="56">
        <v>0</v>
      </c>
      <c r="J217" s="56">
        <f>SUM($J$7,$J$22,$J$52,$J$37,$J$67,$J$82,$J$97,$J$112,$J$127,$J$142,$J$157,$J$172,$J$187)</f>
        <v>0</v>
      </c>
      <c r="K217" s="56">
        <f>SUM($K$7,$K$22,$K$52,$K$37,$K$67,$K$82,$K$97,$K$112,$K$127,$K$142,$K$157,$K$172,$K$187)</f>
        <v>0</v>
      </c>
      <c r="N217"/>
    </row>
    <row r="218" spans="1:14" ht="28.5" customHeight="1" x14ac:dyDescent="0.25">
      <c r="A218" s="9" t="s">
        <v>21</v>
      </c>
      <c r="B218" s="10">
        <v>51</v>
      </c>
      <c r="C218" s="56">
        <f>SUM($C$8,$C$23,$C$53,$C$38,$C$68,$C$83,$C$98,$C$113,$C$128,$C$143,$C$158,$C$173,$C$188)</f>
        <v>2667413.3308333335</v>
      </c>
      <c r="D218" s="56">
        <f>SUM($D$8,$D$23,$D$53,$D$38,$D$68,$D$83,$D$98,$D$113,$D$128,$D$143,$D$158,$D$173,$D$188)</f>
        <v>1063862.1900000004</v>
      </c>
      <c r="E218" s="56">
        <f>SUM($E$8,$E$23,$E$53,$E$38,$E$68,$E$83,$E$98,$E$113,$E$128,$E$143,$E$158,$E$173,$E$188)</f>
        <v>76807.223267973852</v>
      </c>
      <c r="F218" s="56">
        <f>SUM($F$8,$F$23,$F$53,$F$38,$F$68,$F$83,$F$98,$F$113,$F$128,$F$143,$F$158,$F$173,$F$188)</f>
        <v>3399.24</v>
      </c>
      <c r="G218" s="56">
        <f>SUM(Tabela2416223444141517[[#This Row],[Salário Base Total (R$)]:[Média Valor Férias/H. Extras]])</f>
        <v>3811481.984101308</v>
      </c>
      <c r="H218" s="56">
        <v>0</v>
      </c>
      <c r="I218" s="56">
        <v>0</v>
      </c>
      <c r="J218" s="56">
        <f>SUM($J$8,$J$23,$J$53,$J$38,$J$68,$J$83,$J$98,$J$113,$J$128,$J$143,$J$158,$J$173,$J$188)</f>
        <v>0</v>
      </c>
      <c r="K218" s="56">
        <f>SUM($K$8,$K$23,$K$53,$K$38,$K$68,$K$83,$K$98,$K$113,$K$128,$K$143,$K$158,$K$173,$K$188)</f>
        <v>0</v>
      </c>
      <c r="N218"/>
    </row>
    <row r="219" spans="1:14" ht="28.5" customHeight="1" x14ac:dyDescent="0.25">
      <c r="A219" s="14" t="s">
        <v>23</v>
      </c>
      <c r="B219" s="15">
        <f t="shared" ref="B219:K219" si="34">SUBTOTAL(109,B214:B218)</f>
        <v>496</v>
      </c>
      <c r="C219" s="59">
        <f t="shared" si="34"/>
        <v>23229290.843806665</v>
      </c>
      <c r="D219" s="59">
        <f t="shared" si="34"/>
        <v>2578540.08</v>
      </c>
      <c r="E219" s="59">
        <f t="shared" si="34"/>
        <v>595229.53550264763</v>
      </c>
      <c r="F219" s="59">
        <f t="shared" si="34"/>
        <v>29394.410580645155</v>
      </c>
      <c r="G219" s="59">
        <f>SUBTOTAL(109,G214:G218)</f>
        <v>26432454.869889956</v>
      </c>
      <c r="H219" s="59">
        <f t="shared" si="34"/>
        <v>0</v>
      </c>
      <c r="I219" s="59">
        <f t="shared" si="34"/>
        <v>0</v>
      </c>
      <c r="J219" s="59">
        <f t="shared" si="34"/>
        <v>0</v>
      </c>
      <c r="K219" s="59">
        <f t="shared" si="34"/>
        <v>0</v>
      </c>
      <c r="N219"/>
    </row>
    <row r="220" spans="1:14" ht="7.5" customHeight="1" x14ac:dyDescent="0.25">
      <c r="A220" s="18"/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1" spans="1:14" ht="15.75" x14ac:dyDescent="0.25">
      <c r="E221" s="20"/>
      <c r="F221" s="21"/>
      <c r="H221" s="30"/>
      <c r="I221" s="31"/>
    </row>
    <row r="222" spans="1:14" ht="15.75" x14ac:dyDescent="0.25">
      <c r="A222" t="s">
        <v>66</v>
      </c>
      <c r="C222" s="74">
        <v>48000</v>
      </c>
      <c r="E222" s="20"/>
      <c r="F222" s="21"/>
      <c r="H222" s="30"/>
      <c r="I222" s="31"/>
    </row>
    <row r="223" spans="1:14" ht="15.75" x14ac:dyDescent="0.25">
      <c r="A223" t="s">
        <v>41</v>
      </c>
      <c r="C223" s="74">
        <v>42000</v>
      </c>
      <c r="E223" s="20"/>
      <c r="F223" s="21"/>
      <c r="H223" s="30"/>
      <c r="I223" s="31"/>
    </row>
    <row r="224" spans="1:14" ht="15.75" x14ac:dyDescent="0.25">
      <c r="A224" t="s">
        <v>64</v>
      </c>
      <c r="C224" s="74">
        <f>SUM($C$4,$C$19,$C$49,$C$34,$C$64)/5</f>
        <v>82961.682000000001</v>
      </c>
      <c r="E224" s="20"/>
      <c r="F224" s="21"/>
      <c r="H224" s="30"/>
      <c r="I224" s="31"/>
    </row>
    <row r="225" spans="1:9" ht="15.75" x14ac:dyDescent="0.25">
      <c r="A225" t="s">
        <v>63</v>
      </c>
      <c r="C225" s="74">
        <f>SUM(C224*4%)</f>
        <v>3318.4672800000003</v>
      </c>
      <c r="D225" s="21"/>
      <c r="E225" s="20"/>
      <c r="F225" s="21"/>
      <c r="H225" s="30"/>
      <c r="I225" s="31"/>
    </row>
    <row r="226" spans="1:9" ht="15.75" x14ac:dyDescent="0.25">
      <c r="A226" t="s">
        <v>65</v>
      </c>
      <c r="C226" s="74">
        <f>C224+C225</f>
        <v>86280.149279999998</v>
      </c>
      <c r="D226" s="21"/>
      <c r="E226" s="20"/>
      <c r="F226" s="21"/>
      <c r="H226" s="30"/>
      <c r="I226" s="31"/>
    </row>
    <row r="227" spans="1:9" ht="15.75" x14ac:dyDescent="0.25">
      <c r="C227" s="29"/>
      <c r="E227" s="20"/>
      <c r="F227" s="21"/>
      <c r="H227" s="30"/>
      <c r="I227" s="31"/>
    </row>
    <row r="228" spans="1:9" ht="15.75" x14ac:dyDescent="0.25">
      <c r="C228" s="29"/>
      <c r="E228" s="20"/>
      <c r="F228" s="21"/>
      <c r="G228" s="21"/>
      <c r="H228" s="30"/>
      <c r="I228" s="31"/>
    </row>
    <row r="229" spans="1:9" ht="15.75" x14ac:dyDescent="0.25">
      <c r="C229" s="77" t="s">
        <v>46</v>
      </c>
      <c r="D229" s="77"/>
      <c r="E229" s="77"/>
      <c r="F229" s="77"/>
      <c r="G229" s="21"/>
      <c r="H229" s="30"/>
      <c r="I229" s="31"/>
    </row>
    <row r="230" spans="1:9" ht="15.75" x14ac:dyDescent="0.25">
      <c r="C230" s="32" t="s">
        <v>43</v>
      </c>
      <c r="D230" s="32"/>
      <c r="E230" s="32"/>
      <c r="F230" s="33">
        <v>38123534.710000001</v>
      </c>
      <c r="G230" s="21"/>
      <c r="H230" s="30"/>
      <c r="I230" s="31"/>
    </row>
    <row r="231" spans="1:9" ht="15.75" x14ac:dyDescent="0.25">
      <c r="C231" s="32" t="str">
        <f>Tabela2416223444141517[[#Headers],[Salário Base Total (R$)]]</f>
        <v>Salário Base Total (R$)</v>
      </c>
      <c r="D231" s="32"/>
      <c r="E231" s="32"/>
      <c r="F231" s="33">
        <f>C219</f>
        <v>23229290.843806665</v>
      </c>
      <c r="G231" s="21"/>
      <c r="H231" s="30"/>
      <c r="I231" s="31"/>
    </row>
    <row r="232" spans="1:9" ht="15.75" x14ac:dyDescent="0.25">
      <c r="C232" s="32" t="str">
        <f>Tabela2416223444141517[[#Headers],[Outros Vencimentos (R$)]]</f>
        <v>Outros Vencimentos (R$)</v>
      </c>
      <c r="D232" s="32"/>
      <c r="E232" s="32"/>
      <c r="F232" s="33">
        <f>D219</f>
        <v>2578540.08</v>
      </c>
      <c r="G232" s="21"/>
      <c r="H232" s="30"/>
      <c r="I232" s="31"/>
    </row>
    <row r="233" spans="1:9" ht="15.75" x14ac:dyDescent="0.25">
      <c r="C233" s="32" t="s">
        <v>44</v>
      </c>
      <c r="D233" s="32"/>
      <c r="E233" s="32"/>
      <c r="F233" s="33">
        <f>SUM(F231:F232)</f>
        <v>25807830.923806667</v>
      </c>
      <c r="G233" s="21"/>
      <c r="H233" s="30"/>
      <c r="I233" s="31"/>
    </row>
    <row r="234" spans="1:9" ht="15.75" x14ac:dyDescent="0.25">
      <c r="C234" s="32" t="s">
        <v>45</v>
      </c>
      <c r="D234" s="32"/>
      <c r="E234" s="32"/>
      <c r="F234" s="34">
        <f>F233/F230</f>
        <v>0.67695273064585848</v>
      </c>
      <c r="G234" s="21"/>
      <c r="H234" s="30"/>
      <c r="I234" s="31"/>
    </row>
    <row r="235" spans="1:9" ht="15.75" x14ac:dyDescent="0.25">
      <c r="C235" s="29"/>
      <c r="E235" s="20"/>
      <c r="F235" s="21"/>
      <c r="G235" s="21"/>
      <c r="H235" s="30"/>
      <c r="I235" s="31"/>
    </row>
    <row r="236" spans="1:9" ht="15.75" x14ac:dyDescent="0.25">
      <c r="C236" s="29"/>
      <c r="E236" s="20"/>
      <c r="F236" s="21"/>
      <c r="G236" s="21"/>
      <c r="H236" s="30"/>
      <c r="I236" s="31"/>
    </row>
    <row r="237" spans="1:9" ht="15.75" x14ac:dyDescent="0.25">
      <c r="C237" s="29"/>
      <c r="E237" s="20"/>
      <c r="F237" s="21"/>
      <c r="G237" s="21"/>
      <c r="H237" s="30"/>
      <c r="I237" s="31"/>
    </row>
    <row r="238" spans="1:9" ht="15.75" x14ac:dyDescent="0.25">
      <c r="C238" s="29"/>
      <c r="E238" s="20"/>
      <c r="F238" s="21"/>
      <c r="G238" s="21"/>
      <c r="H238" s="30"/>
      <c r="I238" s="31"/>
    </row>
    <row r="239" spans="1:9" ht="15.75" x14ac:dyDescent="0.25">
      <c r="C239" s="29"/>
      <c r="E239" s="20"/>
      <c r="F239" s="21"/>
      <c r="G239" s="21"/>
      <c r="H239" s="30"/>
      <c r="I239" s="31"/>
    </row>
    <row r="240" spans="1:9" ht="15.75" x14ac:dyDescent="0.25">
      <c r="C240" s="29"/>
      <c r="E240" s="20"/>
      <c r="F240" s="21"/>
      <c r="G240" s="21"/>
      <c r="H240" s="30"/>
      <c r="I240" s="31"/>
    </row>
    <row r="241" spans="3:9" ht="15.75" x14ac:dyDescent="0.25">
      <c r="C241" s="29"/>
      <c r="E241" s="20"/>
      <c r="F241" s="21"/>
      <c r="G241" s="21"/>
      <c r="H241" s="30"/>
      <c r="I241" s="31"/>
    </row>
    <row r="242" spans="3:9" ht="15.75" x14ac:dyDescent="0.25">
      <c r="C242" s="29"/>
      <c r="E242" s="20"/>
      <c r="F242" s="21"/>
      <c r="G242" s="21"/>
      <c r="H242" s="30"/>
      <c r="I242" s="31"/>
    </row>
    <row r="243" spans="3:9" ht="15.75" x14ac:dyDescent="0.25">
      <c r="C243" s="29"/>
      <c r="E243" s="20"/>
      <c r="F243" s="21"/>
      <c r="G243" s="21"/>
      <c r="H243" s="30"/>
      <c r="I243" s="31"/>
    </row>
    <row r="244" spans="3:9" ht="15.75" x14ac:dyDescent="0.25">
      <c r="C244" s="29"/>
      <c r="E244" s="20"/>
      <c r="F244" s="21"/>
      <c r="G244" s="21"/>
      <c r="H244" s="30"/>
      <c r="I244" s="31"/>
    </row>
    <row r="245" spans="3:9" ht="15.75" x14ac:dyDescent="0.25">
      <c r="C245" s="29"/>
      <c r="E245" s="20"/>
      <c r="F245" s="21"/>
      <c r="G245" s="21"/>
      <c r="H245" s="30"/>
      <c r="I245" s="31"/>
    </row>
    <row r="246" spans="3:9" ht="15.75" x14ac:dyDescent="0.25">
      <c r="C246" s="29"/>
      <c r="E246" s="20"/>
      <c r="F246" s="21"/>
      <c r="G246" s="21"/>
      <c r="H246" s="30"/>
      <c r="I246" s="31"/>
    </row>
    <row r="247" spans="3:9" ht="15.75" x14ac:dyDescent="0.25">
      <c r="C247" s="29"/>
      <c r="E247" s="20"/>
      <c r="F247" s="21"/>
      <c r="G247" s="21"/>
      <c r="H247" s="30"/>
      <c r="I247" s="31"/>
    </row>
    <row r="248" spans="3:9" ht="15.75" x14ac:dyDescent="0.25">
      <c r="C248" s="29"/>
      <c r="E248" s="20"/>
      <c r="F248" s="21"/>
      <c r="G248" s="21"/>
      <c r="H248" s="30"/>
      <c r="I248" s="31"/>
    </row>
    <row r="249" spans="3:9" ht="15.75" x14ac:dyDescent="0.25">
      <c r="C249" s="29"/>
      <c r="E249" s="20"/>
      <c r="F249" s="21"/>
      <c r="G249" s="21"/>
      <c r="H249" s="30"/>
      <c r="I249" s="31"/>
    </row>
    <row r="250" spans="3:9" ht="15.75" x14ac:dyDescent="0.25">
      <c r="C250" s="29"/>
      <c r="E250" s="20"/>
      <c r="F250" s="21"/>
      <c r="G250" s="21"/>
      <c r="H250" s="30"/>
      <c r="I250" s="31"/>
    </row>
    <row r="251" spans="3:9" ht="15.75" x14ac:dyDescent="0.25">
      <c r="C251" s="29"/>
      <c r="E251" s="20"/>
      <c r="F251" s="21"/>
      <c r="G251" s="21"/>
      <c r="H251" s="30"/>
      <c r="I251" s="31"/>
    </row>
    <row r="252" spans="3:9" ht="15.75" x14ac:dyDescent="0.25">
      <c r="C252" s="29"/>
      <c r="E252" s="20"/>
      <c r="F252" s="21"/>
      <c r="G252" s="21"/>
      <c r="H252" s="30"/>
      <c r="I252" s="31"/>
    </row>
    <row r="253" spans="3:9" ht="15.75" x14ac:dyDescent="0.25">
      <c r="C253" s="29"/>
      <c r="E253" s="20"/>
      <c r="F253" s="21"/>
      <c r="G253" s="21"/>
      <c r="H253" s="30"/>
      <c r="I253" s="31"/>
    </row>
    <row r="254" spans="3:9" ht="15.75" x14ac:dyDescent="0.25">
      <c r="C254" s="29"/>
      <c r="E254" s="20"/>
      <c r="F254" s="21"/>
      <c r="G254" s="21"/>
      <c r="H254" s="30"/>
      <c r="I254" s="31"/>
    </row>
    <row r="255" spans="3:9" ht="15.75" x14ac:dyDescent="0.25">
      <c r="C255" s="29"/>
      <c r="E255" s="20"/>
      <c r="F255" s="21"/>
      <c r="G255" s="21"/>
      <c r="H255" s="30"/>
      <c r="I255" s="31"/>
    </row>
    <row r="256" spans="3:9" ht="15.75" x14ac:dyDescent="0.25">
      <c r="C256" s="29"/>
      <c r="E256" s="20"/>
      <c r="F256" s="21"/>
      <c r="G256" s="21"/>
      <c r="H256" s="30"/>
      <c r="I256" s="31"/>
    </row>
    <row r="257" spans="1:11" ht="15.75" x14ac:dyDescent="0.25">
      <c r="C257" s="29"/>
      <c r="E257" s="20"/>
      <c r="F257" s="21"/>
      <c r="G257" s="21"/>
      <c r="H257" s="30"/>
      <c r="I257" s="31"/>
    </row>
    <row r="258" spans="1:11" ht="17.25" x14ac:dyDescent="0.3">
      <c r="A258" s="76" t="s">
        <v>62</v>
      </c>
      <c r="B258" s="76"/>
      <c r="C258" s="76"/>
      <c r="D258" s="76"/>
      <c r="E258" s="76"/>
      <c r="F258" s="76"/>
      <c r="G258" s="76"/>
      <c r="H258" s="76"/>
      <c r="I258" s="76"/>
      <c r="J258" s="76"/>
      <c r="K258" s="76"/>
    </row>
    <row r="259" spans="1:11" ht="15.75" x14ac:dyDescent="0.25">
      <c r="A259" s="49" t="s">
        <v>47</v>
      </c>
      <c r="B259" s="50"/>
      <c r="C259" s="51" t="s">
        <v>52</v>
      </c>
      <c r="D259" s="50" t="s">
        <v>53</v>
      </c>
      <c r="E259" s="52" t="s">
        <v>54</v>
      </c>
      <c r="F259" s="53" t="s">
        <v>55</v>
      </c>
      <c r="G259" s="53" t="s">
        <v>56</v>
      </c>
      <c r="H259" s="54" t="s">
        <v>57</v>
      </c>
      <c r="I259" s="52" t="s">
        <v>58</v>
      </c>
      <c r="J259" s="55" t="s">
        <v>40</v>
      </c>
      <c r="K259" s="55" t="s">
        <v>61</v>
      </c>
    </row>
    <row r="260" spans="1:11" ht="15.75" x14ac:dyDescent="0.25">
      <c r="A260" s="36" t="s">
        <v>48</v>
      </c>
      <c r="B260" s="36"/>
      <c r="C260" s="40">
        <v>18431.849999999999</v>
      </c>
      <c r="D260" s="40">
        <v>18431.849999999999</v>
      </c>
      <c r="E260" s="41">
        <v>18431.849999999999</v>
      </c>
      <c r="F260" s="41">
        <v>18431.849999999999</v>
      </c>
      <c r="G260" s="42">
        <f>SUM(C260:F260)/4</f>
        <v>18431.849999999999</v>
      </c>
      <c r="H260" s="43">
        <f>G260*12</f>
        <v>221182.19999999998</v>
      </c>
      <c r="I260" s="44">
        <f>G260</f>
        <v>18431.849999999999</v>
      </c>
      <c r="J260" s="47">
        <f>SUM(H260:I260)</f>
        <v>239614.05</v>
      </c>
      <c r="K260" s="47">
        <f>J260</f>
        <v>239614.05</v>
      </c>
    </row>
    <row r="261" spans="1:11" ht="15.75" x14ac:dyDescent="0.25">
      <c r="A261" s="36" t="s">
        <v>49</v>
      </c>
      <c r="B261" s="36"/>
      <c r="C261" s="40">
        <v>2990</v>
      </c>
      <c r="D261" s="42">
        <v>3735.34</v>
      </c>
      <c r="E261" s="45">
        <v>3913</v>
      </c>
      <c r="F261" s="42">
        <v>3739.67</v>
      </c>
      <c r="G261" s="42">
        <f>SUM(C261:F261)/4</f>
        <v>3594.5025000000001</v>
      </c>
      <c r="H261" s="43">
        <f t="shared" ref="H261:H263" si="35">G261*12</f>
        <v>43134.03</v>
      </c>
      <c r="I261" s="44">
        <f>G261</f>
        <v>3594.5025000000001</v>
      </c>
      <c r="J261" s="47">
        <f t="shared" ref="J261:J264" si="36">SUM(H261:I261)</f>
        <v>46728.532500000001</v>
      </c>
      <c r="K261" s="47">
        <v>0</v>
      </c>
    </row>
    <row r="262" spans="1:11" ht="15.75" x14ac:dyDescent="0.25">
      <c r="A262" s="36" t="s">
        <v>50</v>
      </c>
      <c r="B262" s="36"/>
      <c r="C262" s="40">
        <v>1744306.72</v>
      </c>
      <c r="D262" s="42">
        <v>1934984.24</v>
      </c>
      <c r="E262" s="45">
        <v>1938601.7</v>
      </c>
      <c r="F262" s="42">
        <v>1927467.91</v>
      </c>
      <c r="G262" s="42">
        <f>SUM(C262:F262)/4</f>
        <v>1886340.1425000001</v>
      </c>
      <c r="H262" s="43">
        <f t="shared" si="35"/>
        <v>22636081.710000001</v>
      </c>
      <c r="I262" s="44">
        <f>G262</f>
        <v>1886340.1425000001</v>
      </c>
      <c r="J262" s="47">
        <f t="shared" si="36"/>
        <v>24522421.852499999</v>
      </c>
      <c r="K262" s="47">
        <f t="shared" ref="K262" si="37">J262</f>
        <v>24522421.852499999</v>
      </c>
    </row>
    <row r="263" spans="1:11" ht="15.75" x14ac:dyDescent="0.25">
      <c r="A263" s="36" t="s">
        <v>51</v>
      </c>
      <c r="B263" s="36"/>
      <c r="C263" s="40"/>
      <c r="D263" s="42">
        <v>51631.19</v>
      </c>
      <c r="E263" s="45"/>
      <c r="F263" s="42">
        <v>21183.09</v>
      </c>
      <c r="G263" s="42">
        <f>SUM(C263:F263)/4</f>
        <v>18203.57</v>
      </c>
      <c r="H263" s="43">
        <f t="shared" si="35"/>
        <v>218442.84</v>
      </c>
      <c r="I263" s="44"/>
      <c r="J263" s="47">
        <f t="shared" si="36"/>
        <v>218442.84</v>
      </c>
      <c r="K263" s="47">
        <v>0</v>
      </c>
    </row>
    <row r="264" spans="1:11" ht="15.75" x14ac:dyDescent="0.25">
      <c r="A264" s="36" t="s">
        <v>23</v>
      </c>
      <c r="B264" s="36"/>
      <c r="C264" s="40">
        <f t="shared" ref="C264:I264" si="38">SUM(C260:C263)</f>
        <v>1765728.57</v>
      </c>
      <c r="D264" s="40">
        <f t="shared" si="38"/>
        <v>2008782.6199999999</v>
      </c>
      <c r="E264" s="41">
        <f t="shared" si="38"/>
        <v>1960946.55</v>
      </c>
      <c r="F264" s="40">
        <f t="shared" si="38"/>
        <v>1970822.52</v>
      </c>
      <c r="G264" s="42">
        <f t="shared" si="38"/>
        <v>1926570.0650000002</v>
      </c>
      <c r="H264" s="42">
        <f t="shared" si="38"/>
        <v>23118840.780000001</v>
      </c>
      <c r="I264" s="42">
        <f t="shared" si="38"/>
        <v>1908366.4950000001</v>
      </c>
      <c r="J264" s="47">
        <f t="shared" si="36"/>
        <v>25027207.275000002</v>
      </c>
      <c r="K264" s="47">
        <f>SUM(K260:K263)</f>
        <v>24762035.9025</v>
      </c>
    </row>
    <row r="265" spans="1:11" ht="15.75" x14ac:dyDescent="0.25">
      <c r="C265" s="29"/>
      <c r="D265" s="29"/>
      <c r="E265" s="29"/>
      <c r="F265" s="21"/>
      <c r="G265" s="21"/>
      <c r="H265" s="35"/>
      <c r="I265" s="31"/>
      <c r="K265" s="47"/>
    </row>
    <row r="266" spans="1:11" ht="15.75" x14ac:dyDescent="0.25">
      <c r="C266" s="29"/>
      <c r="E266" s="20"/>
      <c r="F266" s="21"/>
      <c r="G266" s="21"/>
      <c r="H266" s="30"/>
      <c r="I266" s="31"/>
      <c r="J266" s="46" t="s">
        <v>59</v>
      </c>
      <c r="K266" s="47">
        <v>38123534.710000001</v>
      </c>
    </row>
    <row r="267" spans="1:11" ht="15.75" x14ac:dyDescent="0.25">
      <c r="C267" s="29"/>
      <c r="E267" s="20"/>
      <c r="F267" s="21"/>
      <c r="G267" s="21"/>
      <c r="H267" s="30"/>
      <c r="I267" s="31"/>
      <c r="J267" s="46" t="s">
        <v>60</v>
      </c>
      <c r="K267" s="48">
        <f>K264/K266</f>
        <v>0.64952098725527641</v>
      </c>
    </row>
    <row r="268" spans="1:11" ht="15.75" x14ac:dyDescent="0.25">
      <c r="C268" s="29"/>
      <c r="E268" s="20"/>
      <c r="F268" s="21"/>
      <c r="G268" s="21"/>
      <c r="H268" s="30"/>
      <c r="I268" s="31"/>
    </row>
    <row r="269" spans="1:11" ht="15.75" x14ac:dyDescent="0.25">
      <c r="C269" s="29"/>
      <c r="E269" s="20"/>
      <c r="F269" s="21"/>
      <c r="G269" s="21"/>
      <c r="H269" s="30"/>
      <c r="I269" s="31"/>
    </row>
    <row r="270" spans="1:11" ht="15.75" x14ac:dyDescent="0.25">
      <c r="C270" s="29"/>
      <c r="E270" s="20"/>
      <c r="F270" s="21"/>
      <c r="G270" s="21"/>
      <c r="H270" s="30"/>
      <c r="I270" s="31"/>
    </row>
    <row r="271" spans="1:11" ht="15.75" x14ac:dyDescent="0.25">
      <c r="C271" s="29"/>
      <c r="E271" s="20"/>
      <c r="F271" s="21"/>
      <c r="G271" s="21"/>
      <c r="H271" s="30"/>
      <c r="I271" s="31"/>
    </row>
    <row r="272" spans="1:11" ht="15.75" x14ac:dyDescent="0.25">
      <c r="C272" s="29"/>
      <c r="E272" s="20"/>
      <c r="F272" s="21"/>
      <c r="G272" s="21"/>
      <c r="H272" s="30"/>
      <c r="I272" s="31"/>
    </row>
    <row r="273" spans="3:9" ht="15.75" x14ac:dyDescent="0.25">
      <c r="C273" s="29"/>
      <c r="E273" s="20"/>
      <c r="F273" s="21"/>
      <c r="G273" s="21"/>
      <c r="H273" s="30"/>
      <c r="I273" s="31"/>
    </row>
  </sheetData>
  <mergeCells count="3">
    <mergeCell ref="A211:K211"/>
    <mergeCell ref="C229:F229"/>
    <mergeCell ref="A258:K258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59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rowBreaks count="7" manualBreakCount="7">
    <brk id="29" max="16383" man="1"/>
    <brk id="59" max="16383" man="1"/>
    <brk id="89" max="16383" man="1"/>
    <brk id="119" max="16383" man="1"/>
    <brk id="149" max="16383" man="1"/>
    <brk id="179" max="16383" man="1"/>
    <brk id="209" max="10" man="1"/>
  </rowBreaks>
  <colBreaks count="1" manualBreakCount="1">
    <brk id="12" max="1048575" man="1"/>
  </colBreaks>
  <legacyDrawing r:id="rId2"/>
  <legacyDrawingHF r:id="rId3"/>
  <tableParts count="15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PROJECAO CMVC</vt:lpstr>
      <vt:lpstr>'PROJECAO CMVC'!Area_de_impressao</vt:lpstr>
      <vt:lpstr>'PROJECAO CMVC'!janeiro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 Consultoria</dc:creator>
  <cp:lastModifiedBy>Lopes Consultoria</cp:lastModifiedBy>
  <cp:lastPrinted>2025-06-03T11:43:37Z</cp:lastPrinted>
  <dcterms:created xsi:type="dcterms:W3CDTF">2025-05-21T20:24:01Z</dcterms:created>
  <dcterms:modified xsi:type="dcterms:W3CDTF">2025-07-03T19:40:54Z</dcterms:modified>
</cp:coreProperties>
</file>