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us Documentos\Desktop\DIRECAO CONTABILIDADE\LOPES CONSULTORIA\CMVC\"/>
    </mc:Choice>
  </mc:AlternateContent>
  <xr:revisionPtr revIDLastSave="0" documentId="13_ncr:1_{4DE60031-6CE4-4313-9EA5-336EB25ABA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fetivos" sheetId="4" r:id="rId1"/>
    <sheet name="Comissionados" sheetId="5" r:id="rId2"/>
    <sheet name="Inativos" sheetId="7" r:id="rId3"/>
    <sheet name="Agentes Políticos" sheetId="8" r:id="rId4"/>
    <sheet name="Estagiários" sheetId="9" r:id="rId5"/>
  </sheets>
  <calcPr calcId="179021"/>
</workbook>
</file>

<file path=xl/calcChain.xml><?xml version="1.0" encoding="utf-8"?>
<calcChain xmlns="http://schemas.openxmlformats.org/spreadsheetml/2006/main">
  <c r="F3" i="4" l="1"/>
  <c r="F2" i="4"/>
  <c r="I2" i="9"/>
  <c r="G2" i="9"/>
  <c r="G2" i="8"/>
  <c r="G2" i="7"/>
  <c r="G3" i="7"/>
  <c r="G4" i="7"/>
  <c r="G5" i="7"/>
  <c r="G5" i="4"/>
  <c r="G9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F11" i="4"/>
  <c r="G11" i="4" s="1"/>
  <c r="F10" i="4"/>
  <c r="G10" i="4" s="1"/>
  <c r="F9" i="4"/>
  <c r="F8" i="4"/>
  <c r="G8" i="4" s="1"/>
  <c r="F7" i="4"/>
  <c r="G7" i="4" s="1"/>
  <c r="F6" i="4"/>
  <c r="G6" i="4" s="1"/>
  <c r="F5" i="4"/>
  <c r="F4" i="4"/>
  <c r="G4" i="4" s="1"/>
  <c r="G3" i="4"/>
  <c r="G2" i="4"/>
  <c r="H37" i="5"/>
  <c r="I40" i="5"/>
  <c r="H40" i="5"/>
  <c r="H35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O22" i="5" l="1"/>
  <c r="O4" i="5"/>
  <c r="O7" i="5"/>
  <c r="O9" i="5"/>
  <c r="H59" i="5"/>
  <c r="H56" i="5"/>
  <c r="H55" i="5"/>
  <c r="N24" i="4"/>
  <c r="U24" i="4"/>
  <c r="K24" i="4"/>
  <c r="J24" i="4"/>
  <c r="X23" i="4"/>
  <c r="O23" i="4"/>
  <c r="U23" i="4"/>
  <c r="L23" i="4"/>
  <c r="K23" i="4"/>
  <c r="J23" i="4"/>
  <c r="M22" i="4"/>
  <c r="AD22" i="4"/>
  <c r="O22" i="4"/>
  <c r="I22" i="4"/>
  <c r="L22" i="4"/>
  <c r="U22" i="4"/>
  <c r="K22" i="4"/>
  <c r="J22" i="4"/>
  <c r="H22" i="4"/>
  <c r="I50" i="5" l="1"/>
  <c r="H50" i="5"/>
  <c r="W21" i="4"/>
  <c r="O21" i="4"/>
  <c r="N21" i="4"/>
  <c r="U21" i="4"/>
  <c r="I48" i="5"/>
  <c r="L45" i="5"/>
  <c r="I45" i="5"/>
  <c r="H43" i="5"/>
  <c r="X20" i="4"/>
  <c r="Q20" i="4"/>
  <c r="U20" i="4"/>
  <c r="K20" i="4"/>
  <c r="J20" i="4"/>
  <c r="H19" i="4"/>
  <c r="H42" i="5"/>
  <c r="I38" i="5"/>
  <c r="H38" i="5"/>
  <c r="I35" i="5"/>
  <c r="H31" i="5"/>
  <c r="O18" i="4" l="1"/>
  <c r="T18" i="4"/>
  <c r="U18" i="4"/>
  <c r="L18" i="4"/>
  <c r="K18" i="4"/>
  <c r="J18" i="4"/>
  <c r="H18" i="4"/>
  <c r="N17" i="4"/>
  <c r="I17" i="4"/>
  <c r="L17" i="4"/>
  <c r="U17" i="4"/>
  <c r="H17" i="4"/>
  <c r="I16" i="4"/>
  <c r="L16" i="4"/>
  <c r="U16" i="4"/>
  <c r="K16" i="4"/>
  <c r="J16" i="4"/>
  <c r="H16" i="4"/>
  <c r="AC15" i="4"/>
  <c r="M15" i="4"/>
  <c r="P15" i="4"/>
  <c r="O15" i="4"/>
  <c r="L15" i="4"/>
  <c r="K15" i="4"/>
  <c r="J15" i="4"/>
  <c r="Z15" i="4"/>
  <c r="H15" i="4"/>
  <c r="AC14" i="4"/>
  <c r="P14" i="4"/>
  <c r="O14" i="4"/>
  <c r="T14" i="4"/>
  <c r="L14" i="4"/>
  <c r="K14" i="4"/>
  <c r="J14" i="4"/>
  <c r="Z14" i="4"/>
  <c r="H14" i="4"/>
  <c r="S13" i="4"/>
  <c r="R13" i="4"/>
  <c r="P13" i="4"/>
  <c r="O13" i="4"/>
  <c r="L13" i="4"/>
  <c r="U13" i="4"/>
  <c r="K13" i="4"/>
  <c r="J13" i="4"/>
  <c r="H13" i="4"/>
  <c r="M12" i="4"/>
  <c r="AB12" i="4"/>
  <c r="T12" i="4"/>
  <c r="L12" i="4"/>
  <c r="U12" i="4"/>
  <c r="K12" i="4"/>
  <c r="J12" i="4"/>
  <c r="H12" i="4"/>
  <c r="T11" i="4"/>
  <c r="L11" i="4"/>
  <c r="K11" i="4"/>
  <c r="J11" i="4"/>
  <c r="AA11" i="4"/>
  <c r="Y11" i="4"/>
  <c r="H11" i="4"/>
  <c r="AA10" i="4"/>
  <c r="L10" i="4"/>
  <c r="K10" i="4"/>
  <c r="J10" i="4"/>
  <c r="Y10" i="4"/>
  <c r="H10" i="4"/>
  <c r="I9" i="4"/>
  <c r="L9" i="4"/>
  <c r="H9" i="4"/>
  <c r="M8" i="4"/>
  <c r="N8" i="4"/>
  <c r="T8" i="4"/>
  <c r="L8" i="4"/>
  <c r="U8" i="4"/>
  <c r="K8" i="4"/>
  <c r="J8" i="4"/>
  <c r="H8" i="4"/>
  <c r="Q8" i="4"/>
  <c r="T7" i="4"/>
  <c r="L7" i="4"/>
  <c r="U7" i="4"/>
  <c r="K7" i="4"/>
  <c r="J7" i="4"/>
  <c r="H7" i="4"/>
  <c r="V7" i="4"/>
  <c r="Q7" i="4"/>
  <c r="O7" i="4"/>
  <c r="Q6" i="4"/>
  <c r="T6" i="4"/>
  <c r="L6" i="4"/>
  <c r="K6" i="4"/>
  <c r="J6" i="4"/>
  <c r="H6" i="4"/>
  <c r="U6" i="4"/>
  <c r="L5" i="4"/>
  <c r="H5" i="4"/>
  <c r="L3" i="4"/>
  <c r="K3" i="4"/>
  <c r="J3" i="4"/>
  <c r="H3" i="4"/>
  <c r="Q3" i="4"/>
  <c r="T3" i="4"/>
  <c r="O3" i="4"/>
  <c r="L2" i="4"/>
  <c r="J2" i="4"/>
  <c r="I2" i="4"/>
  <c r="H2" i="4"/>
</calcChain>
</file>

<file path=xl/sharedStrings.xml><?xml version="1.0" encoding="utf-8"?>
<sst xmlns="http://schemas.openxmlformats.org/spreadsheetml/2006/main" count="329" uniqueCount="150">
  <si>
    <t>Código</t>
  </si>
  <si>
    <t>Salário Base</t>
  </si>
  <si>
    <t>Regime</t>
  </si>
  <si>
    <t>EFETIVO</t>
  </si>
  <si>
    <t>INATIVO</t>
  </si>
  <si>
    <t>COMISSIONADO</t>
  </si>
  <si>
    <t>AGENTE LEGISLATIVO</t>
  </si>
  <si>
    <t>MOTORISTA</t>
  </si>
  <si>
    <t>AGENTE PATRIMONIAL</t>
  </si>
  <si>
    <t>JORNALISTA</t>
  </si>
  <si>
    <t>TECNICO EM INFORMATICA</t>
  </si>
  <si>
    <t>TECNICO DA CONTABILIDADE</t>
  </si>
  <si>
    <t>SECRETARIO(A) DE PLENARIO</t>
  </si>
  <si>
    <t>VEREADOR</t>
  </si>
  <si>
    <t>APOSENTADO</t>
  </si>
  <si>
    <t>PENSIONISTA</t>
  </si>
  <si>
    <t>ASSESSOR PARLAMENTAR</t>
  </si>
  <si>
    <t>COORDENADOR DA OUVIDORIA</t>
  </si>
  <si>
    <t>TESOUREIRO</t>
  </si>
  <si>
    <t>COORDENADOR ADMINISTRATIVO</t>
  </si>
  <si>
    <t>ASSESSOR DE IMPRENSA</t>
  </si>
  <si>
    <t>DIRETOR LEGISLATIVO</t>
  </si>
  <si>
    <t>ASSESSOR LIDERANÇA</t>
  </si>
  <si>
    <t>GERENTE DE COMUNICACAO</t>
  </si>
  <si>
    <t>GERENTE DE ALMOXARIFADO</t>
  </si>
  <si>
    <t>DIRETOR DE COMUNICACAO</t>
  </si>
  <si>
    <t>PROCURADOR JURIDICO</t>
  </si>
  <si>
    <t>ASSESSOR VICE-LIDERANÇA</t>
  </si>
  <si>
    <t>DIRETOR ADMINISTRATIVO</t>
  </si>
  <si>
    <t>DIRETOR FINANCEIRO</t>
  </si>
  <si>
    <t>CONTROLADOR INTERNO</t>
  </si>
  <si>
    <t>DIRETOR DO MEMORIAL</t>
  </si>
  <si>
    <t>ASSESSOR DE CERIMONIAL</t>
  </si>
  <si>
    <t>ESTAGIARIO</t>
  </si>
  <si>
    <t>Cargo</t>
  </si>
  <si>
    <t>AGENTE DE SERVICOS AUXILIARES</t>
  </si>
  <si>
    <t>X-23-SERV AUXIL</t>
  </si>
  <si>
    <t>Nível</t>
  </si>
  <si>
    <t>Quantidade</t>
  </si>
  <si>
    <t>K-11-SERV AUXIL</t>
  </si>
  <si>
    <t>H-8-SERV AUXIL</t>
  </si>
  <si>
    <t>J-10-SERV AUXIL</t>
  </si>
  <si>
    <t>K-11-A LEGISLAT</t>
  </si>
  <si>
    <t>J-10-A LEGISLAT</t>
  </si>
  <si>
    <t>I-9-A LEGISLAT</t>
  </si>
  <si>
    <t>Z-24-A LEGISLAT</t>
  </si>
  <si>
    <t>K-11-AG PATRIMO</t>
  </si>
  <si>
    <t>I-9-AG PATRIMO</t>
  </si>
  <si>
    <t>K-11-JORNALISTA</t>
  </si>
  <si>
    <t>K-11-MOTORISTA</t>
  </si>
  <si>
    <t>J-10-MOTORISTA</t>
  </si>
  <si>
    <t>I-9-MOTORISTA</t>
  </si>
  <si>
    <t>Z-24-SEC PLENAR</t>
  </si>
  <si>
    <t>Z-24-CONTABIL</t>
  </si>
  <si>
    <t>I-9-INFORMATI</t>
  </si>
  <si>
    <t>Quinquênio</t>
  </si>
  <si>
    <t>Vencimento Complementar</t>
  </si>
  <si>
    <t>Incentivo Nível Superior</t>
  </si>
  <si>
    <t>Incentivo De Pós-Graduação</t>
  </si>
  <si>
    <t>Incentivo - Nível Médio</t>
  </si>
  <si>
    <t>Fg 01: Integrante De Comissao</t>
  </si>
  <si>
    <t>Fg 06: Atividades Supervisão</t>
  </si>
  <si>
    <t>Aprimoramento Profissional</t>
  </si>
  <si>
    <t>Fg 04: Servicos De Apoio / Sup</t>
  </si>
  <si>
    <t>GCET</t>
  </si>
  <si>
    <t>GAEL-EAP</t>
  </si>
  <si>
    <t>GAEL - GESTOR DE CONTRATOS</t>
  </si>
  <si>
    <t>Fg 03: Comissões: Pres., Sec.</t>
  </si>
  <si>
    <t>Periculosidade</t>
  </si>
  <si>
    <t>Horas Extras 50%</t>
  </si>
  <si>
    <t>Horas Extras 100%</t>
  </si>
  <si>
    <t>Fiscal I</t>
  </si>
  <si>
    <t>Fg 05: Serv. Contante Locomoca</t>
  </si>
  <si>
    <t>Fg 09: Fiscal De Contratos</t>
  </si>
  <si>
    <t>Fg 10: Serv. Externo</t>
  </si>
  <si>
    <t>Diária</t>
  </si>
  <si>
    <t>CCAL-18-ASSPARLAM</t>
  </si>
  <si>
    <t>CCAL-20-ASSPARLAM</t>
  </si>
  <si>
    <t>CCL-1-ASS PARLAM</t>
  </si>
  <si>
    <t>CCAL-19-ASSPARLAM</t>
  </si>
  <si>
    <t>CCAL-17-ASSPARLAM</t>
  </si>
  <si>
    <t>CCL-2-ASS PARLAM</t>
  </si>
  <si>
    <t>CCAL-6-ASSPARLAM</t>
  </si>
  <si>
    <t>CCAL-16-ASSPARLAM</t>
  </si>
  <si>
    <t>CCAL-9-ASSPARLAM</t>
  </si>
  <si>
    <t>CCAL-5-ASSPARLAM</t>
  </si>
  <si>
    <t>CCAL-13-ASSPARLAM</t>
  </si>
  <si>
    <t>CCAL-14-ASSPARLAM</t>
  </si>
  <si>
    <t>CCAL-1-ASSPARLAM</t>
  </si>
  <si>
    <t>CCL-18-ASS PARLAM</t>
  </si>
  <si>
    <t>CCAL-3-ASSPARLAM</t>
  </si>
  <si>
    <t>CCAL-4-ASSPARLAM</t>
  </si>
  <si>
    <t>CCAL-10-ASSPARLAM</t>
  </si>
  <si>
    <t>CCAL-2-ASSPARLAM</t>
  </si>
  <si>
    <t>CCAL-8-ASSPARLAM</t>
  </si>
  <si>
    <t>CCL-8-ASS PARLAM</t>
  </si>
  <si>
    <t>CCL-16-ASS PARLAM</t>
  </si>
  <si>
    <t>CCAL-7-ASSPARLAM</t>
  </si>
  <si>
    <t>CCL-13-ASS PARLAM</t>
  </si>
  <si>
    <t>CCL-3-ASS PARLAM</t>
  </si>
  <si>
    <t>CCAL-12-ASSPARLAM</t>
  </si>
  <si>
    <t>CC-4-COMISSIONA</t>
  </si>
  <si>
    <t>CC-6-COMISSIONA</t>
  </si>
  <si>
    <t>Retroativo De Graduação/Pós</t>
  </si>
  <si>
    <t>ASSESSOR LEGISLATIVO DA PRESIDENCIA</t>
  </si>
  <si>
    <t>ASSESSOR LEGISLATIVO DA MESA DIRETORA</t>
  </si>
  <si>
    <t>CC-3-COMISSIONA</t>
  </si>
  <si>
    <t>GERENTE DE TECNOLOGIA DA INFORMACAO</t>
  </si>
  <si>
    <t>CC-5-COMISSIONA</t>
  </si>
  <si>
    <t>GERENTE DE TECNOLOGIA DA INFORMACAO ADMINISTRATIVO</t>
  </si>
  <si>
    <t>GERENTE DE TECNOLOGIA DA INFORMACAO LEGISLATIVO</t>
  </si>
  <si>
    <t>CC-2-COMISSIONA</t>
  </si>
  <si>
    <t>COORDENADOR DE COMUNICAÇÃO</t>
  </si>
  <si>
    <t>GERENTE DE SUPORTE LEGISLATIVO</t>
  </si>
  <si>
    <t>ASSESSOR JURÍDICO DE BANCADA</t>
  </si>
  <si>
    <t>GERENTE DE COMPRAS CONTRATOS E LICITAÇÕES</t>
  </si>
  <si>
    <t>GERENTE DE PATRIMONIO E MANUTENÇÃO PREDIAL</t>
  </si>
  <si>
    <t>GAEL - AGENTE DE CONTRATACAO</t>
  </si>
  <si>
    <t>CC-1-COMISSIONA</t>
  </si>
  <si>
    <t>ASSESSOR EXECUTIVO DA PRESIDENCIA</t>
  </si>
  <si>
    <t>ASSESSOR JURIDICO ADMINISTRATIVO</t>
  </si>
  <si>
    <t>ASSESSOR JURIDICO DAS COMISSÕES LEGISLATIVAS</t>
  </si>
  <si>
    <t>ASSESSOR DO PRIMEIRO VICE PRESIDENTE</t>
  </si>
  <si>
    <t>X-23-INFORMATI</t>
  </si>
  <si>
    <t>COORDENADOR DE TECNOLOGIA DA INFORMAÇÃO</t>
  </si>
  <si>
    <t>Estabilidade Econômica</t>
  </si>
  <si>
    <t>COORDENADOR FINANCEIRO E COMPRAS</t>
  </si>
  <si>
    <t>COORDENADOR DE RECURSOS HUMANOS</t>
  </si>
  <si>
    <t>ASSESSOR DO SEGUNDO SECRETARIO</t>
  </si>
  <si>
    <t>ASSESSOR DO PRIMEIRO SECRETARIO</t>
  </si>
  <si>
    <t>ASSESSOR ESPECIAL DA PRESIDENCIA</t>
  </si>
  <si>
    <t>CHEFE DE GABINETE DA PRESIDENCIA</t>
  </si>
  <si>
    <t>ASSESSOR LEGISLATIVO DAS COMISSÕES</t>
  </si>
  <si>
    <t>GERENTE DA OUVIDORIA DA MULHER</t>
  </si>
  <si>
    <t>APO-1-APOSENTADO</t>
  </si>
  <si>
    <t>PEN-2-PENSIONIST</t>
  </si>
  <si>
    <t>PEN-3-PENSIONIST</t>
  </si>
  <si>
    <t>PEN-4-PENSIONIST</t>
  </si>
  <si>
    <t>Aposentadoria/Pensão por morte</t>
  </si>
  <si>
    <t>Subsídio</t>
  </si>
  <si>
    <t>Agente Político</t>
  </si>
  <si>
    <t>VER-VER-42</t>
  </si>
  <si>
    <t>EST-EST-90</t>
  </si>
  <si>
    <t>Bolsa Estagio</t>
  </si>
  <si>
    <t>Auxilio Transporte</t>
  </si>
  <si>
    <t>Salário Base Total</t>
  </si>
  <si>
    <t>Aposentadoria/Pensão por morte Total</t>
  </si>
  <si>
    <t>Subsídio Total</t>
  </si>
  <si>
    <t>Bolsa Estagio Total</t>
  </si>
  <si>
    <t>Auxilio Transporte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</si>
</sst>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"/>
  </numFmts>
  <fonts count="5" x14ac:knownFonts="1">
    <font>
      <sz val="10"/>
      <color rgb="FF000000"/>
      <name val="Times New Roman"/>
      <charset val="204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4" fontId="2" fillId="0" borderId="1" xfId="0" applyNumberFormat="1" applyFont="1" applyFill="1" applyBorder="1" applyAlignment="1">
      <alignment horizontal="right" vertical="top" shrinkToFit="1"/>
    </xf>
    <xf numFmtId="4" fontId="2" fillId="0" borderId="0" xfId="0" applyNumberFormat="1" applyFont="1" applyFill="1" applyBorder="1" applyAlignment="1">
      <alignment horizontal="center" vertical="center" wrapText="1" shrinkToFit="1"/>
    </xf>
    <xf numFmtId="165" fontId="2" fillId="0" borderId="2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center" vertical="center" shrinkToFit="1"/>
    </xf>
    <xf numFmtId="164" fontId="4" fillId="2" borderId="0" xfId="0" applyNumberFormat="1" applyFont="1" applyFill="1" applyBorder="1" applyAlignment="1">
      <alignment horizontal="center" vertical="center" shrinkToFit="1"/>
    </xf>
    <xf numFmtId="4" fontId="3" fillId="0" borderId="2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center" wrapText="1" shrinkToFit="1"/>
    </xf>
    <xf numFmtId="164" fontId="4" fillId="2" borderId="0" xfId="0" applyNumberFormat="1" applyFont="1" applyFill="1" applyBorder="1" applyAlignment="1">
      <alignment horizontal="center" vertical="center" wrapText="1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5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3" fontId="2" fillId="0" borderId="2" xfId="0" applyNumberFormat="1" applyFont="1" applyFill="1" applyBorder="1" applyAlignment="1">
      <alignment horizontal="center" vertical="top" shrinkToFit="1"/>
    </xf>
    <xf numFmtId="4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center" vertical="top" shrinkToFit="1"/>
    </xf>
    <xf numFmtId="4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82">
    <dxf>
      <numFmt numFmtId="164" formatCode="000000"/>
      <alignment horizont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00000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numFmt numFmtId="164" formatCode="000000"/>
      <alignment horizont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00000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1" readingOrder="0"/>
    </dxf>
    <dxf>
      <font>
        <sz val="1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alignment horizontal="center" textRotation="0" indent="0" justifyLastLine="0" readingOrder="0"/>
    </dxf>
    <dxf>
      <alignment horizontal="center" vertical="top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00000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1" readingOrder="0"/>
    </dxf>
    <dxf>
      <border outline="0">
        <top style="thin">
          <color rgb="FF000000"/>
        </top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0FBE-E819-4747-A46C-B9AE17A5A3E5}" name="Tabela1" displayName="Tabela1" ref="A1:AD24" totalsRowShown="0" headerRowDxfId="21" dataDxfId="20">
  <autoFilter ref="A1:AD24" xr:uid="{0EA8988C-2B4A-4546-B7E2-C76D10F58CD1}"/>
  <sortState ref="A2:AC20">
    <sortCondition ref="C1:C31"/>
  </sortState>
  <tableColumns count="30">
    <tableColumn id="2" xr3:uid="{566CDB28-88FC-4D3E-BA5F-E9BF24D63C5D}" name="Regime" dataDxfId="51"/>
    <tableColumn id="1" xr3:uid="{3F3A31FA-2953-49A2-B9E3-F3D18934F270}" name="Código" dataDxfId="50"/>
    <tableColumn id="3" xr3:uid="{DE59E310-8013-4530-BC61-99D4F18D9BD4}" name="Cargo" dataDxfId="49"/>
    <tableColumn id="6" xr3:uid="{A0661982-66A0-4128-8BFB-B940B05428DC}" name="Quantidade" dataDxfId="48"/>
    <tableColumn id="5" xr3:uid="{CF8ED723-2758-46B0-883E-3DF8EC3005E1}" name="Nível" dataDxfId="47"/>
    <tableColumn id="4" xr3:uid="{B86CC772-169F-4164-BEF3-E176082AB45E}" name="Salário Base" dataDxfId="46"/>
    <tableColumn id="31" xr3:uid="{045873E5-BD14-4141-BBE0-F9B72D143067}" name="Salário Base Total" dataDxfId="45">
      <calculatedColumnFormula>Tabela1[[#This Row],[Salário Base]]*Tabela1[[#This Row],[Quantidade]]</calculatedColumnFormula>
    </tableColumn>
    <tableColumn id="7" xr3:uid="{697EC745-BB91-4952-8175-447F562EFAE4}" name="Quinquênio" dataDxfId="44">
      <calculatedColumnFormula>604.71+604.71+604.71</calculatedColumnFormula>
    </tableColumn>
    <tableColumn id="8" xr3:uid="{9CD4C270-84D0-40E5-801A-692C8C79CEF2}" name="Vencimento Complementar" dataDxfId="43">
      <calculatedColumnFormula>547.73+547.73+547.73</calculatedColumnFormula>
    </tableColumn>
    <tableColumn id="9" xr3:uid="{F9540115-4741-4093-95A0-A09E5E23EDE4}" name="Incentivo Nível Superior" dataDxfId="42">
      <calculatedColumnFormula>453.53</calculatedColumnFormula>
    </tableColumn>
    <tableColumn id="10" xr3:uid="{46EAAB25-ED14-48BC-BF7D-70101068B86E}" name="Incentivo De Pós-Graduação" dataDxfId="41"/>
    <tableColumn id="11" xr3:uid="{2C9870CE-34C6-493A-8730-E544E5D7B77D}" name="Incentivo - Nível Médio" dataDxfId="40">
      <calculatedColumnFormula>151.18+151.18</calculatedColumnFormula>
    </tableColumn>
    <tableColumn id="12" xr3:uid="{6DDF0897-5C61-47DF-ACE8-3D2B3CDDCCB2}" name="Fg 01: Integrante De Comissao" dataDxfId="39"/>
    <tableColumn id="20" xr3:uid="{E8F46815-1E3E-41B5-972C-3F2A9F85019A}" name="Fg 03: Comissões: Pres., Sec." dataDxfId="38"/>
    <tableColumn id="16" xr3:uid="{56A88172-B387-4741-B775-5C427BD2CF9B}" name="Fg 04: Servicos De Apoio / Sup" dataDxfId="37"/>
    <tableColumn id="25" xr3:uid="{38BCF640-D148-40D4-B334-A7DBDF7BEFE4}" name="Fg 05: Serv. Contante Locomoca" dataDxfId="36"/>
    <tableColumn id="13" xr3:uid="{02778E1E-ACAD-4EF8-A32A-1F4C219BC39D}" name="Fg 06: Atividades Supervisão" dataDxfId="35"/>
    <tableColumn id="27" xr3:uid="{101FD01F-1B05-409D-80F5-C9CF61E13012}" name="Fg 09: Fiscal De Contratos" dataDxfId="34"/>
    <tableColumn id="26" xr3:uid="{07C856BD-8C1C-4805-915F-5EFAE176F157}" name="Fg 10: Serv. Externo" dataDxfId="33"/>
    <tableColumn id="15" xr3:uid="{F5D66563-71A0-42C8-B3E5-B6671609EDD4}" name="Aprimoramento Profissional" dataDxfId="32"/>
    <tableColumn id="17" xr3:uid="{C5DFE60E-E3E1-46B0-8581-EEB964A3E75E}" name="GCET" dataDxfId="31"/>
    <tableColumn id="18" xr3:uid="{B2859A69-6BCB-42DE-99B1-A81D6FFE7ED4}" name="GAEL-EAP" dataDxfId="30"/>
    <tableColumn id="19" xr3:uid="{C416DD32-B60D-42F3-B286-B2F6397B5BB5}" name="GAEL - GESTOR DE CONTRATOS" dataDxfId="29"/>
    <tableColumn id="29" xr3:uid="{401CA7F2-7577-44AF-B0C4-87B4E7B3D79D}" name="GAEL - AGENTE DE CONTRATACAO" dataDxfId="28"/>
    <tableColumn id="21" xr3:uid="{FB726E89-23FD-4303-B26D-1764E9550B32}" name="Periculosidade" dataDxfId="27">
      <calculatedColumnFormula>711.88</calculatedColumnFormula>
    </tableColumn>
    <tableColumn id="22" xr3:uid="{66013769-DB98-4F1A-8427-A41BF0B9F750}" name="Horas Extras 50%" dataDxfId="26"/>
    <tableColumn id="23" xr3:uid="{BC4D2BD3-0929-47F9-B0A6-8116603253C0}" name="Horas Extras 100%" dataDxfId="25"/>
    <tableColumn id="24" xr3:uid="{29617F03-61A4-4330-BD50-954B6BC001CB}" name="Fiscal I" dataDxfId="24"/>
    <tableColumn id="28" xr3:uid="{8EBB72F6-AD73-4AE0-98AA-A7BD616CB072}" name="Diária" dataDxfId="23"/>
    <tableColumn id="30" xr3:uid="{423E1466-B6C3-41F5-B63A-1607DDBDA115}" name="Estabilidade Econômica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E831E-C6DB-4963-9B7E-3828BB2D9DEF}" name="Tabela2" displayName="Tabela2" ref="A1:O59" totalsRowShown="0" headerRowDxfId="81" dataDxfId="52" tableBorderDxfId="80">
  <autoFilter ref="A1:O59" xr:uid="{17C67FC6-D624-4795-AC22-1887DF0221A6}"/>
  <tableColumns count="15">
    <tableColumn id="1" xr3:uid="{2D1448B6-53AA-4221-AB1B-676F0E2F56EA}" name="Regime" dataDxfId="67"/>
    <tableColumn id="2" xr3:uid="{23ECB71D-2358-4565-87F4-6DA9F5ACE47F}" name="Código" dataDxfId="66"/>
    <tableColumn id="3" xr3:uid="{F9C2D611-05CD-4447-9D0D-55DACA295A6E}" name="Cargo" dataDxfId="65"/>
    <tableColumn id="4" xr3:uid="{B1A537BA-FF6D-4F4B-A672-3C6B0AE1C5F0}" name="Quantidade" dataDxfId="64"/>
    <tableColumn id="5" xr3:uid="{3CC09815-A0A7-4553-B632-1D07FCB52823}" name="Nível" dataDxfId="63"/>
    <tableColumn id="6" xr3:uid="{6CD1B0CB-C45E-4815-B47D-C61F37ACF25D}" name="Salário Base" dataDxfId="62"/>
    <tableColumn id="15" xr3:uid="{512BD74B-C57D-41A4-B5C6-5550E0488443}" name="Salário Base Total" dataDxfId="61">
      <calculatedColumnFormula>Tabela2[[#This Row],[Salário Base]]*Tabela2[[#This Row],[Quantidade]]</calculatedColumnFormula>
    </tableColumn>
    <tableColumn id="7" xr3:uid="{AB3AF991-9C6A-47E4-B42A-78982AA92330}" name="Incentivo Nível Superior" dataDxfId="60"/>
    <tableColumn id="8" xr3:uid="{9A83EF9E-3F3C-45F0-9CA0-347BAC5AA7B0}" name="Incentivo De Pós-Graduação" dataDxfId="59"/>
    <tableColumn id="9" xr3:uid="{F3A15135-588E-42C2-B4EF-A5FD7ADB8220}" name="Incentivo - Nível Médio" dataDxfId="58"/>
    <tableColumn id="10" xr3:uid="{32B9A375-C953-46B7-807D-10CB498C4A43}" name="Retroativo De Graduação/Pós" dataDxfId="57"/>
    <tableColumn id="11" xr3:uid="{4ACB2402-3B2F-4A19-BB05-7053825D2C03}" name="GCET" dataDxfId="56"/>
    <tableColumn id="12" xr3:uid="{61DC8372-E78F-4617-B995-4D66D155F187}" name="Fg 03: Comissões: Pres., Sec." dataDxfId="55"/>
    <tableColumn id="13" xr3:uid="{2B4BE57F-13F6-435F-8C58-5FD15E912399}" name="GAEL-EAP" dataDxfId="54"/>
    <tableColumn id="14" xr3:uid="{D5316820-106D-4CD9-A954-627A01AB0A98}" name="Diária" dataDxfId="5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32658-A6EC-4D64-912D-A4762F788A1D}" name="Tabela3" displayName="Tabela3" ref="A1:G5" totalsRowShown="0" headerRowDxfId="12" dataDxfId="11" tableBorderDxfId="79">
  <autoFilter ref="A1:G5" xr:uid="{C4A1EB42-2F53-423D-9F8A-7C46F8314A11}"/>
  <tableColumns count="7">
    <tableColumn id="1" xr3:uid="{2F90B4C7-533A-4C94-BF78-22DDEF88C39F}" name="Regime" dataDxfId="19"/>
    <tableColumn id="2" xr3:uid="{92AA7DC4-164D-4258-B3D3-EC66E9C0566B}" name="Código" dataDxfId="18"/>
    <tableColumn id="3" xr3:uid="{DC79413D-B7DC-4CA6-B847-C82DEC914153}" name="Cargo" dataDxfId="17"/>
    <tableColumn id="4" xr3:uid="{2B86CB67-0E79-4D24-BF37-1F996B055459}" name="Quantidade" dataDxfId="16"/>
    <tableColumn id="5" xr3:uid="{9EBE3B34-F185-402F-9035-98F0BA544848}" name="Nível" dataDxfId="15"/>
    <tableColumn id="6" xr3:uid="{DA5FDA8A-7FFE-485C-BD7C-3742DEB005A4}" name="Aposentadoria/Pensão por morte" dataDxfId="14"/>
    <tableColumn id="7" xr3:uid="{1ECD55C1-0982-4366-A110-B69F201F8626}" name="Aposentadoria/Pensão por morte Total" dataDxfId="13">
      <calculatedColumnFormula>Tabela3[[#This Row],[Aposentadoria/Pensão por morte]]*Tabela3[[#This Row],[Quantidade]]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5DD83-3942-4F3A-B0BF-7A6B0D8F0CCB}" name="Tabela4" displayName="Tabela4" ref="A1:G2" totalsRowShown="0" headerRowDxfId="78" dataDxfId="77" tableBorderDxfId="76">
  <autoFilter ref="A1:G2" xr:uid="{E20968D4-AC14-4255-AB19-856E4748DA98}"/>
  <tableColumns count="7">
    <tableColumn id="1" xr3:uid="{DABB89C2-0487-4C61-9C32-6ACEE68DBB7B}" name="Regime" dataDxfId="75"/>
    <tableColumn id="2" xr3:uid="{C4CFB94B-A504-46FF-888B-7AF1A898062A}" name="Código" dataDxfId="74"/>
    <tableColumn id="3" xr3:uid="{6F7C6367-C8CA-48F6-9905-99B2C8431A32}" name="Cargo" dataDxfId="73"/>
    <tableColumn id="4" xr3:uid="{72D012FE-8508-43D5-A5E3-40A2E673EDEE}" name="Quantidade" dataDxfId="72"/>
    <tableColumn id="5" xr3:uid="{A47750FA-EF4F-4E2B-B528-56F4199213A4}" name="Nível" dataDxfId="71"/>
    <tableColumn id="6" xr3:uid="{2399E2A1-02F5-4642-9CD0-C80293B64501}" name="Subsídio" dataDxfId="70"/>
    <tableColumn id="7" xr3:uid="{8FD4D7AF-5287-4BBB-9C62-D51439012C29}" name="Subsídio Total" dataDxfId="68">
      <calculatedColumnFormula>Tabela4[Subsídio]*Tabela4[Quantidade]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57DC2E-DB3C-4AD3-B3F4-87FDE65D67F3}" name="Tabela5" displayName="Tabela5" ref="A1:I2" totalsRowShown="0" headerRowDxfId="1" dataDxfId="0" tableBorderDxfId="69">
  <autoFilter ref="A1:I2" xr:uid="{FFDB2B9E-E526-466A-81D4-FE43BC84A38E}"/>
  <tableColumns count="9">
    <tableColumn id="1" xr3:uid="{14D0325E-5A96-4EBE-B66C-104B489B89B6}" name="Regime" dataDxfId="10"/>
    <tableColumn id="2" xr3:uid="{88E7FF36-B207-4054-9C18-1BF9287D576B}" name="Código" dataDxfId="9"/>
    <tableColumn id="3" xr3:uid="{F218C91F-0AA0-4681-AC6E-A4AACBA2F1D5}" name="Cargo" dataDxfId="8"/>
    <tableColumn id="4" xr3:uid="{DDCBC376-BBFB-4E83-ABBD-D07238D3D55F}" name="Quantidade" dataDxfId="7"/>
    <tableColumn id="5" xr3:uid="{C9E6C2D5-A17C-46B6-A0FC-665A3DD48281}" name="Nível" dataDxfId="6"/>
    <tableColumn id="6" xr3:uid="{7DE435D0-09CD-4CA9-8D3D-9126F1C0B99A}" name="Bolsa Estagio" dataDxfId="5"/>
    <tableColumn id="8" xr3:uid="{B9872FA1-5CA3-4D25-BBEA-6C88317F4EE9}" name="Bolsa Estagio Total" dataDxfId="4">
      <calculatedColumnFormula>Tabela5[Bolsa Estagio]*Tabela5[Quantidade]</calculatedColumnFormula>
    </tableColumn>
    <tableColumn id="7" xr3:uid="{24CC56AB-F476-486B-A30C-1E5CAAC7A4F8}" name="Auxilio Transporte" dataDxfId="3"/>
    <tableColumn id="9" xr3:uid="{1E461B15-4855-43C4-A143-715AB166246E}" name="Auxilio Transporte Total" dataDxfId="2">
      <calculatedColumnFormula>Tabela5[Auxilio Transporte]*Tabela5[Quantidade]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C3B4-E2C4-46EC-93CF-13C09237EFF6}">
  <dimension ref="A1:AD31"/>
  <sheetViews>
    <sheetView tabSelected="1" workbookViewId="0">
      <selection activeCell="I7" sqref="I7"/>
    </sheetView>
  </sheetViews>
  <sheetFormatPr defaultRowHeight="12.75" x14ac:dyDescent="0.2"/>
  <cols>
    <col min="1" max="1" width="18.1640625" style="29" bestFit="1" customWidth="1"/>
    <col min="2" max="2" width="11" style="29" bestFit="1" customWidth="1"/>
    <col min="3" max="3" width="55.83203125" style="29" bestFit="1" customWidth="1"/>
    <col min="4" max="4" width="13.83203125" style="29" customWidth="1"/>
    <col min="5" max="5" width="20" style="29" bestFit="1" customWidth="1"/>
    <col min="6" max="7" width="18.6640625" style="29" customWidth="1"/>
    <col min="8" max="28" width="22.33203125" style="29" customWidth="1"/>
    <col min="29" max="35" width="20.83203125" style="29" customWidth="1"/>
    <col min="36" max="16384" width="9.33203125" style="29"/>
  </cols>
  <sheetData>
    <row r="1" spans="1:30" ht="33" customHeight="1" x14ac:dyDescent="0.2">
      <c r="A1" s="20" t="s">
        <v>2</v>
      </c>
      <c r="B1" s="20" t="s">
        <v>0</v>
      </c>
      <c r="C1" s="28" t="s">
        <v>34</v>
      </c>
      <c r="D1" s="12" t="s">
        <v>38</v>
      </c>
      <c r="E1" s="12" t="s">
        <v>37</v>
      </c>
      <c r="F1" s="8" t="s">
        <v>1</v>
      </c>
      <c r="G1" s="8" t="s">
        <v>145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67</v>
      </c>
      <c r="O1" s="8" t="s">
        <v>63</v>
      </c>
      <c r="P1" s="8" t="s">
        <v>72</v>
      </c>
      <c r="Q1" s="8" t="s">
        <v>61</v>
      </c>
      <c r="R1" s="8" t="s">
        <v>73</v>
      </c>
      <c r="S1" s="8" t="s">
        <v>74</v>
      </c>
      <c r="T1" s="8" t="s">
        <v>62</v>
      </c>
      <c r="U1" s="8" t="s">
        <v>64</v>
      </c>
      <c r="V1" s="8" t="s">
        <v>65</v>
      </c>
      <c r="W1" s="8" t="s">
        <v>66</v>
      </c>
      <c r="X1" s="8" t="s">
        <v>117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75</v>
      </c>
      <c r="AD1" s="8" t="s">
        <v>125</v>
      </c>
    </row>
    <row r="2" spans="1:30" ht="15" customHeight="1" x14ac:dyDescent="0.2">
      <c r="A2" s="24" t="s">
        <v>3</v>
      </c>
      <c r="B2" s="24">
        <v>86</v>
      </c>
      <c r="C2" s="14" t="s">
        <v>35</v>
      </c>
      <c r="D2" s="15">
        <v>3</v>
      </c>
      <c r="E2" s="15" t="s">
        <v>36</v>
      </c>
      <c r="F2" s="13">
        <f>2475.82</f>
        <v>2475.8200000000002</v>
      </c>
      <c r="G2" s="13">
        <f>Tabela1[[#This Row],[Salário Base]]*Tabela1[[#This Row],[Quantidade]]</f>
        <v>7427.4600000000009</v>
      </c>
      <c r="H2" s="13">
        <f>604.71+604.71+604.71</f>
        <v>1814.13</v>
      </c>
      <c r="I2" s="13">
        <f>547.73+547.73+547.73</f>
        <v>1643.19</v>
      </c>
      <c r="J2" s="13">
        <f>453.53</f>
        <v>453.53</v>
      </c>
      <c r="K2" s="13">
        <v>907.07</v>
      </c>
      <c r="L2" s="13">
        <f>151.18+151.18</f>
        <v>302.36</v>
      </c>
      <c r="M2" s="13">
        <v>400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5" customHeight="1" x14ac:dyDescent="0.2">
      <c r="A3" s="24" t="s">
        <v>3</v>
      </c>
      <c r="B3" s="24">
        <v>86</v>
      </c>
      <c r="C3" s="15" t="s">
        <v>35</v>
      </c>
      <c r="D3" s="15">
        <v>5</v>
      </c>
      <c r="E3" s="15" t="s">
        <v>39</v>
      </c>
      <c r="F3" s="13">
        <f>2197.15</f>
        <v>2197.15</v>
      </c>
      <c r="G3" s="13">
        <f>Tabela1[[#This Row],[Salário Base]]*Tabela1[[#This Row],[Quantidade]]</f>
        <v>10985.75</v>
      </c>
      <c r="H3" s="13">
        <f>219.72+219.72+219.72+219.72+219.72</f>
        <v>1098.5999999999999</v>
      </c>
      <c r="I3" s="13"/>
      <c r="J3" s="13">
        <f>329.57+329.57+329.57</f>
        <v>988.71</v>
      </c>
      <c r="K3" s="13">
        <f>659.15+659.15+659.15</f>
        <v>1977.4499999999998</v>
      </c>
      <c r="L3" s="13">
        <f>109.86+109.86+109.86+109.86+109.86</f>
        <v>549.29999999999995</v>
      </c>
      <c r="M3" s="13"/>
      <c r="N3" s="13"/>
      <c r="O3" s="13">
        <f>900</f>
        <v>900</v>
      </c>
      <c r="P3" s="13"/>
      <c r="Q3" s="13">
        <f>750+750+750</f>
        <v>2250</v>
      </c>
      <c r="R3" s="13"/>
      <c r="S3" s="13"/>
      <c r="T3" s="13">
        <f>109.86+109.86</f>
        <v>219.72</v>
      </c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15" customHeight="1" x14ac:dyDescent="0.2">
      <c r="A4" s="24" t="s">
        <v>3</v>
      </c>
      <c r="B4" s="24">
        <v>86</v>
      </c>
      <c r="C4" s="15" t="s">
        <v>35</v>
      </c>
      <c r="D4" s="15">
        <v>1</v>
      </c>
      <c r="E4" s="15" t="s">
        <v>41</v>
      </c>
      <c r="F4" s="13">
        <f>2175.41</f>
        <v>2175.41</v>
      </c>
      <c r="G4" s="13">
        <f>Tabela1[[#This Row],[Salário Base]]*Tabela1[[#This Row],[Quantidade]]</f>
        <v>2175.41</v>
      </c>
      <c r="H4" s="13">
        <v>108.77</v>
      </c>
      <c r="I4" s="13"/>
      <c r="J4" s="13">
        <v>326.31</v>
      </c>
      <c r="K4" s="13"/>
      <c r="L4" s="13">
        <v>108.77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15" customHeight="1" x14ac:dyDescent="0.2">
      <c r="A5" s="24" t="s">
        <v>3</v>
      </c>
      <c r="B5" s="24">
        <v>86</v>
      </c>
      <c r="C5" s="15" t="s">
        <v>35</v>
      </c>
      <c r="D5" s="15">
        <v>2</v>
      </c>
      <c r="E5" s="15" t="s">
        <v>40</v>
      </c>
      <c r="F5" s="13">
        <f>2132.55</f>
        <v>2132.5500000000002</v>
      </c>
      <c r="G5" s="13">
        <f>Tabela1[[#This Row],[Salário Base]]*Tabela1[[#This Row],[Quantidade]]</f>
        <v>4265.1000000000004</v>
      </c>
      <c r="H5" s="13">
        <f>106.63+106.63</f>
        <v>213.26</v>
      </c>
      <c r="I5" s="13"/>
      <c r="J5" s="13"/>
      <c r="K5" s="13"/>
      <c r="L5" s="13">
        <f>106.63+106.63</f>
        <v>213.26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" customHeight="1" x14ac:dyDescent="0.2">
      <c r="A6" s="24" t="s">
        <v>3</v>
      </c>
      <c r="B6" s="24">
        <v>87</v>
      </c>
      <c r="C6" s="15" t="s">
        <v>6</v>
      </c>
      <c r="D6" s="15">
        <v>2</v>
      </c>
      <c r="E6" s="15" t="s">
        <v>42</v>
      </c>
      <c r="F6" s="13">
        <f>3163.45</f>
        <v>3163.45</v>
      </c>
      <c r="G6" s="13">
        <f>Tabela1[[#This Row],[Salário Base]]*Tabela1[[#This Row],[Quantidade]]</f>
        <v>6326.9</v>
      </c>
      <c r="H6" s="13">
        <f>316.35+316.35</f>
        <v>632.70000000000005</v>
      </c>
      <c r="I6" s="13"/>
      <c r="J6" s="13">
        <f>474.52+474.52</f>
        <v>949.04</v>
      </c>
      <c r="K6" s="13">
        <f>949.04+949.04</f>
        <v>1898.08</v>
      </c>
      <c r="L6" s="13">
        <f>158.17+158.17</f>
        <v>316.33999999999997</v>
      </c>
      <c r="M6" s="13"/>
      <c r="N6" s="13"/>
      <c r="O6" s="13"/>
      <c r="P6" s="13"/>
      <c r="Q6" s="13">
        <f>750+750</f>
        <v>1500</v>
      </c>
      <c r="R6" s="13"/>
      <c r="S6" s="13"/>
      <c r="T6" s="13">
        <f>316.35+316.35</f>
        <v>632.70000000000005</v>
      </c>
      <c r="U6" s="13">
        <f>949.04</f>
        <v>949.04</v>
      </c>
      <c r="V6" s="13">
        <v>1898.07</v>
      </c>
      <c r="W6" s="13"/>
      <c r="X6" s="13"/>
      <c r="Y6" s="13"/>
      <c r="Z6" s="13"/>
      <c r="AA6" s="13"/>
      <c r="AB6" s="13"/>
      <c r="AC6" s="13"/>
      <c r="AD6" s="13"/>
    </row>
    <row r="7" spans="1:30" ht="15" customHeight="1" x14ac:dyDescent="0.2">
      <c r="A7" s="24" t="s">
        <v>3</v>
      </c>
      <c r="B7" s="24">
        <v>87</v>
      </c>
      <c r="C7" s="15" t="s">
        <v>6</v>
      </c>
      <c r="D7" s="15">
        <v>3</v>
      </c>
      <c r="E7" s="15" t="s">
        <v>43</v>
      </c>
      <c r="F7" s="13">
        <f>3132.12</f>
        <v>3132.12</v>
      </c>
      <c r="G7" s="13">
        <f>Tabela1[[#This Row],[Salário Base]]*Tabela1[[#This Row],[Quantidade]]</f>
        <v>9396.36</v>
      </c>
      <c r="H7" s="13">
        <f>156.61+156.61+156.61</f>
        <v>469.83000000000004</v>
      </c>
      <c r="I7" s="13"/>
      <c r="J7" s="13">
        <f>469.82+469.82+469.82</f>
        <v>1409.46</v>
      </c>
      <c r="K7" s="13">
        <f>939.64+939.64+939.64</f>
        <v>2818.92</v>
      </c>
      <c r="L7" s="13">
        <f>156.61+156.61+156.61</f>
        <v>469.83000000000004</v>
      </c>
      <c r="M7" s="13"/>
      <c r="N7" s="13"/>
      <c r="O7" s="13">
        <f>900</f>
        <v>900</v>
      </c>
      <c r="P7" s="13"/>
      <c r="Q7" s="13">
        <f>750+750</f>
        <v>1500</v>
      </c>
      <c r="R7" s="13"/>
      <c r="S7" s="13"/>
      <c r="T7" s="13">
        <f>313.21</f>
        <v>313.20999999999998</v>
      </c>
      <c r="U7" s="13">
        <f>939.64</f>
        <v>939.64</v>
      </c>
      <c r="V7" s="13">
        <f>1879.27</f>
        <v>1879.27</v>
      </c>
      <c r="W7" s="13">
        <v>2192.48</v>
      </c>
      <c r="X7" s="13"/>
      <c r="Y7" s="13"/>
      <c r="Z7" s="13"/>
      <c r="AA7" s="13"/>
      <c r="AB7" s="13"/>
      <c r="AC7" s="13"/>
      <c r="AD7" s="13"/>
    </row>
    <row r="8" spans="1:30" ht="15" customHeight="1" x14ac:dyDescent="0.2">
      <c r="A8" s="24" t="s">
        <v>3</v>
      </c>
      <c r="B8" s="24">
        <v>87</v>
      </c>
      <c r="C8" s="15" t="s">
        <v>6</v>
      </c>
      <c r="D8" s="15">
        <v>2</v>
      </c>
      <c r="E8" s="15" t="s">
        <v>44</v>
      </c>
      <c r="F8" s="13">
        <f>3101.12</f>
        <v>3101.12</v>
      </c>
      <c r="G8" s="13">
        <f>Tabela1[[#This Row],[Salário Base]]*Tabela1[[#This Row],[Quantidade]]</f>
        <v>6202.24</v>
      </c>
      <c r="H8" s="13">
        <f>155.06+155.06</f>
        <v>310.12</v>
      </c>
      <c r="I8" s="13"/>
      <c r="J8" s="13">
        <f>465.17+465.17</f>
        <v>930.34</v>
      </c>
      <c r="K8" s="13">
        <f>930.34+930.34</f>
        <v>1860.68</v>
      </c>
      <c r="L8" s="13">
        <f>155.06+155.06</f>
        <v>310.12</v>
      </c>
      <c r="M8" s="13">
        <f>400</f>
        <v>400</v>
      </c>
      <c r="N8" s="13">
        <f>1000</f>
        <v>1000</v>
      </c>
      <c r="O8" s="13"/>
      <c r="P8" s="13"/>
      <c r="Q8" s="13">
        <f>750</f>
        <v>750</v>
      </c>
      <c r="R8" s="13"/>
      <c r="S8" s="13"/>
      <c r="T8" s="13">
        <f>155.06+155.06</f>
        <v>310.12</v>
      </c>
      <c r="U8" s="13">
        <f>930.34+930.34</f>
        <v>1860.68</v>
      </c>
      <c r="V8" s="13"/>
      <c r="W8" s="13"/>
      <c r="X8" s="13"/>
      <c r="Y8" s="13"/>
      <c r="Z8" s="13"/>
      <c r="AA8" s="13"/>
      <c r="AB8" s="13"/>
      <c r="AC8" s="13"/>
      <c r="AD8" s="13"/>
    </row>
    <row r="9" spans="1:30" ht="15" customHeight="1" x14ac:dyDescent="0.2">
      <c r="A9" s="24" t="s">
        <v>3</v>
      </c>
      <c r="B9" s="24">
        <v>87</v>
      </c>
      <c r="C9" s="15" t="s">
        <v>6</v>
      </c>
      <c r="D9" s="15">
        <v>2</v>
      </c>
      <c r="E9" s="15" t="s">
        <v>45</v>
      </c>
      <c r="F9" s="13">
        <f>3033.1</f>
        <v>3033.1</v>
      </c>
      <c r="G9" s="13">
        <f>Tabela1[[#This Row],[Salário Base]]*Tabela1[[#This Row],[Quantidade]]</f>
        <v>6066.2</v>
      </c>
      <c r="H9" s="13">
        <f>1753.83+2308.27</f>
        <v>4062.1</v>
      </c>
      <c r="I9" s="13">
        <f>1977.85+3561.97</f>
        <v>5539.82</v>
      </c>
      <c r="J9" s="13"/>
      <c r="K9" s="13"/>
      <c r="L9" s="13">
        <f>250.55+329.75</f>
        <v>580.29999999999995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15" customHeight="1" x14ac:dyDescent="0.2">
      <c r="A10" s="24" t="s">
        <v>3</v>
      </c>
      <c r="B10" s="24">
        <v>91</v>
      </c>
      <c r="C10" s="15" t="s">
        <v>8</v>
      </c>
      <c r="D10" s="15">
        <v>3</v>
      </c>
      <c r="E10" s="15" t="s">
        <v>46</v>
      </c>
      <c r="F10" s="13">
        <f>2372.93</f>
        <v>2372.9299999999998</v>
      </c>
      <c r="G10" s="13">
        <f>Tabela1[[#This Row],[Salário Base]]*Tabela1[[#This Row],[Quantidade]]</f>
        <v>7118.7899999999991</v>
      </c>
      <c r="H10" s="13">
        <f>237.29+237.29+237.29</f>
        <v>711.87</v>
      </c>
      <c r="I10" s="13"/>
      <c r="J10" s="13">
        <f>355.94+355.94+355.94</f>
        <v>1067.82</v>
      </c>
      <c r="K10" s="13">
        <f>711.88+711.88+474.59</f>
        <v>1898.35</v>
      </c>
      <c r="L10" s="13">
        <f>118.65+118.65+118.65</f>
        <v>355.95000000000005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>
        <f>711.88+711.88+711.88</f>
        <v>2135.64</v>
      </c>
      <c r="Z10" s="13">
        <v>1166.69</v>
      </c>
      <c r="AA10" s="13">
        <f>553.68</f>
        <v>553.67999999999995</v>
      </c>
      <c r="AB10" s="13"/>
      <c r="AC10" s="13"/>
      <c r="AD10" s="13"/>
    </row>
    <row r="11" spans="1:30" ht="15" customHeight="1" x14ac:dyDescent="0.2">
      <c r="A11" s="24" t="s">
        <v>3</v>
      </c>
      <c r="B11" s="24">
        <v>91</v>
      </c>
      <c r="C11" s="15" t="s">
        <v>8</v>
      </c>
      <c r="D11" s="15">
        <v>1</v>
      </c>
      <c r="E11" s="15" t="s">
        <v>47</v>
      </c>
      <c r="F11" s="13">
        <f>2326.16</f>
        <v>2326.16</v>
      </c>
      <c r="G11" s="13">
        <f>Tabela1[[#This Row],[Salário Base]]*Tabela1[[#This Row],[Quantidade]]</f>
        <v>2326.16</v>
      </c>
      <c r="H11" s="13">
        <f>116.31</f>
        <v>116.31</v>
      </c>
      <c r="I11" s="13"/>
      <c r="J11" s="13">
        <f>348.92</f>
        <v>348.92</v>
      </c>
      <c r="K11" s="13">
        <f>697.85</f>
        <v>697.85</v>
      </c>
      <c r="L11" s="13">
        <f>116.31</f>
        <v>116.31</v>
      </c>
      <c r="M11" s="13"/>
      <c r="N11" s="13"/>
      <c r="O11" s="13"/>
      <c r="P11" s="13"/>
      <c r="Q11" s="13"/>
      <c r="R11" s="13"/>
      <c r="S11" s="13"/>
      <c r="T11" s="13">
        <f>232.62</f>
        <v>232.62</v>
      </c>
      <c r="U11" s="13"/>
      <c r="V11" s="13"/>
      <c r="W11" s="13"/>
      <c r="X11" s="13"/>
      <c r="Y11" s="13">
        <f>697.85</f>
        <v>697.85</v>
      </c>
      <c r="Z11" s="13">
        <v>426.46</v>
      </c>
      <c r="AA11" s="13">
        <f>1214.77</f>
        <v>1214.77</v>
      </c>
      <c r="AB11" s="13"/>
      <c r="AC11" s="13"/>
      <c r="AD11" s="13"/>
    </row>
    <row r="12" spans="1:30" ht="15" customHeight="1" x14ac:dyDescent="0.2">
      <c r="A12" s="24" t="s">
        <v>3</v>
      </c>
      <c r="B12" s="24">
        <v>79</v>
      </c>
      <c r="C12" s="15" t="s">
        <v>9</v>
      </c>
      <c r="D12" s="15">
        <v>1</v>
      </c>
      <c r="E12" s="15" t="s">
        <v>48</v>
      </c>
      <c r="F12" s="13">
        <v>4394.33</v>
      </c>
      <c r="G12" s="13">
        <f>Tabela1[[#This Row],[Salário Base]]*Tabela1[[#This Row],[Quantidade]]</f>
        <v>4394.33</v>
      </c>
      <c r="H12" s="13">
        <f>439.43</f>
        <v>439.43</v>
      </c>
      <c r="I12" s="13"/>
      <c r="J12" s="13">
        <f>659.15</f>
        <v>659.15</v>
      </c>
      <c r="K12" s="13">
        <f>1318.3</f>
        <v>1318.3</v>
      </c>
      <c r="L12" s="13">
        <f>219.72</f>
        <v>219.72</v>
      </c>
      <c r="M12" s="13">
        <f>400</f>
        <v>400</v>
      </c>
      <c r="N12" s="13"/>
      <c r="O12" s="13"/>
      <c r="P12" s="13"/>
      <c r="Q12" s="13"/>
      <c r="R12" s="13"/>
      <c r="S12" s="13"/>
      <c r="T12" s="13">
        <f>439.43</f>
        <v>439.43</v>
      </c>
      <c r="U12" s="13">
        <f>1757.73</f>
        <v>1757.73</v>
      </c>
      <c r="V12" s="13"/>
      <c r="W12" s="13"/>
      <c r="X12" s="13"/>
      <c r="Y12" s="13"/>
      <c r="Z12" s="13"/>
      <c r="AA12" s="13"/>
      <c r="AB12" s="13">
        <f>439.43</f>
        <v>439.43</v>
      </c>
      <c r="AC12" s="13"/>
      <c r="AD12" s="13"/>
    </row>
    <row r="13" spans="1:30" ht="15" customHeight="1" x14ac:dyDescent="0.2">
      <c r="A13" s="24" t="s">
        <v>3</v>
      </c>
      <c r="B13" s="24">
        <v>11</v>
      </c>
      <c r="C13" s="15" t="s">
        <v>7</v>
      </c>
      <c r="D13" s="15">
        <v>1</v>
      </c>
      <c r="E13" s="15" t="s">
        <v>49</v>
      </c>
      <c r="F13" s="13">
        <v>2460.81</v>
      </c>
      <c r="G13" s="13">
        <f>Tabela1[[#This Row],[Salário Base]]*Tabela1[[#This Row],[Quantidade]]</f>
        <v>2460.81</v>
      </c>
      <c r="H13" s="13">
        <f>246.08</f>
        <v>246.08</v>
      </c>
      <c r="I13" s="13"/>
      <c r="J13" s="13">
        <f>369.12</f>
        <v>369.12</v>
      </c>
      <c r="K13" s="13">
        <f>738.24</f>
        <v>738.24</v>
      </c>
      <c r="L13" s="13">
        <f>123.04</f>
        <v>123.04</v>
      </c>
      <c r="M13" s="13"/>
      <c r="N13" s="13"/>
      <c r="O13" s="13">
        <f>900</f>
        <v>900</v>
      </c>
      <c r="P13" s="13">
        <f>850</f>
        <v>850</v>
      </c>
      <c r="Q13" s="13"/>
      <c r="R13" s="13">
        <f>600</f>
        <v>600</v>
      </c>
      <c r="S13" s="13">
        <f>550</f>
        <v>550</v>
      </c>
      <c r="T13" s="13"/>
      <c r="U13" s="13">
        <f>984.32</f>
        <v>984.32</v>
      </c>
      <c r="V13" s="13"/>
      <c r="W13" s="13"/>
      <c r="X13" s="13"/>
      <c r="Y13" s="13"/>
      <c r="Z13" s="13"/>
      <c r="AA13" s="13"/>
      <c r="AB13" s="13"/>
      <c r="AC13" s="13">
        <v>4772.16</v>
      </c>
      <c r="AD13" s="13"/>
    </row>
    <row r="14" spans="1:30" ht="15" customHeight="1" x14ac:dyDescent="0.2">
      <c r="A14" s="24" t="s">
        <v>3</v>
      </c>
      <c r="B14" s="24">
        <v>11</v>
      </c>
      <c r="C14" s="15" t="s">
        <v>7</v>
      </c>
      <c r="D14" s="15">
        <v>1</v>
      </c>
      <c r="E14" s="15" t="s">
        <v>50</v>
      </c>
      <c r="F14" s="13">
        <v>2436.4499999999998</v>
      </c>
      <c r="G14" s="13">
        <f>Tabela1[[#This Row],[Salário Base]]*Tabela1[[#This Row],[Quantidade]]</f>
        <v>2436.4499999999998</v>
      </c>
      <c r="H14" s="13">
        <f>121.82</f>
        <v>121.82</v>
      </c>
      <c r="I14" s="13"/>
      <c r="J14" s="13">
        <f>365.47</f>
        <v>365.47</v>
      </c>
      <c r="K14" s="13">
        <f>730.94</f>
        <v>730.94</v>
      </c>
      <c r="L14" s="13">
        <f>121.82</f>
        <v>121.82</v>
      </c>
      <c r="M14" s="13"/>
      <c r="N14" s="13"/>
      <c r="O14" s="13">
        <f>900</f>
        <v>900</v>
      </c>
      <c r="P14" s="13">
        <f>850</f>
        <v>850</v>
      </c>
      <c r="Q14" s="13"/>
      <c r="R14" s="13"/>
      <c r="S14" s="13"/>
      <c r="T14" s="13">
        <f>121.82</f>
        <v>121.82</v>
      </c>
      <c r="U14" s="13"/>
      <c r="V14" s="13"/>
      <c r="W14" s="13"/>
      <c r="X14" s="13"/>
      <c r="Y14" s="13"/>
      <c r="Z14" s="13">
        <f>347.19</f>
        <v>347.19</v>
      </c>
      <c r="AA14" s="13"/>
      <c r="AB14" s="13"/>
      <c r="AC14" s="13">
        <f>2386.08</f>
        <v>2386.08</v>
      </c>
      <c r="AD14" s="13"/>
    </row>
    <row r="15" spans="1:30" ht="15" customHeight="1" x14ac:dyDescent="0.2">
      <c r="A15" s="24" t="s">
        <v>3</v>
      </c>
      <c r="B15" s="24">
        <v>11</v>
      </c>
      <c r="C15" s="15" t="s">
        <v>7</v>
      </c>
      <c r="D15" s="15">
        <v>1</v>
      </c>
      <c r="E15" s="15" t="s">
        <v>51</v>
      </c>
      <c r="F15" s="13">
        <v>2412.3200000000002</v>
      </c>
      <c r="G15" s="13">
        <f>Tabela1[[#This Row],[Salário Base]]*Tabela1[[#This Row],[Quantidade]]</f>
        <v>2412.3200000000002</v>
      </c>
      <c r="H15" s="13">
        <f>120.62</f>
        <v>120.62</v>
      </c>
      <c r="I15" s="13"/>
      <c r="J15" s="13">
        <f>361.85</f>
        <v>361.85</v>
      </c>
      <c r="K15" s="13">
        <f>723.7</f>
        <v>723.7</v>
      </c>
      <c r="L15" s="13">
        <f>120.62</f>
        <v>120.62</v>
      </c>
      <c r="M15" s="13">
        <f>400</f>
        <v>400</v>
      </c>
      <c r="N15" s="13"/>
      <c r="O15" s="13">
        <f>900</f>
        <v>900</v>
      </c>
      <c r="P15" s="13">
        <f>850</f>
        <v>850</v>
      </c>
      <c r="Q15" s="13"/>
      <c r="R15" s="13"/>
      <c r="S15" s="13"/>
      <c r="T15" s="13"/>
      <c r="U15" s="13"/>
      <c r="V15" s="13"/>
      <c r="W15" s="13"/>
      <c r="X15" s="13"/>
      <c r="Y15" s="13"/>
      <c r="Z15" s="13">
        <f>144.74</f>
        <v>144.74</v>
      </c>
      <c r="AA15" s="13"/>
      <c r="AB15" s="13"/>
      <c r="AC15" s="13">
        <f>1590.72</f>
        <v>1590.72</v>
      </c>
      <c r="AD15" s="13"/>
    </row>
    <row r="16" spans="1:30" ht="15" customHeight="1" x14ac:dyDescent="0.2">
      <c r="A16" s="24" t="s">
        <v>3</v>
      </c>
      <c r="B16" s="24">
        <v>85</v>
      </c>
      <c r="C16" s="15" t="s">
        <v>12</v>
      </c>
      <c r="D16" s="15">
        <v>1</v>
      </c>
      <c r="E16" s="15" t="s">
        <v>52</v>
      </c>
      <c r="F16" s="13">
        <v>3275.75</v>
      </c>
      <c r="G16" s="13">
        <f>Tabela1[[#This Row],[Salário Base]]*Tabela1[[#This Row],[Quantidade]]</f>
        <v>3275.75</v>
      </c>
      <c r="H16" s="13">
        <f>1441.48</f>
        <v>1441.48</v>
      </c>
      <c r="I16" s="13">
        <f>842.75</f>
        <v>842.75</v>
      </c>
      <c r="J16" s="13">
        <f>617.78</f>
        <v>617.78</v>
      </c>
      <c r="K16" s="13">
        <f>411.85</f>
        <v>411.85</v>
      </c>
      <c r="L16" s="13">
        <f>205.93</f>
        <v>205.93</v>
      </c>
      <c r="M16" s="13"/>
      <c r="N16" s="13"/>
      <c r="O16" s="13"/>
      <c r="P16" s="13"/>
      <c r="Q16" s="13"/>
      <c r="R16" s="13"/>
      <c r="S16" s="13"/>
      <c r="T16" s="13"/>
      <c r="U16" s="13">
        <f>1647.4</f>
        <v>1647.4</v>
      </c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5" customHeight="1" x14ac:dyDescent="0.2">
      <c r="A17" s="24" t="s">
        <v>3</v>
      </c>
      <c r="B17" s="24">
        <v>92</v>
      </c>
      <c r="C17" s="15" t="s">
        <v>11</v>
      </c>
      <c r="D17" s="15">
        <v>1</v>
      </c>
      <c r="E17" s="15" t="s">
        <v>53</v>
      </c>
      <c r="F17" s="13">
        <v>3033.1</v>
      </c>
      <c r="G17" s="13">
        <f>Tabela1[[#This Row],[Salário Base]]*Tabela1[[#This Row],[Quantidade]]</f>
        <v>3033.1</v>
      </c>
      <c r="H17" s="13">
        <f>2779.48</f>
        <v>2779.48</v>
      </c>
      <c r="I17" s="13">
        <f>4908.26</f>
        <v>4908.26</v>
      </c>
      <c r="J17" s="13"/>
      <c r="K17" s="13"/>
      <c r="L17" s="13">
        <f>397.07</f>
        <v>397.07</v>
      </c>
      <c r="M17" s="13"/>
      <c r="N17" s="13">
        <f>1000</f>
        <v>1000</v>
      </c>
      <c r="O17" s="13"/>
      <c r="P17" s="13"/>
      <c r="Q17" s="13"/>
      <c r="R17" s="13"/>
      <c r="S17" s="13"/>
      <c r="T17" s="13"/>
      <c r="U17" s="13">
        <f>397.07</f>
        <v>397.07</v>
      </c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5" customHeight="1" x14ac:dyDescent="0.2">
      <c r="A18" s="24" t="s">
        <v>3</v>
      </c>
      <c r="B18" s="24">
        <v>7</v>
      </c>
      <c r="C18" s="15" t="s">
        <v>10</v>
      </c>
      <c r="D18" s="15">
        <v>1</v>
      </c>
      <c r="E18" s="15" t="s">
        <v>54</v>
      </c>
      <c r="F18" s="13">
        <v>3240.88</v>
      </c>
      <c r="G18" s="13">
        <f>Tabela1[[#This Row],[Salário Base]]*Tabela1[[#This Row],[Quantidade]]</f>
        <v>3240.88</v>
      </c>
      <c r="H18" s="13">
        <f>162.04</f>
        <v>162.04</v>
      </c>
      <c r="I18" s="13"/>
      <c r="J18" s="13">
        <f>486.13</f>
        <v>486.13</v>
      </c>
      <c r="K18" s="13">
        <f>972.26</f>
        <v>972.26</v>
      </c>
      <c r="L18" s="13">
        <f>162.04</f>
        <v>162.04</v>
      </c>
      <c r="M18" s="13"/>
      <c r="N18" s="13"/>
      <c r="O18" s="13">
        <f>900</f>
        <v>900</v>
      </c>
      <c r="P18" s="13"/>
      <c r="Q18" s="13"/>
      <c r="R18" s="13"/>
      <c r="S18" s="13"/>
      <c r="T18" s="13">
        <f>324.09</f>
        <v>324.08999999999997</v>
      </c>
      <c r="U18" s="13">
        <f>1296.35</f>
        <v>1296.3499999999999</v>
      </c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15" customHeight="1" x14ac:dyDescent="0.2">
      <c r="A19" s="24" t="s">
        <v>3</v>
      </c>
      <c r="B19" s="24">
        <v>1045</v>
      </c>
      <c r="C19" s="15" t="s">
        <v>24</v>
      </c>
      <c r="D19" s="15">
        <v>1</v>
      </c>
      <c r="E19" s="15" t="s">
        <v>108</v>
      </c>
      <c r="F19" s="13">
        <v>3844.6</v>
      </c>
      <c r="G19" s="13">
        <f>Tabela1[[#This Row],[Salário Base]]*Tabela1[[#This Row],[Quantidade]]</f>
        <v>3844.6</v>
      </c>
      <c r="H19" s="13">
        <f>192.23</f>
        <v>192.23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5" customHeight="1" x14ac:dyDescent="0.2">
      <c r="A20" s="24" t="s">
        <v>3</v>
      </c>
      <c r="B20" s="24">
        <v>1046</v>
      </c>
      <c r="C20" s="15" t="s">
        <v>116</v>
      </c>
      <c r="D20" s="15">
        <v>1</v>
      </c>
      <c r="E20" s="15" t="s">
        <v>108</v>
      </c>
      <c r="F20" s="13">
        <v>3844.6</v>
      </c>
      <c r="G20" s="13">
        <f>Tabela1[[#This Row],[Salário Base]]*Tabela1[[#This Row],[Quantidade]]</f>
        <v>3844.6</v>
      </c>
      <c r="H20" s="13"/>
      <c r="I20" s="13"/>
      <c r="J20" s="13">
        <f>576.69</f>
        <v>576.69000000000005</v>
      </c>
      <c r="K20" s="13">
        <f>768.92</f>
        <v>768.92</v>
      </c>
      <c r="L20" s="13"/>
      <c r="M20" s="13"/>
      <c r="N20" s="13"/>
      <c r="O20" s="13"/>
      <c r="P20" s="13"/>
      <c r="Q20" s="13">
        <f>750</f>
        <v>750</v>
      </c>
      <c r="R20" s="13"/>
      <c r="S20" s="13"/>
      <c r="T20" s="13"/>
      <c r="U20" s="13">
        <f>1537.84</f>
        <v>1537.84</v>
      </c>
      <c r="V20" s="13"/>
      <c r="W20" s="13"/>
      <c r="X20" s="13">
        <f>3075.68</f>
        <v>3075.68</v>
      </c>
      <c r="Y20" s="13"/>
      <c r="Z20" s="13"/>
      <c r="AA20" s="13"/>
      <c r="AB20" s="13"/>
      <c r="AC20" s="13"/>
      <c r="AD20" s="13"/>
    </row>
    <row r="21" spans="1:30" ht="15" customHeight="1" x14ac:dyDescent="0.2">
      <c r="A21" s="24" t="s">
        <v>3</v>
      </c>
      <c r="B21" s="24">
        <v>1027</v>
      </c>
      <c r="C21" s="15" t="s">
        <v>29</v>
      </c>
      <c r="D21" s="15">
        <v>1</v>
      </c>
      <c r="E21" s="15" t="s">
        <v>111</v>
      </c>
      <c r="F21" s="13">
        <v>6595.79</v>
      </c>
      <c r="G21" s="13">
        <f>Tabela1[[#This Row],[Salário Base]]*Tabela1[[#This Row],[Quantidade]]</f>
        <v>6595.79</v>
      </c>
      <c r="H21" s="13"/>
      <c r="I21" s="13"/>
      <c r="J21" s="13">
        <v>989.37</v>
      </c>
      <c r="K21" s="13">
        <v>1978.74</v>
      </c>
      <c r="L21" s="13"/>
      <c r="M21" s="13"/>
      <c r="N21" s="13">
        <f>1000</f>
        <v>1000</v>
      </c>
      <c r="O21" s="13">
        <f>900</f>
        <v>900</v>
      </c>
      <c r="P21" s="13"/>
      <c r="Q21" s="13"/>
      <c r="R21" s="13"/>
      <c r="S21" s="13"/>
      <c r="T21" s="13"/>
      <c r="U21" s="13">
        <f>2638.32</f>
        <v>2638.32</v>
      </c>
      <c r="V21" s="13"/>
      <c r="W21" s="13">
        <f>4617.05</f>
        <v>4617.05</v>
      </c>
      <c r="X21" s="13"/>
      <c r="Y21" s="13"/>
      <c r="Z21" s="13"/>
      <c r="AA21" s="13"/>
      <c r="AB21" s="13"/>
      <c r="AC21" s="13"/>
      <c r="AD21" s="13"/>
    </row>
    <row r="22" spans="1:30" ht="15" customHeight="1" x14ac:dyDescent="0.2">
      <c r="A22" s="26" t="s">
        <v>3</v>
      </c>
      <c r="B22" s="25">
        <v>1036</v>
      </c>
      <c r="C22" s="15" t="s">
        <v>124</v>
      </c>
      <c r="D22" s="15">
        <v>1</v>
      </c>
      <c r="E22" s="15" t="s">
        <v>123</v>
      </c>
      <c r="F22" s="13">
        <v>3725.29</v>
      </c>
      <c r="G22" s="13">
        <f>Tabela1[[#This Row],[Salário Base]]*Tabela1[[#This Row],[Quantidade]]</f>
        <v>3725.29</v>
      </c>
      <c r="H22" s="13">
        <f>752.77</f>
        <v>752.77</v>
      </c>
      <c r="I22" s="13">
        <f>38.57</f>
        <v>38.57</v>
      </c>
      <c r="J22" s="13">
        <f>564.58</f>
        <v>564.58000000000004</v>
      </c>
      <c r="K22" s="13">
        <f>1129.16</f>
        <v>1129.1600000000001</v>
      </c>
      <c r="L22" s="13">
        <f>188.19</f>
        <v>188.19</v>
      </c>
      <c r="M22" s="13">
        <f>400</f>
        <v>400</v>
      </c>
      <c r="N22" s="13"/>
      <c r="O22" s="13">
        <f>900</f>
        <v>900</v>
      </c>
      <c r="P22" s="13"/>
      <c r="Q22" s="13"/>
      <c r="R22" s="13"/>
      <c r="S22" s="13"/>
      <c r="T22" s="13"/>
      <c r="U22" s="13">
        <f>1505.54</f>
        <v>1505.54</v>
      </c>
      <c r="V22" s="13"/>
      <c r="W22" s="13"/>
      <c r="X22" s="13"/>
      <c r="Y22" s="13"/>
      <c r="Z22" s="13"/>
      <c r="AA22" s="13"/>
      <c r="AB22" s="13"/>
      <c r="AC22" s="13"/>
      <c r="AD22" s="13">
        <f>1153.38</f>
        <v>1153.3800000000001</v>
      </c>
    </row>
    <row r="23" spans="1:30" ht="15" customHeight="1" x14ac:dyDescent="0.2">
      <c r="A23" s="26" t="s">
        <v>3</v>
      </c>
      <c r="B23" s="25">
        <v>1033</v>
      </c>
      <c r="C23" s="14" t="s">
        <v>127</v>
      </c>
      <c r="D23" s="14">
        <v>1</v>
      </c>
      <c r="E23" s="14" t="s">
        <v>106</v>
      </c>
      <c r="F23" s="13">
        <v>5862.9</v>
      </c>
      <c r="G23" s="13">
        <f>Tabela1[[#This Row],[Salário Base]]*Tabela1[[#This Row],[Quantidade]]</f>
        <v>5862.9</v>
      </c>
      <c r="H23" s="13"/>
      <c r="I23" s="13"/>
      <c r="J23" s="13">
        <f>879.44</f>
        <v>879.44</v>
      </c>
      <c r="K23" s="13">
        <f>1758.87</f>
        <v>1758.87</v>
      </c>
      <c r="L23" s="13">
        <f>293.15</f>
        <v>293.14999999999998</v>
      </c>
      <c r="M23" s="13"/>
      <c r="N23" s="13"/>
      <c r="O23" s="13">
        <f>900</f>
        <v>900</v>
      </c>
      <c r="P23" s="13"/>
      <c r="Q23" s="13"/>
      <c r="R23" s="13"/>
      <c r="S23" s="13"/>
      <c r="T23" s="13"/>
      <c r="U23" s="13">
        <f>2345.16</f>
        <v>2345.16</v>
      </c>
      <c r="V23" s="13"/>
      <c r="W23" s="13"/>
      <c r="X23" s="13">
        <f>4690.32</f>
        <v>4690.32</v>
      </c>
      <c r="Y23" s="13"/>
      <c r="Z23" s="13"/>
      <c r="AA23" s="13"/>
      <c r="AB23" s="13"/>
      <c r="AC23" s="13"/>
      <c r="AD23" s="13"/>
    </row>
    <row r="24" spans="1:30" ht="15" customHeight="1" x14ac:dyDescent="0.2">
      <c r="A24" s="26" t="s">
        <v>3</v>
      </c>
      <c r="B24" s="25">
        <v>1022</v>
      </c>
      <c r="C24" s="15" t="s">
        <v>30</v>
      </c>
      <c r="D24" s="15">
        <v>1</v>
      </c>
      <c r="E24" s="15" t="s">
        <v>111</v>
      </c>
      <c r="F24" s="13">
        <v>6595.79</v>
      </c>
      <c r="G24" s="13">
        <f>Tabela1[[#This Row],[Salário Base]]*Tabela1[[#This Row],[Quantidade]]</f>
        <v>6595.79</v>
      </c>
      <c r="H24" s="13"/>
      <c r="I24" s="13"/>
      <c r="J24" s="13">
        <f>989.37</f>
        <v>989.37</v>
      </c>
      <c r="K24" s="13">
        <f>1319.16</f>
        <v>1319.16</v>
      </c>
      <c r="L24" s="13"/>
      <c r="M24" s="13"/>
      <c r="N24" s="13">
        <f>1000</f>
        <v>1000</v>
      </c>
      <c r="O24" s="13"/>
      <c r="P24" s="13"/>
      <c r="Q24" s="13"/>
      <c r="R24" s="13"/>
      <c r="S24" s="13"/>
      <c r="T24" s="13"/>
      <c r="U24" s="13">
        <f>2638.32</f>
        <v>2638.32</v>
      </c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" customHeight="1" x14ac:dyDescent="0.2"/>
    <row r="26" spans="1:30" ht="15" customHeight="1" x14ac:dyDescent="0.2"/>
    <row r="27" spans="1:30" ht="15" customHeight="1" x14ac:dyDescent="0.2"/>
    <row r="28" spans="1:30" ht="15" customHeight="1" x14ac:dyDescent="0.2"/>
    <row r="29" spans="1:30" ht="15" customHeight="1" x14ac:dyDescent="0.2"/>
    <row r="30" spans="1:30" ht="15" customHeight="1" x14ac:dyDescent="0.2"/>
    <row r="31" spans="1:30" ht="15" customHeight="1" x14ac:dyDescent="0.2"/>
  </sheetData>
  <pageMargins left="0.511811024" right="0.511811024" top="0.78740157499999996" bottom="0.78740157499999996" header="0.31496062000000002" footer="0.31496062000000002"/>
  <ignoredErrors>
    <ignoredError sqref="H3:H24 I11:S24 I9:I10 J9:S10 J3:S8 AE9:AE10 T11:AD24 T9:AD10 T3:AE8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5896-EAA8-4416-975C-F240A87A7D48}">
  <dimension ref="A1:O430"/>
  <sheetViews>
    <sheetView topLeftCell="F1" workbookViewId="0">
      <selection activeCell="O1" sqref="F1:O1"/>
    </sheetView>
  </sheetViews>
  <sheetFormatPr defaultRowHeight="12.75" x14ac:dyDescent="0.2"/>
  <cols>
    <col min="1" max="1" width="16.1640625" bestFit="1" customWidth="1"/>
    <col min="2" max="2" width="11" bestFit="1" customWidth="1"/>
    <col min="3" max="3" width="65.5" customWidth="1"/>
    <col min="4" max="4" width="18" customWidth="1"/>
    <col min="5" max="5" width="23.33203125" bestFit="1" customWidth="1"/>
    <col min="6" max="7" width="17.83203125" customWidth="1"/>
    <col min="8" max="19" width="22.33203125" customWidth="1"/>
  </cols>
  <sheetData>
    <row r="1" spans="1:15" ht="30" x14ac:dyDescent="0.2">
      <c r="A1" s="10" t="s">
        <v>2</v>
      </c>
      <c r="B1" s="10" t="s">
        <v>0</v>
      </c>
      <c r="C1" s="10" t="s">
        <v>34</v>
      </c>
      <c r="D1" s="10" t="s">
        <v>38</v>
      </c>
      <c r="E1" s="10" t="s">
        <v>37</v>
      </c>
      <c r="F1" s="10" t="s">
        <v>1</v>
      </c>
      <c r="G1" s="20" t="s">
        <v>145</v>
      </c>
      <c r="H1" s="11" t="s">
        <v>57</v>
      </c>
      <c r="I1" s="11" t="s">
        <v>58</v>
      </c>
      <c r="J1" s="11" t="s">
        <v>59</v>
      </c>
      <c r="K1" s="11" t="s">
        <v>103</v>
      </c>
      <c r="L1" s="12" t="s">
        <v>64</v>
      </c>
      <c r="M1" s="12" t="s">
        <v>67</v>
      </c>
      <c r="N1" s="12" t="s">
        <v>65</v>
      </c>
      <c r="O1" s="12" t="s">
        <v>75</v>
      </c>
    </row>
    <row r="2" spans="1:15" ht="15" customHeight="1" x14ac:dyDescent="0.2">
      <c r="A2" s="22" t="s">
        <v>5</v>
      </c>
      <c r="B2" s="23">
        <v>12</v>
      </c>
      <c r="C2" s="14" t="s">
        <v>16</v>
      </c>
      <c r="D2" s="14">
        <v>29</v>
      </c>
      <c r="E2" s="14" t="s">
        <v>76</v>
      </c>
      <c r="F2" s="13">
        <v>2500</v>
      </c>
      <c r="G2" s="13">
        <f>Tabela2[[#This Row],[Salário Base]]*Tabela2[[#This Row],[Quantidade]]</f>
        <v>72500</v>
      </c>
      <c r="H2" s="13"/>
      <c r="I2" s="13"/>
      <c r="J2" s="13"/>
      <c r="K2" s="13"/>
      <c r="L2" s="13"/>
      <c r="M2" s="13"/>
      <c r="N2" s="13"/>
      <c r="O2" s="13"/>
    </row>
    <row r="3" spans="1:15" ht="15" customHeight="1" x14ac:dyDescent="0.2">
      <c r="A3" s="22" t="s">
        <v>5</v>
      </c>
      <c r="B3" s="23">
        <v>12</v>
      </c>
      <c r="C3" s="14" t="s">
        <v>16</v>
      </c>
      <c r="D3" s="14">
        <v>2</v>
      </c>
      <c r="E3" s="14" t="s">
        <v>95</v>
      </c>
      <c r="F3" s="13">
        <v>2500</v>
      </c>
      <c r="G3" s="13">
        <f>Tabela2[[#This Row],[Salário Base]]*Tabela2[[#This Row],[Quantidade]]</f>
        <v>5000</v>
      </c>
      <c r="H3" s="13"/>
      <c r="I3" s="13"/>
      <c r="J3" s="13"/>
      <c r="K3" s="13"/>
      <c r="L3" s="13"/>
      <c r="M3" s="13"/>
      <c r="N3" s="13"/>
      <c r="O3" s="13"/>
    </row>
    <row r="4" spans="1:15" ht="15" customHeight="1" x14ac:dyDescent="0.2">
      <c r="A4" s="24" t="s">
        <v>5</v>
      </c>
      <c r="B4" s="23">
        <v>12</v>
      </c>
      <c r="C4" s="15" t="s">
        <v>16</v>
      </c>
      <c r="D4" s="15">
        <v>148</v>
      </c>
      <c r="E4" s="15" t="s">
        <v>77</v>
      </c>
      <c r="F4" s="13">
        <v>1700</v>
      </c>
      <c r="G4" s="13">
        <f>Tabela2[[#This Row],[Salário Base]]*Tabela2[[#This Row],[Quantidade]]</f>
        <v>251600</v>
      </c>
      <c r="H4" s="13"/>
      <c r="I4" s="13"/>
      <c r="J4" s="13"/>
      <c r="K4" s="13"/>
      <c r="L4" s="13"/>
      <c r="M4" s="13"/>
      <c r="N4" s="13"/>
      <c r="O4" s="13">
        <f>1590.72</f>
        <v>1590.72</v>
      </c>
    </row>
    <row r="5" spans="1:15" ht="15" customHeight="1" x14ac:dyDescent="0.2">
      <c r="A5" s="24" t="s">
        <v>5</v>
      </c>
      <c r="B5" s="23">
        <v>12</v>
      </c>
      <c r="C5" s="15" t="s">
        <v>16</v>
      </c>
      <c r="D5" s="15">
        <v>4</v>
      </c>
      <c r="E5" s="15" t="s">
        <v>96</v>
      </c>
      <c r="F5" s="13">
        <v>1700</v>
      </c>
      <c r="G5" s="13">
        <f>Tabela2[[#This Row],[Salário Base]]*Tabela2[[#This Row],[Quantidade]]</f>
        <v>6800</v>
      </c>
      <c r="H5" s="13"/>
      <c r="I5" s="13"/>
      <c r="J5" s="13"/>
      <c r="K5" s="13"/>
      <c r="L5" s="13"/>
      <c r="M5" s="13"/>
      <c r="N5" s="13"/>
      <c r="O5" s="13"/>
    </row>
    <row r="6" spans="1:15" ht="15" customHeight="1" x14ac:dyDescent="0.2">
      <c r="A6" s="24" t="s">
        <v>5</v>
      </c>
      <c r="B6" s="23">
        <v>12</v>
      </c>
      <c r="C6" s="15" t="s">
        <v>16</v>
      </c>
      <c r="D6" s="15">
        <v>26</v>
      </c>
      <c r="E6" s="15" t="s">
        <v>78</v>
      </c>
      <c r="F6" s="13">
        <v>4000</v>
      </c>
      <c r="G6" s="13">
        <f>Tabela2[[#This Row],[Salário Base]]*Tabela2[[#This Row],[Quantidade]]</f>
        <v>104000</v>
      </c>
      <c r="H6" s="13"/>
      <c r="I6" s="13"/>
      <c r="J6" s="13"/>
      <c r="K6" s="13"/>
      <c r="L6" s="13"/>
      <c r="M6" s="13"/>
      <c r="N6" s="13"/>
      <c r="O6" s="13"/>
    </row>
    <row r="7" spans="1:15" ht="15" customHeight="1" x14ac:dyDescent="0.2">
      <c r="A7" s="24" t="s">
        <v>5</v>
      </c>
      <c r="B7" s="23">
        <v>12</v>
      </c>
      <c r="C7" s="15" t="s">
        <v>16</v>
      </c>
      <c r="D7" s="15">
        <v>17</v>
      </c>
      <c r="E7" s="15" t="s">
        <v>97</v>
      </c>
      <c r="F7" s="13">
        <v>4000</v>
      </c>
      <c r="G7" s="13">
        <f>Tabela2[[#This Row],[Salário Base]]*Tabela2[[#This Row],[Quantidade]]</f>
        <v>68000</v>
      </c>
      <c r="H7" s="13"/>
      <c r="I7" s="13"/>
      <c r="J7" s="13"/>
      <c r="K7" s="13"/>
      <c r="L7" s="13"/>
      <c r="M7" s="13"/>
      <c r="N7" s="13"/>
      <c r="O7" s="13">
        <f>1590.72</f>
        <v>1590.72</v>
      </c>
    </row>
    <row r="8" spans="1:15" ht="15" customHeight="1" x14ac:dyDescent="0.2">
      <c r="A8" s="24" t="s">
        <v>5</v>
      </c>
      <c r="B8" s="23">
        <v>12</v>
      </c>
      <c r="C8" s="15" t="s">
        <v>16</v>
      </c>
      <c r="D8" s="15">
        <v>40</v>
      </c>
      <c r="E8" s="15" t="s">
        <v>79</v>
      </c>
      <c r="F8" s="13">
        <v>2000</v>
      </c>
      <c r="G8" s="13">
        <f>Tabela2[[#This Row],[Salário Base]]*Tabela2[[#This Row],[Quantidade]]</f>
        <v>80000</v>
      </c>
      <c r="H8" s="13"/>
      <c r="I8" s="13"/>
      <c r="J8" s="13"/>
      <c r="K8" s="13"/>
      <c r="L8" s="13"/>
      <c r="M8" s="13"/>
      <c r="N8" s="13"/>
      <c r="O8" s="13"/>
    </row>
    <row r="9" spans="1:15" ht="15" customHeight="1" x14ac:dyDescent="0.2">
      <c r="A9" s="24" t="s">
        <v>5</v>
      </c>
      <c r="B9" s="23">
        <v>12</v>
      </c>
      <c r="C9" s="15" t="s">
        <v>16</v>
      </c>
      <c r="D9" s="15">
        <v>11</v>
      </c>
      <c r="E9" s="15" t="s">
        <v>98</v>
      </c>
      <c r="F9" s="13">
        <v>2000</v>
      </c>
      <c r="G9" s="13">
        <f>Tabela2[[#This Row],[Salário Base]]*Tabela2[[#This Row],[Quantidade]]</f>
        <v>22000</v>
      </c>
      <c r="H9" s="13"/>
      <c r="I9" s="13"/>
      <c r="J9" s="13"/>
      <c r="K9" s="13"/>
      <c r="L9" s="13"/>
      <c r="M9" s="13"/>
      <c r="N9" s="13"/>
      <c r="O9" s="13">
        <f>1590.72</f>
        <v>1590.72</v>
      </c>
    </row>
    <row r="10" spans="1:15" ht="15" customHeight="1" x14ac:dyDescent="0.2">
      <c r="A10" s="24" t="s">
        <v>5</v>
      </c>
      <c r="B10" s="23">
        <v>12</v>
      </c>
      <c r="C10" s="15" t="s">
        <v>16</v>
      </c>
      <c r="D10" s="15">
        <v>19</v>
      </c>
      <c r="E10" s="15" t="s">
        <v>80</v>
      </c>
      <c r="F10" s="13">
        <v>3000</v>
      </c>
      <c r="G10" s="13">
        <f>Tabela2[[#This Row],[Salário Base]]*Tabela2[[#This Row],[Quantidade]]</f>
        <v>57000</v>
      </c>
      <c r="H10" s="13"/>
      <c r="I10" s="13"/>
      <c r="J10" s="13"/>
      <c r="K10" s="13"/>
      <c r="L10" s="13"/>
      <c r="M10" s="13"/>
      <c r="N10" s="13"/>
      <c r="O10" s="13"/>
    </row>
    <row r="11" spans="1:15" ht="15" customHeight="1" x14ac:dyDescent="0.2">
      <c r="A11" s="24" t="s">
        <v>5</v>
      </c>
      <c r="B11" s="23">
        <v>12</v>
      </c>
      <c r="C11" s="15" t="s">
        <v>16</v>
      </c>
      <c r="D11" s="15">
        <v>11</v>
      </c>
      <c r="E11" s="15" t="s">
        <v>99</v>
      </c>
      <c r="F11" s="13">
        <v>3000</v>
      </c>
      <c r="G11" s="13">
        <f>Tabela2[[#This Row],[Salário Base]]*Tabela2[[#This Row],[Quantidade]]</f>
        <v>33000</v>
      </c>
      <c r="H11" s="13"/>
      <c r="I11" s="13"/>
      <c r="J11" s="13"/>
      <c r="K11" s="13"/>
      <c r="L11" s="13"/>
      <c r="M11" s="13"/>
      <c r="N11" s="13"/>
      <c r="O11" s="13"/>
    </row>
    <row r="12" spans="1:15" ht="15" customHeight="1" x14ac:dyDescent="0.2">
      <c r="A12" s="24" t="s">
        <v>5</v>
      </c>
      <c r="B12" s="23">
        <v>12</v>
      </c>
      <c r="C12" s="15" t="s">
        <v>16</v>
      </c>
      <c r="D12" s="15">
        <v>20</v>
      </c>
      <c r="E12" s="15" t="s">
        <v>81</v>
      </c>
      <c r="F12" s="13">
        <v>3500</v>
      </c>
      <c r="G12" s="13">
        <f>Tabela2[[#This Row],[Salário Base]]*Tabela2[[#This Row],[Quantidade]]</f>
        <v>70000</v>
      </c>
      <c r="H12" s="13"/>
      <c r="I12" s="13"/>
      <c r="J12" s="13"/>
      <c r="K12" s="13"/>
      <c r="L12" s="13"/>
      <c r="M12" s="13"/>
      <c r="N12" s="13"/>
      <c r="O12" s="13"/>
    </row>
    <row r="13" spans="1:15" ht="15" customHeight="1" x14ac:dyDescent="0.2">
      <c r="A13" s="24" t="s">
        <v>5</v>
      </c>
      <c r="B13" s="23">
        <v>12</v>
      </c>
      <c r="C13" s="15" t="s">
        <v>16</v>
      </c>
      <c r="D13" s="15">
        <v>9</v>
      </c>
      <c r="E13" s="15" t="s">
        <v>100</v>
      </c>
      <c r="F13" s="13">
        <v>3500</v>
      </c>
      <c r="G13" s="13">
        <f>Tabela2[[#This Row],[Salário Base]]*Tabela2[[#This Row],[Quantidade]]</f>
        <v>31500</v>
      </c>
      <c r="H13" s="13"/>
      <c r="I13" s="13"/>
      <c r="J13" s="13"/>
      <c r="K13" s="13"/>
      <c r="L13" s="13"/>
      <c r="M13" s="13"/>
      <c r="N13" s="13"/>
      <c r="O13" s="13"/>
    </row>
    <row r="14" spans="1:15" ht="15" customHeight="1" x14ac:dyDescent="0.2">
      <c r="A14" s="24" t="s">
        <v>5</v>
      </c>
      <c r="B14" s="23">
        <v>12</v>
      </c>
      <c r="C14" s="15" t="s">
        <v>16</v>
      </c>
      <c r="D14" s="15">
        <v>4</v>
      </c>
      <c r="E14" s="15" t="s">
        <v>82</v>
      </c>
      <c r="F14" s="13">
        <v>4300</v>
      </c>
      <c r="G14" s="13">
        <f>Tabela2[[#This Row],[Salário Base]]*Tabela2[[#This Row],[Quantidade]]</f>
        <v>17200</v>
      </c>
      <c r="H14" s="13"/>
      <c r="I14" s="13"/>
      <c r="J14" s="13"/>
      <c r="K14" s="13"/>
      <c r="L14" s="13"/>
      <c r="M14" s="13"/>
      <c r="N14" s="13"/>
      <c r="O14" s="13"/>
    </row>
    <row r="15" spans="1:15" ht="15" customHeight="1" x14ac:dyDescent="0.2">
      <c r="A15" s="24" t="s">
        <v>5</v>
      </c>
      <c r="B15" s="23">
        <v>12</v>
      </c>
      <c r="C15" s="15" t="s">
        <v>16</v>
      </c>
      <c r="D15" s="15">
        <v>1</v>
      </c>
      <c r="E15" s="15" t="s">
        <v>83</v>
      </c>
      <c r="F15" s="13">
        <v>3100</v>
      </c>
      <c r="G15" s="13">
        <f>Tabela2[[#This Row],[Salário Base]]*Tabela2[[#This Row],[Quantidade]]</f>
        <v>3100</v>
      </c>
      <c r="H15" s="13"/>
      <c r="I15" s="13"/>
      <c r="J15" s="13"/>
      <c r="K15" s="13"/>
      <c r="L15" s="13"/>
      <c r="M15" s="13"/>
      <c r="N15" s="13"/>
      <c r="O15" s="13"/>
    </row>
    <row r="16" spans="1:15" ht="15" customHeight="1" x14ac:dyDescent="0.2">
      <c r="A16" s="24" t="s">
        <v>5</v>
      </c>
      <c r="B16" s="23">
        <v>12</v>
      </c>
      <c r="C16" s="15" t="s">
        <v>16</v>
      </c>
      <c r="D16" s="15">
        <v>3</v>
      </c>
      <c r="E16" s="15" t="s">
        <v>84</v>
      </c>
      <c r="F16" s="13">
        <v>3800</v>
      </c>
      <c r="G16" s="13">
        <f>Tabela2[[#This Row],[Salário Base]]*Tabela2[[#This Row],[Quantidade]]</f>
        <v>11400</v>
      </c>
      <c r="H16" s="13"/>
      <c r="I16" s="13"/>
      <c r="J16" s="13"/>
      <c r="K16" s="13"/>
      <c r="L16" s="13"/>
      <c r="M16" s="13"/>
      <c r="N16" s="13"/>
      <c r="O16" s="13"/>
    </row>
    <row r="17" spans="1:15" ht="15" customHeight="1" x14ac:dyDescent="0.2">
      <c r="A17" s="24" t="s">
        <v>5</v>
      </c>
      <c r="B17" s="23">
        <v>12</v>
      </c>
      <c r="C17" s="15" t="s">
        <v>16</v>
      </c>
      <c r="D17" s="15">
        <v>4</v>
      </c>
      <c r="E17" s="15" t="s">
        <v>85</v>
      </c>
      <c r="F17" s="13">
        <v>4500</v>
      </c>
      <c r="G17" s="13">
        <f>Tabela2[[#This Row],[Salário Base]]*Tabela2[[#This Row],[Quantidade]]</f>
        <v>18000</v>
      </c>
      <c r="H17" s="13"/>
      <c r="I17" s="13"/>
      <c r="J17" s="13"/>
      <c r="K17" s="13"/>
      <c r="L17" s="13"/>
      <c r="M17" s="13"/>
      <c r="N17" s="13"/>
      <c r="O17" s="13"/>
    </row>
    <row r="18" spans="1:15" ht="15" customHeight="1" x14ac:dyDescent="0.2">
      <c r="A18" s="24" t="s">
        <v>5</v>
      </c>
      <c r="B18" s="23">
        <v>12</v>
      </c>
      <c r="C18" s="15" t="s">
        <v>16</v>
      </c>
      <c r="D18" s="15">
        <v>7</v>
      </c>
      <c r="E18" s="15" t="s">
        <v>86</v>
      </c>
      <c r="F18" s="13">
        <v>3400</v>
      </c>
      <c r="G18" s="13">
        <f>Tabela2[[#This Row],[Salário Base]]*Tabela2[[#This Row],[Quantidade]]</f>
        <v>23800</v>
      </c>
      <c r="H18" s="13"/>
      <c r="I18" s="13"/>
      <c r="J18" s="13"/>
      <c r="K18" s="13"/>
      <c r="L18" s="13"/>
      <c r="M18" s="13"/>
      <c r="N18" s="13"/>
      <c r="O18" s="13"/>
    </row>
    <row r="19" spans="1:15" ht="15" customHeight="1" x14ac:dyDescent="0.2">
      <c r="A19" s="24" t="s">
        <v>5</v>
      </c>
      <c r="B19" s="23">
        <v>12</v>
      </c>
      <c r="C19" s="15" t="s">
        <v>16</v>
      </c>
      <c r="D19" s="15">
        <v>1</v>
      </c>
      <c r="E19" s="15" t="s">
        <v>87</v>
      </c>
      <c r="F19" s="13">
        <v>3300</v>
      </c>
      <c r="G19" s="13">
        <f>Tabela2[[#This Row],[Salário Base]]*Tabela2[[#This Row],[Quantidade]]</f>
        <v>3300</v>
      </c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2">
      <c r="A20" s="24" t="s">
        <v>5</v>
      </c>
      <c r="B20" s="23">
        <v>12</v>
      </c>
      <c r="C20" s="15" t="s">
        <v>16</v>
      </c>
      <c r="D20" s="15">
        <v>7</v>
      </c>
      <c r="E20" s="15" t="s">
        <v>88</v>
      </c>
      <c r="F20" s="13">
        <v>6000</v>
      </c>
      <c r="G20" s="13">
        <f>Tabela2[[#This Row],[Salário Base]]*Tabela2[[#This Row],[Quantidade]]</f>
        <v>42000</v>
      </c>
      <c r="H20" s="13"/>
      <c r="I20" s="13"/>
      <c r="J20" s="13"/>
      <c r="K20" s="13"/>
      <c r="L20" s="13"/>
      <c r="M20" s="13"/>
      <c r="N20" s="13"/>
      <c r="O20" s="13"/>
    </row>
    <row r="21" spans="1:15" ht="15" customHeight="1" x14ac:dyDescent="0.2">
      <c r="A21" s="24" t="s">
        <v>5</v>
      </c>
      <c r="B21" s="23">
        <v>12</v>
      </c>
      <c r="C21" s="15" t="s">
        <v>16</v>
      </c>
      <c r="D21" s="15">
        <v>1</v>
      </c>
      <c r="E21" s="15" t="s">
        <v>89</v>
      </c>
      <c r="F21" s="13">
        <v>1500</v>
      </c>
      <c r="G21" s="13">
        <f>Tabela2[[#This Row],[Salário Base]]*Tabela2[[#This Row],[Quantidade]]</f>
        <v>1500</v>
      </c>
      <c r="H21" s="13"/>
      <c r="I21" s="13"/>
      <c r="J21" s="13"/>
      <c r="K21" s="13"/>
      <c r="L21" s="13"/>
      <c r="M21" s="13"/>
      <c r="N21" s="13"/>
      <c r="O21" s="13"/>
    </row>
    <row r="22" spans="1:15" ht="15" customHeight="1" x14ac:dyDescent="0.2">
      <c r="A22" s="24" t="s">
        <v>5</v>
      </c>
      <c r="B22" s="23">
        <v>12</v>
      </c>
      <c r="C22" s="15" t="s">
        <v>16</v>
      </c>
      <c r="D22" s="15">
        <v>8</v>
      </c>
      <c r="E22" s="15" t="s">
        <v>90</v>
      </c>
      <c r="F22" s="13">
        <v>5000</v>
      </c>
      <c r="G22" s="13">
        <f>Tabela2[[#This Row],[Salário Base]]*Tabela2[[#This Row],[Quantidade]]</f>
        <v>40000</v>
      </c>
      <c r="H22" s="13"/>
      <c r="I22" s="13"/>
      <c r="J22" s="13"/>
      <c r="K22" s="13"/>
      <c r="L22" s="13"/>
      <c r="M22" s="13"/>
      <c r="N22" s="13"/>
      <c r="O22" s="13">
        <f>1590.72</f>
        <v>1590.72</v>
      </c>
    </row>
    <row r="23" spans="1:15" ht="15" customHeight="1" x14ac:dyDescent="0.2">
      <c r="A23" s="24" t="s">
        <v>5</v>
      </c>
      <c r="B23" s="23">
        <v>12</v>
      </c>
      <c r="C23" s="15" t="s">
        <v>16</v>
      </c>
      <c r="D23" s="15">
        <v>1</v>
      </c>
      <c r="E23" s="15" t="s">
        <v>91</v>
      </c>
      <c r="F23" s="13">
        <v>4800</v>
      </c>
      <c r="G23" s="13">
        <f>Tabela2[[#This Row],[Salário Base]]*Tabela2[[#This Row],[Quantidade]]</f>
        <v>4800</v>
      </c>
      <c r="H23" s="13"/>
      <c r="I23" s="13"/>
      <c r="J23" s="13"/>
      <c r="K23" s="13"/>
      <c r="L23" s="13"/>
      <c r="M23" s="13"/>
      <c r="N23" s="13"/>
      <c r="O23" s="13"/>
    </row>
    <row r="24" spans="1:15" ht="15" customHeight="1" x14ac:dyDescent="0.2">
      <c r="A24" s="24" t="s">
        <v>5</v>
      </c>
      <c r="B24" s="23">
        <v>12</v>
      </c>
      <c r="C24" s="15" t="s">
        <v>16</v>
      </c>
      <c r="D24" s="15">
        <v>3</v>
      </c>
      <c r="E24" s="15" t="s">
        <v>92</v>
      </c>
      <c r="F24" s="13">
        <v>3700</v>
      </c>
      <c r="G24" s="13">
        <f>Tabela2[[#This Row],[Salário Base]]*Tabela2[[#This Row],[Quantidade]]</f>
        <v>11100</v>
      </c>
      <c r="H24" s="13"/>
      <c r="I24" s="13"/>
      <c r="J24" s="13"/>
      <c r="K24" s="13"/>
      <c r="L24" s="13"/>
      <c r="M24" s="13"/>
      <c r="N24" s="13"/>
      <c r="O24" s="13"/>
    </row>
    <row r="25" spans="1:15" ht="15" customHeight="1" x14ac:dyDescent="0.2">
      <c r="A25" s="24" t="s">
        <v>5</v>
      </c>
      <c r="B25" s="23">
        <v>12</v>
      </c>
      <c r="C25" s="15" t="s">
        <v>16</v>
      </c>
      <c r="D25" s="15">
        <v>1</v>
      </c>
      <c r="E25" s="15" t="s">
        <v>93</v>
      </c>
      <c r="F25" s="13">
        <v>5500</v>
      </c>
      <c r="G25" s="13">
        <f>Tabela2[[#This Row],[Salário Base]]*Tabela2[[#This Row],[Quantidade]]</f>
        <v>5500</v>
      </c>
      <c r="H25" s="13"/>
      <c r="I25" s="13"/>
      <c r="J25" s="13"/>
      <c r="K25" s="13"/>
      <c r="L25" s="13"/>
      <c r="M25" s="13"/>
      <c r="N25" s="13"/>
      <c r="O25" s="13"/>
    </row>
    <row r="26" spans="1:15" ht="15" customHeight="1" x14ac:dyDescent="0.2">
      <c r="A26" s="24" t="s">
        <v>5</v>
      </c>
      <c r="B26" s="23">
        <v>12</v>
      </c>
      <c r="C26" s="15" t="s">
        <v>16</v>
      </c>
      <c r="D26" s="15">
        <v>2</v>
      </c>
      <c r="E26" s="15" t="s">
        <v>94</v>
      </c>
      <c r="F26" s="13">
        <v>3900</v>
      </c>
      <c r="G26" s="13">
        <f>Tabela2[[#This Row],[Salário Base]]*Tabela2[[#This Row],[Quantidade]]</f>
        <v>7800</v>
      </c>
      <c r="H26" s="13"/>
      <c r="I26" s="13"/>
      <c r="J26" s="13"/>
      <c r="K26" s="13"/>
      <c r="L26" s="13"/>
      <c r="M26" s="13"/>
      <c r="N26" s="13"/>
      <c r="O26" s="13"/>
    </row>
    <row r="27" spans="1:15" ht="15" customHeight="1" x14ac:dyDescent="0.2">
      <c r="A27" s="24" t="s">
        <v>5</v>
      </c>
      <c r="B27" s="25">
        <v>1040</v>
      </c>
      <c r="C27" s="15" t="s">
        <v>17</v>
      </c>
      <c r="D27" s="15">
        <v>1</v>
      </c>
      <c r="E27" s="15" t="s">
        <v>101</v>
      </c>
      <c r="F27" s="13">
        <v>4493.46</v>
      </c>
      <c r="G27" s="13">
        <f>Tabela2[[#This Row],[Salário Base]]*Tabela2[[#This Row],[Quantidade]]</f>
        <v>4493.46</v>
      </c>
      <c r="H27" s="13">
        <v>674.02</v>
      </c>
      <c r="I27" s="13">
        <v>449.35</v>
      </c>
      <c r="J27" s="13"/>
      <c r="K27" s="13"/>
      <c r="L27" s="13"/>
      <c r="M27" s="13"/>
      <c r="N27" s="13"/>
      <c r="O27" s="13"/>
    </row>
    <row r="28" spans="1:15" ht="15" customHeight="1" x14ac:dyDescent="0.2">
      <c r="A28" s="24" t="s">
        <v>5</v>
      </c>
      <c r="B28" s="25">
        <v>1056</v>
      </c>
      <c r="C28" s="15" t="s">
        <v>104</v>
      </c>
      <c r="D28" s="15">
        <v>1</v>
      </c>
      <c r="E28" s="15" t="s">
        <v>102</v>
      </c>
      <c r="F28" s="13">
        <v>2198.59</v>
      </c>
      <c r="G28" s="13">
        <f>Tabela2[[#This Row],[Salário Base]]*Tabela2[[#This Row],[Quantidade]]</f>
        <v>2198.59</v>
      </c>
      <c r="H28" s="13">
        <v>329.79</v>
      </c>
      <c r="I28" s="13">
        <v>439.72</v>
      </c>
      <c r="J28" s="13"/>
      <c r="K28" s="13">
        <v>439.72</v>
      </c>
      <c r="L28" s="13"/>
      <c r="M28" s="13"/>
      <c r="N28" s="13"/>
      <c r="O28" s="13"/>
    </row>
    <row r="29" spans="1:15" ht="15" customHeight="1" x14ac:dyDescent="0.2">
      <c r="A29" s="24" t="s">
        <v>5</v>
      </c>
      <c r="B29" s="25">
        <v>1057</v>
      </c>
      <c r="C29" s="15" t="s">
        <v>105</v>
      </c>
      <c r="D29" s="15">
        <v>1</v>
      </c>
      <c r="E29" s="15" t="s">
        <v>102</v>
      </c>
      <c r="F29" s="13">
        <v>2198.59</v>
      </c>
      <c r="G29" s="13">
        <f>Tabela2[[#This Row],[Salário Base]]*Tabela2[[#This Row],[Quantidade]]</f>
        <v>2198.59</v>
      </c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2">
      <c r="A30" s="26" t="s">
        <v>5</v>
      </c>
      <c r="B30" s="27">
        <v>57</v>
      </c>
      <c r="C30" s="16" t="s">
        <v>18</v>
      </c>
      <c r="D30" s="16">
        <v>1</v>
      </c>
      <c r="E30" s="16" t="s">
        <v>106</v>
      </c>
      <c r="F30" s="13">
        <v>5862.9</v>
      </c>
      <c r="G30" s="13">
        <f>Tabela2[[#This Row],[Salário Base]]*Tabela2[[#This Row],[Quantidade]]</f>
        <v>5862.9</v>
      </c>
      <c r="H30" s="13">
        <v>879.44</v>
      </c>
      <c r="I30" s="13">
        <v>1758.87</v>
      </c>
      <c r="J30" s="13"/>
      <c r="K30" s="13"/>
      <c r="L30" s="13">
        <v>2345.16</v>
      </c>
      <c r="M30" s="13">
        <v>1000</v>
      </c>
      <c r="N30" s="13">
        <v>3517.74</v>
      </c>
      <c r="O30" s="13"/>
    </row>
    <row r="31" spans="1:15" ht="15" customHeight="1" x14ac:dyDescent="0.2">
      <c r="A31" s="26" t="s">
        <v>5</v>
      </c>
      <c r="B31" s="25">
        <v>1023</v>
      </c>
      <c r="C31" s="14" t="s">
        <v>107</v>
      </c>
      <c r="D31" s="14">
        <v>1</v>
      </c>
      <c r="E31" s="14" t="s">
        <v>108</v>
      </c>
      <c r="F31" s="13">
        <v>3844.6</v>
      </c>
      <c r="G31" s="13">
        <f>Tabela2[[#This Row],[Salário Base]]*Tabela2[[#This Row],[Quantidade]]</f>
        <v>3844.6</v>
      </c>
      <c r="H31" s="13">
        <f>576.69</f>
        <v>576.69000000000005</v>
      </c>
      <c r="I31" s="13"/>
      <c r="J31" s="13"/>
      <c r="K31" s="13"/>
      <c r="L31" s="13"/>
      <c r="M31" s="13"/>
      <c r="N31" s="13"/>
      <c r="O31" s="13"/>
    </row>
    <row r="32" spans="1:15" ht="15" customHeight="1" x14ac:dyDescent="0.2">
      <c r="A32" s="26" t="s">
        <v>5</v>
      </c>
      <c r="B32" s="25">
        <v>1042</v>
      </c>
      <c r="C32" s="14" t="s">
        <v>109</v>
      </c>
      <c r="D32" s="14">
        <v>1</v>
      </c>
      <c r="E32" s="14" t="s">
        <v>108</v>
      </c>
      <c r="F32" s="13">
        <v>3844.6</v>
      </c>
      <c r="G32" s="13">
        <f>Tabela2[[#This Row],[Salário Base]]*Tabela2[[#This Row],[Quantidade]]</f>
        <v>3844.6</v>
      </c>
      <c r="H32" s="13">
        <v>576.69000000000005</v>
      </c>
      <c r="I32" s="13"/>
      <c r="J32" s="13"/>
      <c r="K32" s="13"/>
      <c r="L32" s="13"/>
      <c r="M32" s="13"/>
      <c r="N32" s="13"/>
      <c r="O32" s="13"/>
    </row>
    <row r="33" spans="1:15" ht="15" customHeight="1" x14ac:dyDescent="0.2">
      <c r="A33" s="26" t="s">
        <v>5</v>
      </c>
      <c r="B33" s="25">
        <v>1043</v>
      </c>
      <c r="C33" s="14" t="s">
        <v>110</v>
      </c>
      <c r="D33" s="14">
        <v>1</v>
      </c>
      <c r="E33" s="14" t="s">
        <v>108</v>
      </c>
      <c r="F33" s="13">
        <v>3844.6</v>
      </c>
      <c r="G33" s="13">
        <f>Tabela2[[#This Row],[Salário Base]]*Tabela2[[#This Row],[Quantidade]]</f>
        <v>3844.6</v>
      </c>
      <c r="H33" s="13">
        <v>576.69000000000005</v>
      </c>
      <c r="I33" s="13"/>
      <c r="J33" s="13"/>
      <c r="K33" s="13"/>
      <c r="L33" s="13"/>
      <c r="M33" s="13"/>
      <c r="N33" s="13"/>
      <c r="O33" s="13"/>
    </row>
    <row r="34" spans="1:15" ht="15" customHeight="1" x14ac:dyDescent="0.2">
      <c r="A34" s="26" t="s">
        <v>5</v>
      </c>
      <c r="B34" s="25">
        <v>1034</v>
      </c>
      <c r="C34" s="15" t="s">
        <v>19</v>
      </c>
      <c r="D34" s="15">
        <v>1</v>
      </c>
      <c r="E34" s="15" t="s">
        <v>101</v>
      </c>
      <c r="F34" s="13">
        <v>4493.46</v>
      </c>
      <c r="G34" s="13">
        <f>Tabela2[[#This Row],[Salário Base]]*Tabela2[[#This Row],[Quantidade]]</f>
        <v>4493.46</v>
      </c>
      <c r="H34" s="13">
        <v>674.02</v>
      </c>
      <c r="I34" s="13"/>
      <c r="J34" s="13"/>
      <c r="K34" s="13"/>
      <c r="L34" s="13"/>
      <c r="M34" s="13"/>
      <c r="N34" s="13"/>
      <c r="O34" s="13"/>
    </row>
    <row r="35" spans="1:15" ht="15" customHeight="1" x14ac:dyDescent="0.2">
      <c r="A35" s="26" t="s">
        <v>5</v>
      </c>
      <c r="B35" s="25">
        <v>95</v>
      </c>
      <c r="C35" s="15" t="s">
        <v>20</v>
      </c>
      <c r="D35" s="15">
        <v>6</v>
      </c>
      <c r="E35" s="15" t="s">
        <v>102</v>
      </c>
      <c r="F35" s="13">
        <v>2198.59</v>
      </c>
      <c r="G35" s="13">
        <f>Tabela2[[#This Row],[Salário Base]]*Tabela2[[#This Row],[Quantidade]]</f>
        <v>13191.54</v>
      </c>
      <c r="H35" s="13">
        <f>329.79+329.79+329.79</f>
        <v>989.37000000000012</v>
      </c>
      <c r="I35" s="13">
        <f>439.72</f>
        <v>439.72</v>
      </c>
      <c r="J35" s="13"/>
      <c r="K35" s="13"/>
      <c r="L35" s="13"/>
      <c r="M35" s="13"/>
      <c r="N35" s="13"/>
      <c r="O35" s="13"/>
    </row>
    <row r="36" spans="1:15" ht="15" customHeight="1" x14ac:dyDescent="0.2">
      <c r="A36" s="26" t="s">
        <v>5</v>
      </c>
      <c r="B36" s="25">
        <v>99</v>
      </c>
      <c r="C36" s="15" t="s">
        <v>21</v>
      </c>
      <c r="D36" s="15">
        <v>1</v>
      </c>
      <c r="E36" s="15" t="s">
        <v>111</v>
      </c>
      <c r="F36" s="13">
        <v>6595.79</v>
      </c>
      <c r="G36" s="13">
        <f>Tabela2[[#This Row],[Salário Base]]*Tabela2[[#This Row],[Quantidade]]</f>
        <v>6595.79</v>
      </c>
      <c r="H36" s="13"/>
      <c r="I36" s="13"/>
      <c r="J36" s="13"/>
      <c r="K36" s="13"/>
      <c r="L36" s="13"/>
      <c r="M36" s="13"/>
      <c r="N36" s="13"/>
      <c r="O36" s="13"/>
    </row>
    <row r="37" spans="1:15" ht="15" customHeight="1" x14ac:dyDescent="0.2">
      <c r="A37" s="26" t="s">
        <v>5</v>
      </c>
      <c r="B37" s="25">
        <v>1048</v>
      </c>
      <c r="C37" s="15" t="s">
        <v>22</v>
      </c>
      <c r="D37" s="15">
        <v>5</v>
      </c>
      <c r="E37" s="15" t="s">
        <v>102</v>
      </c>
      <c r="F37" s="13">
        <v>2198.59</v>
      </c>
      <c r="G37" s="13">
        <f>Tabela2[[#This Row],[Salário Base]]*Tabela2[[#This Row],[Quantidade]]</f>
        <v>10992.95</v>
      </c>
      <c r="H37" s="13">
        <f>Tabela2[[#This Row],[Salário Base]]*0.15</f>
        <v>329.7885</v>
      </c>
      <c r="I37" s="13"/>
      <c r="J37" s="13"/>
      <c r="K37" s="13"/>
      <c r="L37" s="13"/>
      <c r="M37" s="13"/>
      <c r="N37" s="13"/>
      <c r="O37" s="13"/>
    </row>
    <row r="38" spans="1:15" ht="15" customHeight="1" x14ac:dyDescent="0.2">
      <c r="A38" s="26" t="s">
        <v>5</v>
      </c>
      <c r="B38" s="25">
        <v>1038</v>
      </c>
      <c r="C38" s="15" t="s">
        <v>112</v>
      </c>
      <c r="D38" s="15">
        <v>1</v>
      </c>
      <c r="E38" s="15" t="s">
        <v>101</v>
      </c>
      <c r="F38" s="13">
        <v>4493.46</v>
      </c>
      <c r="G38" s="13">
        <f>Tabela2[[#This Row],[Salário Base]]*Tabela2[[#This Row],[Quantidade]]</f>
        <v>4493.46</v>
      </c>
      <c r="H38" s="13">
        <f>674.02</f>
        <v>674.02</v>
      </c>
      <c r="I38" s="13">
        <f>898.69</f>
        <v>898.69</v>
      </c>
      <c r="J38" s="13"/>
      <c r="K38" s="13"/>
      <c r="L38" s="13"/>
      <c r="M38" s="13"/>
      <c r="N38" s="13"/>
      <c r="O38" s="13"/>
    </row>
    <row r="39" spans="1:15" ht="15" customHeight="1" x14ac:dyDescent="0.2">
      <c r="A39" s="26" t="s">
        <v>5</v>
      </c>
      <c r="B39" s="25">
        <v>1041</v>
      </c>
      <c r="C39" s="15" t="s">
        <v>113</v>
      </c>
      <c r="D39" s="15">
        <v>1</v>
      </c>
      <c r="E39" s="15" t="s">
        <v>108</v>
      </c>
      <c r="F39" s="13">
        <v>3844.6</v>
      </c>
      <c r="G39" s="13">
        <f>Tabela2[[#This Row],[Salário Base]]*Tabela2[[#This Row],[Quantidade]]</f>
        <v>3844.6</v>
      </c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2">
      <c r="A40" s="26" t="s">
        <v>5</v>
      </c>
      <c r="B40" s="25">
        <v>22</v>
      </c>
      <c r="C40" s="15" t="s">
        <v>114</v>
      </c>
      <c r="D40" s="15">
        <v>2</v>
      </c>
      <c r="E40" s="15" t="s">
        <v>106</v>
      </c>
      <c r="F40" s="13">
        <v>5862.9</v>
      </c>
      <c r="G40" s="13">
        <f>Tabela2[[#This Row],[Salário Base]]*Tabela2[[#This Row],[Quantidade]]</f>
        <v>11725.8</v>
      </c>
      <c r="H40" s="13">
        <f>879.44+879.44</f>
        <v>1758.88</v>
      </c>
      <c r="I40" s="13">
        <f>Tabela2[[#This Row],[Salário Base]]*0.1</f>
        <v>586.29</v>
      </c>
      <c r="J40" s="13"/>
      <c r="K40" s="13"/>
      <c r="L40" s="13"/>
      <c r="M40" s="13"/>
      <c r="N40" s="13"/>
      <c r="O40" s="13"/>
    </row>
    <row r="41" spans="1:15" ht="15" customHeight="1" x14ac:dyDescent="0.2">
      <c r="A41" s="26" t="s">
        <v>5</v>
      </c>
      <c r="B41" s="25">
        <v>1047</v>
      </c>
      <c r="C41" s="15" t="s">
        <v>115</v>
      </c>
      <c r="D41" s="15">
        <v>1</v>
      </c>
      <c r="E41" s="15" t="s">
        <v>108</v>
      </c>
      <c r="F41" s="13">
        <v>3844.6</v>
      </c>
      <c r="G41" s="13">
        <f>Tabela2[[#This Row],[Salário Base]]*Tabela2[[#This Row],[Quantidade]]</f>
        <v>3844.6</v>
      </c>
      <c r="H41" s="13">
        <v>576.69000000000005</v>
      </c>
      <c r="I41" s="13"/>
      <c r="J41" s="13"/>
      <c r="K41" s="13"/>
      <c r="L41" s="13"/>
      <c r="M41" s="13"/>
      <c r="N41" s="13"/>
      <c r="O41" s="13"/>
    </row>
    <row r="42" spans="1:15" ht="15" customHeight="1" x14ac:dyDescent="0.2">
      <c r="A42" s="26" t="s">
        <v>5</v>
      </c>
      <c r="B42" s="25">
        <v>47</v>
      </c>
      <c r="C42" s="15" t="s">
        <v>23</v>
      </c>
      <c r="D42" s="15">
        <v>1</v>
      </c>
      <c r="E42" s="15" t="s">
        <v>108</v>
      </c>
      <c r="F42" s="13">
        <v>3844.6</v>
      </c>
      <c r="G42" s="13">
        <f>Tabela2[[#This Row],[Salário Base]]*Tabela2[[#This Row],[Quantidade]]</f>
        <v>3844.6</v>
      </c>
      <c r="H42" s="13">
        <f>576.69</f>
        <v>576.69000000000005</v>
      </c>
      <c r="I42" s="13">
        <v>384.46</v>
      </c>
      <c r="J42" s="13"/>
      <c r="K42" s="13"/>
      <c r="L42" s="13"/>
      <c r="M42" s="13"/>
      <c r="N42" s="13"/>
      <c r="O42" s="13">
        <v>795.36</v>
      </c>
    </row>
    <row r="43" spans="1:15" ht="15" customHeight="1" x14ac:dyDescent="0.2">
      <c r="A43" s="26" t="s">
        <v>5</v>
      </c>
      <c r="B43" s="25">
        <v>97</v>
      </c>
      <c r="C43" s="15" t="s">
        <v>25</v>
      </c>
      <c r="D43" s="15">
        <v>1</v>
      </c>
      <c r="E43" s="15" t="s">
        <v>111</v>
      </c>
      <c r="F43" s="13">
        <v>6595.79</v>
      </c>
      <c r="G43" s="13">
        <f>Tabela2[[#This Row],[Salário Base]]*Tabela2[[#This Row],[Quantidade]]</f>
        <v>6595.79</v>
      </c>
      <c r="H43" s="13">
        <f>989.37</f>
        <v>989.37</v>
      </c>
      <c r="I43" s="13"/>
      <c r="J43" s="13"/>
      <c r="K43" s="13"/>
      <c r="L43" s="13"/>
      <c r="M43" s="13"/>
      <c r="N43" s="13"/>
      <c r="O43" s="13"/>
    </row>
    <row r="44" spans="1:15" ht="15" customHeight="1" x14ac:dyDescent="0.2">
      <c r="A44" s="26" t="s">
        <v>5</v>
      </c>
      <c r="B44" s="25">
        <v>21</v>
      </c>
      <c r="C44" s="15" t="s">
        <v>26</v>
      </c>
      <c r="D44" s="15">
        <v>1</v>
      </c>
      <c r="E44" s="15" t="s">
        <v>118</v>
      </c>
      <c r="F44" s="13">
        <v>7768.36</v>
      </c>
      <c r="G44" s="13">
        <f>Tabela2[[#This Row],[Salário Base]]*Tabela2[[#This Row],[Quantidade]]</f>
        <v>7768.36</v>
      </c>
      <c r="H44" s="13">
        <v>1165.25</v>
      </c>
      <c r="I44" s="13">
        <v>776.84</v>
      </c>
      <c r="J44" s="13"/>
      <c r="K44" s="13"/>
      <c r="L44" s="13"/>
      <c r="M44" s="13"/>
      <c r="N44" s="13"/>
      <c r="O44" s="13"/>
    </row>
    <row r="45" spans="1:15" ht="15" customHeight="1" x14ac:dyDescent="0.2">
      <c r="A45" s="26" t="s">
        <v>5</v>
      </c>
      <c r="B45" s="25">
        <v>1032</v>
      </c>
      <c r="C45" s="15" t="s">
        <v>119</v>
      </c>
      <c r="D45" s="15">
        <v>1</v>
      </c>
      <c r="E45" s="15" t="s">
        <v>106</v>
      </c>
      <c r="F45" s="13">
        <v>5862.9</v>
      </c>
      <c r="G45" s="13">
        <f>Tabela2[[#This Row],[Salário Base]]*Tabela2[[#This Row],[Quantidade]]</f>
        <v>5862.9</v>
      </c>
      <c r="H45" s="13">
        <v>879.44</v>
      </c>
      <c r="I45" s="13">
        <f>1758.87</f>
        <v>1758.87</v>
      </c>
      <c r="J45" s="13"/>
      <c r="K45" s="13"/>
      <c r="L45" s="13">
        <f>2345.16</f>
        <v>2345.16</v>
      </c>
      <c r="M45" s="13"/>
      <c r="N45" s="13"/>
      <c r="O45" s="13"/>
    </row>
    <row r="46" spans="1:15" ht="15" customHeight="1" x14ac:dyDescent="0.2">
      <c r="A46" s="26" t="s">
        <v>5</v>
      </c>
      <c r="B46" s="25">
        <v>1030</v>
      </c>
      <c r="C46" s="15" t="s">
        <v>120</v>
      </c>
      <c r="D46" s="15">
        <v>1</v>
      </c>
      <c r="E46" s="15" t="s">
        <v>106</v>
      </c>
      <c r="F46" s="13">
        <v>5862.9</v>
      </c>
      <c r="G46" s="13">
        <f>Tabela2[[#This Row],[Salário Base]]*Tabela2[[#This Row],[Quantidade]]</f>
        <v>5862.9</v>
      </c>
      <c r="H46" s="13">
        <v>879.44</v>
      </c>
      <c r="I46" s="13"/>
      <c r="J46" s="13"/>
      <c r="K46" s="13"/>
      <c r="L46" s="13"/>
      <c r="M46" s="13"/>
      <c r="N46" s="13"/>
      <c r="O46" s="13"/>
    </row>
    <row r="47" spans="1:15" ht="15" customHeight="1" x14ac:dyDescent="0.2">
      <c r="A47" s="26" t="s">
        <v>5</v>
      </c>
      <c r="B47" s="25">
        <v>1049</v>
      </c>
      <c r="C47" s="15" t="s">
        <v>27</v>
      </c>
      <c r="D47" s="15">
        <v>1</v>
      </c>
      <c r="E47" s="15" t="s">
        <v>102</v>
      </c>
      <c r="F47" s="13">
        <v>2198.59</v>
      </c>
      <c r="G47" s="13">
        <f>Tabela2[[#This Row],[Salário Base]]*Tabela2[[#This Row],[Quantidade]]</f>
        <v>2198.59</v>
      </c>
      <c r="H47" s="13"/>
      <c r="I47" s="13"/>
      <c r="J47" s="13"/>
      <c r="K47" s="13"/>
      <c r="L47" s="13"/>
      <c r="M47" s="13"/>
      <c r="N47" s="13"/>
      <c r="O47" s="13"/>
    </row>
    <row r="48" spans="1:15" ht="15" customHeight="1" x14ac:dyDescent="0.2">
      <c r="A48" s="26" t="s">
        <v>5</v>
      </c>
      <c r="B48" s="25">
        <v>1031</v>
      </c>
      <c r="C48" s="15" t="s">
        <v>121</v>
      </c>
      <c r="D48" s="15">
        <v>1</v>
      </c>
      <c r="E48" s="15" t="s">
        <v>106</v>
      </c>
      <c r="F48" s="13">
        <v>5862.9</v>
      </c>
      <c r="G48" s="13">
        <f>Tabela2[[#This Row],[Salário Base]]*Tabela2[[#This Row],[Quantidade]]</f>
        <v>5862.9</v>
      </c>
      <c r="H48" s="13">
        <v>879.44</v>
      </c>
      <c r="I48" s="13">
        <f>Tabela2[[#This Row],[Salário Base]]*0.2</f>
        <v>1172.58</v>
      </c>
      <c r="J48" s="13"/>
      <c r="K48" s="13"/>
      <c r="L48" s="13"/>
      <c r="M48" s="13"/>
      <c r="N48" s="13"/>
      <c r="O48" s="13"/>
    </row>
    <row r="49" spans="1:15" ht="15" customHeight="1" x14ac:dyDescent="0.2">
      <c r="A49" s="26" t="s">
        <v>5</v>
      </c>
      <c r="B49" s="25">
        <v>1026</v>
      </c>
      <c r="C49" s="15" t="s">
        <v>28</v>
      </c>
      <c r="D49" s="15">
        <v>1</v>
      </c>
      <c r="E49" s="15" t="s">
        <v>111</v>
      </c>
      <c r="F49" s="13">
        <v>6595.79</v>
      </c>
      <c r="G49" s="13">
        <f>Tabela2[[#This Row],[Salário Base]]*Tabela2[[#This Row],[Quantidade]]</f>
        <v>6595.79</v>
      </c>
      <c r="H49" s="13"/>
      <c r="I49" s="13"/>
      <c r="J49" s="13"/>
      <c r="K49" s="13"/>
      <c r="L49" s="13"/>
      <c r="M49" s="13"/>
      <c r="N49" s="13"/>
      <c r="O49" s="13"/>
    </row>
    <row r="50" spans="1:15" ht="15" customHeight="1" x14ac:dyDescent="0.2">
      <c r="A50" s="26" t="s">
        <v>5</v>
      </c>
      <c r="B50" s="25">
        <v>1052</v>
      </c>
      <c r="C50" s="15" t="s">
        <v>122</v>
      </c>
      <c r="D50" s="15">
        <v>1</v>
      </c>
      <c r="E50" s="15" t="s">
        <v>102</v>
      </c>
      <c r="F50" s="13">
        <v>2198.59</v>
      </c>
      <c r="G50" s="13">
        <f>Tabela2[[#This Row],[Salário Base]]*Tabela2[[#This Row],[Quantidade]]</f>
        <v>2198.59</v>
      </c>
      <c r="H50" s="13">
        <f>329.79</f>
        <v>329.79</v>
      </c>
      <c r="I50" s="13">
        <f>Tabela2[[#This Row],[Salário Base]]*0.1</f>
        <v>219.85900000000004</v>
      </c>
      <c r="J50" s="13"/>
      <c r="K50" s="13"/>
      <c r="L50" s="13"/>
      <c r="M50" s="13"/>
      <c r="N50" s="13"/>
      <c r="O50" s="13"/>
    </row>
    <row r="51" spans="1:15" ht="15" customHeight="1" x14ac:dyDescent="0.2">
      <c r="A51" s="26" t="s">
        <v>5</v>
      </c>
      <c r="B51" s="27">
        <v>1035</v>
      </c>
      <c r="C51" s="16" t="s">
        <v>126</v>
      </c>
      <c r="D51" s="16">
        <v>1</v>
      </c>
      <c r="E51" s="16" t="s">
        <v>101</v>
      </c>
      <c r="F51" s="13">
        <v>4493.46</v>
      </c>
      <c r="G51" s="13">
        <f>Tabela2[[#This Row],[Salário Base]]*Tabela2[[#This Row],[Quantidade]]</f>
        <v>4493.46</v>
      </c>
      <c r="H51" s="13"/>
      <c r="I51" s="13"/>
      <c r="J51" s="13"/>
      <c r="K51" s="13"/>
      <c r="L51" s="13"/>
      <c r="M51" s="13"/>
      <c r="N51" s="13"/>
      <c r="O51" s="13"/>
    </row>
    <row r="52" spans="1:15" ht="15" customHeight="1" x14ac:dyDescent="0.2">
      <c r="A52" s="26" t="s">
        <v>5</v>
      </c>
      <c r="B52" s="25">
        <v>1055</v>
      </c>
      <c r="C52" s="15" t="s">
        <v>128</v>
      </c>
      <c r="D52" s="15">
        <v>1</v>
      </c>
      <c r="E52" s="15" t="s">
        <v>102</v>
      </c>
      <c r="F52" s="13">
        <v>2198.59</v>
      </c>
      <c r="G52" s="13">
        <f>Tabela2[[#This Row],[Salário Base]]*Tabela2[[#This Row],[Quantidade]]</f>
        <v>2198.59</v>
      </c>
      <c r="H52" s="13"/>
      <c r="I52" s="13"/>
      <c r="J52" s="13"/>
      <c r="K52" s="13"/>
      <c r="L52" s="13"/>
      <c r="M52" s="13"/>
      <c r="N52" s="13"/>
      <c r="O52" s="13"/>
    </row>
    <row r="53" spans="1:15" ht="15" customHeight="1" x14ac:dyDescent="0.2">
      <c r="A53" s="26" t="s">
        <v>5</v>
      </c>
      <c r="B53" s="25">
        <v>1054</v>
      </c>
      <c r="C53" s="15" t="s">
        <v>129</v>
      </c>
      <c r="D53" s="15">
        <v>1</v>
      </c>
      <c r="E53" s="15" t="s">
        <v>102</v>
      </c>
      <c r="F53" s="13">
        <v>2198.59</v>
      </c>
      <c r="G53" s="13">
        <f>Tabela2[[#This Row],[Salário Base]]*Tabela2[[#This Row],[Quantidade]]</f>
        <v>2198.59</v>
      </c>
      <c r="H53" s="13"/>
      <c r="I53" s="13"/>
      <c r="J53" s="13"/>
      <c r="K53" s="13"/>
      <c r="L53" s="13"/>
      <c r="M53" s="13"/>
      <c r="N53" s="13"/>
      <c r="O53" s="13"/>
    </row>
    <row r="54" spans="1:15" ht="15" customHeight="1" x14ac:dyDescent="0.2">
      <c r="A54" s="26" t="s">
        <v>5</v>
      </c>
      <c r="B54" s="25">
        <v>73</v>
      </c>
      <c r="C54" s="15" t="s">
        <v>130</v>
      </c>
      <c r="D54" s="15">
        <v>1</v>
      </c>
      <c r="E54" s="15" t="s">
        <v>106</v>
      </c>
      <c r="F54" s="13">
        <v>5862.9</v>
      </c>
      <c r="G54" s="13">
        <f>Tabela2[[#This Row],[Salário Base]]*Tabela2[[#This Row],[Quantidade]]</f>
        <v>5862.9</v>
      </c>
      <c r="H54" s="13"/>
      <c r="I54" s="13"/>
      <c r="J54" s="13"/>
      <c r="K54" s="13"/>
      <c r="L54" s="13"/>
      <c r="M54" s="13"/>
      <c r="N54" s="13"/>
      <c r="O54" s="13"/>
    </row>
    <row r="55" spans="1:15" ht="15" customHeight="1" x14ac:dyDescent="0.2">
      <c r="A55" s="26" t="s">
        <v>5</v>
      </c>
      <c r="B55" s="25">
        <v>1029</v>
      </c>
      <c r="C55" s="15" t="s">
        <v>31</v>
      </c>
      <c r="D55" s="15">
        <v>1</v>
      </c>
      <c r="E55" s="15" t="s">
        <v>111</v>
      </c>
      <c r="F55" s="13">
        <v>6595.79</v>
      </c>
      <c r="G55" s="13">
        <f>Tabela2[[#This Row],[Salário Base]]*Tabela2[[#This Row],[Quantidade]]</f>
        <v>6595.79</v>
      </c>
      <c r="H55" s="13">
        <f>989.37</f>
        <v>989.37</v>
      </c>
      <c r="I55" s="13"/>
      <c r="J55" s="13"/>
      <c r="K55" s="13"/>
      <c r="L55" s="13"/>
      <c r="M55" s="13"/>
      <c r="N55" s="13"/>
      <c r="O55" s="13"/>
    </row>
    <row r="56" spans="1:15" ht="15" customHeight="1" x14ac:dyDescent="0.2">
      <c r="A56" s="26" t="s">
        <v>5</v>
      </c>
      <c r="B56" s="25">
        <v>1</v>
      </c>
      <c r="C56" s="15" t="s">
        <v>131</v>
      </c>
      <c r="D56" s="15">
        <v>1</v>
      </c>
      <c r="E56" s="15" t="s">
        <v>118</v>
      </c>
      <c r="F56" s="13">
        <v>7768.36</v>
      </c>
      <c r="G56" s="13">
        <f>Tabela2[[#This Row],[Salário Base]]*Tabela2[[#This Row],[Quantidade]]</f>
        <v>7768.36</v>
      </c>
      <c r="H56" s="13">
        <f>1165.25</f>
        <v>1165.25</v>
      </c>
      <c r="I56" s="13"/>
      <c r="J56" s="13"/>
      <c r="K56" s="13"/>
      <c r="L56" s="13"/>
      <c r="M56" s="13"/>
      <c r="N56" s="13"/>
      <c r="O56" s="13">
        <v>795.36</v>
      </c>
    </row>
    <row r="57" spans="1:15" ht="15" customHeight="1" x14ac:dyDescent="0.2">
      <c r="A57" s="26" t="s">
        <v>5</v>
      </c>
      <c r="B57" s="25">
        <v>1058</v>
      </c>
      <c r="C57" s="15" t="s">
        <v>132</v>
      </c>
      <c r="D57" s="15">
        <v>1</v>
      </c>
      <c r="E57" s="15" t="s">
        <v>102</v>
      </c>
      <c r="F57" s="13">
        <v>2198.59</v>
      </c>
      <c r="G57" s="13">
        <f>Tabela2[[#This Row],[Salário Base]]*Tabela2[[#This Row],[Quantidade]]</f>
        <v>2198.59</v>
      </c>
      <c r="H57" s="13"/>
      <c r="I57" s="13"/>
      <c r="J57" s="13"/>
      <c r="K57" s="13"/>
      <c r="L57" s="13"/>
      <c r="M57" s="13"/>
      <c r="N57" s="13"/>
      <c r="O57" s="13"/>
    </row>
    <row r="58" spans="1:15" ht="15" customHeight="1" x14ac:dyDescent="0.2">
      <c r="A58" s="26" t="s">
        <v>5</v>
      </c>
      <c r="B58" s="25">
        <v>1044</v>
      </c>
      <c r="C58" s="15" t="s">
        <v>133</v>
      </c>
      <c r="D58" s="15">
        <v>1</v>
      </c>
      <c r="E58" s="15" t="s">
        <v>108</v>
      </c>
      <c r="F58" s="13">
        <v>3844.6</v>
      </c>
      <c r="G58" s="13">
        <f>Tabela2[[#This Row],[Salário Base]]*Tabela2[[#This Row],[Quantidade]]</f>
        <v>3844.6</v>
      </c>
      <c r="H58" s="13"/>
      <c r="I58" s="13"/>
      <c r="J58" s="13"/>
      <c r="K58" s="13"/>
      <c r="L58" s="13"/>
      <c r="M58" s="13"/>
      <c r="N58" s="13"/>
      <c r="O58" s="13"/>
    </row>
    <row r="59" spans="1:15" ht="15" customHeight="1" x14ac:dyDescent="0.2">
      <c r="A59" s="26" t="s">
        <v>5</v>
      </c>
      <c r="B59" s="25">
        <v>1051</v>
      </c>
      <c r="C59" s="15" t="s">
        <v>32</v>
      </c>
      <c r="D59" s="15">
        <v>1</v>
      </c>
      <c r="E59" s="15" t="s">
        <v>102</v>
      </c>
      <c r="F59" s="13">
        <v>2198.59</v>
      </c>
      <c r="G59" s="13">
        <f>Tabela2[[#This Row],[Salário Base]]*Tabela2[[#This Row],[Quantidade]]</f>
        <v>2198.59</v>
      </c>
      <c r="H59" s="13">
        <f>329.79</f>
        <v>329.79</v>
      </c>
      <c r="I59" s="13"/>
      <c r="J59" s="13"/>
      <c r="K59" s="13"/>
      <c r="L59" s="13"/>
      <c r="M59" s="13"/>
      <c r="N59" s="13"/>
      <c r="O59" s="13"/>
    </row>
    <row r="60" spans="1:15" ht="15" customHeight="1" x14ac:dyDescent="0.2"/>
    <row r="61" spans="1:15" ht="15" customHeight="1" x14ac:dyDescent="0.2"/>
    <row r="62" spans="1:15" ht="15" customHeight="1" x14ac:dyDescent="0.2"/>
    <row r="63" spans="1:15" ht="15" customHeight="1" x14ac:dyDescent="0.2"/>
    <row r="64" spans="1:15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964-F735-439C-85C2-E4066C511D2A}">
  <dimension ref="A1:G5"/>
  <sheetViews>
    <sheetView workbookViewId="0">
      <selection activeCell="E11" sqref="E11"/>
    </sheetView>
  </sheetViews>
  <sheetFormatPr defaultRowHeight="12.75" x14ac:dyDescent="0.2"/>
  <cols>
    <col min="1" max="1" width="14.33203125" style="29" bestFit="1" customWidth="1"/>
    <col min="2" max="2" width="13.6640625" style="29" bestFit="1" customWidth="1"/>
    <col min="3" max="3" width="15.6640625" style="29" bestFit="1" customWidth="1"/>
    <col min="4" max="4" width="18.83203125" style="29" bestFit="1" customWidth="1"/>
    <col min="5" max="5" width="23.33203125" style="29" bestFit="1" customWidth="1"/>
    <col min="6" max="6" width="42" style="29" bestFit="1" customWidth="1"/>
    <col min="7" max="7" width="39.1640625" style="29" customWidth="1"/>
    <col min="8" max="16384" width="9.33203125" style="29"/>
  </cols>
  <sheetData>
    <row r="1" spans="1:7" ht="30" customHeight="1" x14ac:dyDescent="0.2">
      <c r="A1" s="17" t="s">
        <v>2</v>
      </c>
      <c r="B1" s="18" t="s">
        <v>0</v>
      </c>
      <c r="C1" s="18" t="s">
        <v>34</v>
      </c>
      <c r="D1" s="18" t="s">
        <v>38</v>
      </c>
      <c r="E1" s="18" t="s">
        <v>37</v>
      </c>
      <c r="F1" s="21" t="s">
        <v>138</v>
      </c>
      <c r="G1" s="21" t="s">
        <v>146</v>
      </c>
    </row>
    <row r="2" spans="1:7" ht="15" x14ac:dyDescent="0.2">
      <c r="A2" s="22" t="s">
        <v>4</v>
      </c>
      <c r="B2" s="23">
        <v>10</v>
      </c>
      <c r="C2" s="14" t="s">
        <v>14</v>
      </c>
      <c r="D2" s="30">
        <v>1</v>
      </c>
      <c r="E2" s="31" t="s">
        <v>134</v>
      </c>
      <c r="F2" s="13">
        <v>4452.1899999999996</v>
      </c>
      <c r="G2" s="13">
        <f>Tabela3[[#This Row],[Aposentadoria/Pensão por morte]]*Tabela3[[#This Row],[Quantidade]]</f>
        <v>4452.1899999999996</v>
      </c>
    </row>
    <row r="3" spans="1:7" ht="15" x14ac:dyDescent="0.2">
      <c r="A3" s="24" t="s">
        <v>4</v>
      </c>
      <c r="B3" s="23">
        <v>72</v>
      </c>
      <c r="C3" s="15" t="s">
        <v>15</v>
      </c>
      <c r="D3" s="32">
        <v>2</v>
      </c>
      <c r="E3" s="31" t="s">
        <v>135</v>
      </c>
      <c r="F3" s="31">
        <v>3310</v>
      </c>
      <c r="G3" s="13">
        <f>Tabela3[[#This Row],[Aposentadoria/Pensão por morte]]*Tabela3[[#This Row],[Quantidade]]</f>
        <v>6620</v>
      </c>
    </row>
    <row r="4" spans="1:7" ht="15" x14ac:dyDescent="0.2">
      <c r="A4" s="24" t="s">
        <v>4</v>
      </c>
      <c r="B4" s="23">
        <v>72</v>
      </c>
      <c r="C4" s="15" t="s">
        <v>15</v>
      </c>
      <c r="D4" s="32">
        <v>1</v>
      </c>
      <c r="E4" s="31" t="s">
        <v>136</v>
      </c>
      <c r="F4" s="31">
        <v>3003.3</v>
      </c>
      <c r="G4" s="13">
        <f>Tabela3[[#This Row],[Aposentadoria/Pensão por morte]]*Tabela3[[#This Row],[Quantidade]]</f>
        <v>3003.3</v>
      </c>
    </row>
    <row r="5" spans="1:7" ht="15" x14ac:dyDescent="0.2">
      <c r="A5" s="24" t="s">
        <v>4</v>
      </c>
      <c r="B5" s="23">
        <v>72</v>
      </c>
      <c r="C5" s="16" t="s">
        <v>15</v>
      </c>
      <c r="D5" s="33">
        <v>1</v>
      </c>
      <c r="E5" s="31" t="s">
        <v>137</v>
      </c>
      <c r="F5" s="34">
        <v>4356.3599999999997</v>
      </c>
      <c r="G5" s="13">
        <f>Tabela3[[#This Row],[Aposentadoria/Pensão por morte]]*Tabela3[[#This Row],[Quantidade]]</f>
        <v>4356.3599999999997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56F8-999F-4BE0-9DE6-3346A5403B2D}">
  <dimension ref="A1:G24"/>
  <sheetViews>
    <sheetView workbookViewId="0">
      <selection activeCell="C13" sqref="C13"/>
    </sheetView>
  </sheetViews>
  <sheetFormatPr defaultRowHeight="12.75" x14ac:dyDescent="0.2"/>
  <cols>
    <col min="1" max="1" width="17" bestFit="1" customWidth="1"/>
    <col min="2" max="2" width="13.6640625" bestFit="1" customWidth="1"/>
    <col min="3" max="3" width="15.33203125" customWidth="1"/>
    <col min="4" max="4" width="18.83203125" bestFit="1" customWidth="1"/>
    <col min="5" max="5" width="13.33203125" bestFit="1" customWidth="1"/>
    <col min="6" max="6" width="15.33203125" bestFit="1" customWidth="1"/>
    <col min="7" max="7" width="21.1640625" bestFit="1" customWidth="1"/>
  </cols>
  <sheetData>
    <row r="1" spans="1:7" ht="30" customHeight="1" x14ac:dyDescent="0.2">
      <c r="A1" s="17" t="s">
        <v>2</v>
      </c>
      <c r="B1" s="18" t="s">
        <v>0</v>
      </c>
      <c r="C1" s="18" t="s">
        <v>34</v>
      </c>
      <c r="D1" s="18" t="s">
        <v>38</v>
      </c>
      <c r="E1" s="18" t="s">
        <v>37</v>
      </c>
      <c r="F1" s="18" t="s">
        <v>139</v>
      </c>
      <c r="G1" s="18" t="s">
        <v>147</v>
      </c>
    </row>
    <row r="2" spans="1:7" ht="15" x14ac:dyDescent="0.2">
      <c r="A2" s="2" t="s">
        <v>140</v>
      </c>
      <c r="B2" s="9">
        <v>42</v>
      </c>
      <c r="C2" s="2" t="s">
        <v>13</v>
      </c>
      <c r="D2" s="14">
        <v>23</v>
      </c>
      <c r="E2" s="14" t="s">
        <v>141</v>
      </c>
      <c r="F2" s="19">
        <v>18742.91</v>
      </c>
      <c r="G2" s="19">
        <f>Tabela4[Subsídio]*Tabela4[Quantidade]</f>
        <v>431086.93</v>
      </c>
    </row>
    <row r="3" spans="1:7" ht="15" x14ac:dyDescent="0.2">
      <c r="A3" s="1"/>
      <c r="B3" s="1"/>
      <c r="C3" s="4"/>
      <c r="D3" s="3"/>
    </row>
    <row r="4" spans="1:7" ht="15" x14ac:dyDescent="0.2">
      <c r="A4" s="1"/>
      <c r="B4" s="1"/>
      <c r="C4" s="4"/>
      <c r="D4" s="3"/>
    </row>
    <row r="5" spans="1:7" ht="15" x14ac:dyDescent="0.2">
      <c r="A5" s="1"/>
      <c r="B5" s="1"/>
      <c r="C5" s="4"/>
      <c r="D5" s="3"/>
    </row>
    <row r="6" spans="1:7" ht="15" x14ac:dyDescent="0.2">
      <c r="A6" s="1"/>
      <c r="B6" s="1"/>
      <c r="C6" s="4"/>
      <c r="D6" s="3"/>
    </row>
    <row r="7" spans="1:7" ht="15" x14ac:dyDescent="0.2">
      <c r="A7" s="1"/>
      <c r="B7" s="1"/>
      <c r="C7" s="4"/>
      <c r="D7" s="3"/>
    </row>
    <row r="8" spans="1:7" ht="15" x14ac:dyDescent="0.2">
      <c r="A8" s="1"/>
      <c r="B8" s="1"/>
      <c r="C8" s="4"/>
      <c r="D8" s="3"/>
    </row>
    <row r="9" spans="1:7" ht="15" x14ac:dyDescent="0.2">
      <c r="A9" s="1"/>
      <c r="B9" s="1"/>
      <c r="C9" s="4"/>
      <c r="D9" s="3"/>
    </row>
    <row r="10" spans="1:7" ht="15" x14ac:dyDescent="0.2">
      <c r="A10" s="1"/>
      <c r="B10" s="1"/>
      <c r="C10" s="4"/>
      <c r="D10" s="3"/>
    </row>
    <row r="11" spans="1:7" ht="15" x14ac:dyDescent="0.2">
      <c r="A11" s="1"/>
      <c r="B11" s="1"/>
      <c r="C11" s="4"/>
      <c r="D11" s="3"/>
    </row>
    <row r="12" spans="1:7" ht="15" x14ac:dyDescent="0.2">
      <c r="A12" s="1"/>
      <c r="B12" s="1"/>
      <c r="C12" s="4"/>
      <c r="D12" s="3"/>
    </row>
    <row r="13" spans="1:7" ht="15" x14ac:dyDescent="0.2">
      <c r="A13" s="1"/>
      <c r="B13" s="1"/>
      <c r="C13" s="4"/>
      <c r="D13" s="3"/>
    </row>
    <row r="14" spans="1:7" ht="15" x14ac:dyDescent="0.2">
      <c r="A14" s="1"/>
      <c r="B14" s="1"/>
      <c r="C14" s="4"/>
      <c r="D14" s="3"/>
    </row>
    <row r="15" spans="1:7" ht="15" x14ac:dyDescent="0.2">
      <c r="A15" s="1"/>
      <c r="B15" s="1"/>
      <c r="C15" s="4"/>
      <c r="D15" s="3"/>
    </row>
    <row r="16" spans="1:7" ht="15" x14ac:dyDescent="0.2">
      <c r="A16" s="1"/>
      <c r="B16" s="1"/>
      <c r="C16" s="4"/>
      <c r="D16" s="3"/>
    </row>
    <row r="17" spans="1:4" ht="15" x14ac:dyDescent="0.2">
      <c r="A17" s="1"/>
      <c r="B17" s="1"/>
      <c r="C17" s="4"/>
      <c r="D17" s="3"/>
    </row>
    <row r="18" spans="1:4" ht="15" x14ac:dyDescent="0.2">
      <c r="A18" s="1"/>
      <c r="B18" s="1"/>
      <c r="C18" s="4"/>
      <c r="D18" s="3"/>
    </row>
    <row r="19" spans="1:4" ht="15" x14ac:dyDescent="0.2">
      <c r="A19" s="1"/>
      <c r="B19" s="1"/>
      <c r="C19" s="4"/>
      <c r="D19" s="3"/>
    </row>
    <row r="20" spans="1:4" ht="15" x14ac:dyDescent="0.2">
      <c r="A20" s="1"/>
      <c r="B20" s="1"/>
      <c r="C20" s="4"/>
      <c r="D20" s="3"/>
    </row>
    <row r="21" spans="1:4" ht="15" x14ac:dyDescent="0.2">
      <c r="A21" s="1"/>
      <c r="B21" s="1"/>
      <c r="C21" s="4"/>
      <c r="D21" s="3"/>
    </row>
    <row r="22" spans="1:4" ht="15" x14ac:dyDescent="0.2">
      <c r="A22" s="1"/>
      <c r="B22" s="1"/>
      <c r="C22" s="4"/>
      <c r="D22" s="3"/>
    </row>
    <row r="23" spans="1:4" ht="15" x14ac:dyDescent="0.2">
      <c r="A23" s="1"/>
      <c r="B23" s="1"/>
      <c r="C23" s="4"/>
      <c r="D23" s="3"/>
    </row>
    <row r="24" spans="1:4" ht="15" x14ac:dyDescent="0.2">
      <c r="A24" s="5"/>
      <c r="B24" s="5"/>
      <c r="C24" s="6"/>
      <c r="D24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38E3-FF06-447B-B407-789452F1957D}">
  <dimension ref="A1:I13"/>
  <sheetViews>
    <sheetView workbookViewId="0">
      <selection activeCell="D6" sqref="D6"/>
    </sheetView>
  </sheetViews>
  <sheetFormatPr defaultRowHeight="12.75" x14ac:dyDescent="0.2"/>
  <cols>
    <col min="1" max="1" width="14.33203125" style="29" bestFit="1" customWidth="1"/>
    <col min="2" max="3" width="13.6640625" style="29" bestFit="1" customWidth="1"/>
    <col min="4" max="4" width="18.83203125" style="29" bestFit="1" customWidth="1"/>
    <col min="5" max="5" width="12" style="29" bestFit="1" customWidth="1"/>
    <col min="6" max="6" width="19" style="29" bestFit="1" customWidth="1"/>
    <col min="7" max="7" width="19" style="29" customWidth="1"/>
    <col min="8" max="8" width="29.5" style="29" bestFit="1" customWidth="1"/>
    <col min="9" max="9" width="27.1640625" style="29" bestFit="1" customWidth="1"/>
    <col min="10" max="16384" width="9.33203125" style="29"/>
  </cols>
  <sheetData>
    <row r="1" spans="1:9" ht="30" customHeight="1" x14ac:dyDescent="0.2">
      <c r="A1" s="17" t="s">
        <v>2</v>
      </c>
      <c r="B1" s="18" t="s">
        <v>0</v>
      </c>
      <c r="C1" s="18" t="s">
        <v>34</v>
      </c>
      <c r="D1" s="18" t="s">
        <v>38</v>
      </c>
      <c r="E1" s="18" t="s">
        <v>37</v>
      </c>
      <c r="F1" s="18" t="s">
        <v>143</v>
      </c>
      <c r="G1" s="21" t="s">
        <v>148</v>
      </c>
      <c r="H1" s="21" t="s">
        <v>144</v>
      </c>
      <c r="I1" s="18" t="s">
        <v>149</v>
      </c>
    </row>
    <row r="2" spans="1:9" ht="15" customHeight="1" x14ac:dyDescent="0.2">
      <c r="A2" s="14" t="s">
        <v>33</v>
      </c>
      <c r="B2" s="14">
        <v>90</v>
      </c>
      <c r="C2" s="14" t="s">
        <v>33</v>
      </c>
      <c r="D2" s="35">
        <v>10</v>
      </c>
      <c r="E2" s="35" t="s">
        <v>142</v>
      </c>
      <c r="F2" s="36">
        <v>956.34</v>
      </c>
      <c r="G2" s="36">
        <f>Tabela5[Bolsa Estagio]*Tabela5[Quantidade]</f>
        <v>9563.4</v>
      </c>
      <c r="H2" s="36">
        <v>106.26</v>
      </c>
      <c r="I2" s="36">
        <f>Tabela5[Auxilio Transporte]*Tabela5[Quantidade]</f>
        <v>1062.6000000000001</v>
      </c>
    </row>
    <row r="3" spans="1:9" ht="15" customHeight="1" x14ac:dyDescent="0.2"/>
    <row r="4" spans="1:9" ht="15" customHeight="1" x14ac:dyDescent="0.2"/>
    <row r="5" spans="1:9" ht="15" customHeight="1" x14ac:dyDescent="0.2"/>
    <row r="6" spans="1:9" ht="15" customHeight="1" x14ac:dyDescent="0.2"/>
    <row r="7" spans="1:9" ht="15" customHeight="1" x14ac:dyDescent="0.2"/>
    <row r="8" spans="1:9" ht="15" customHeight="1" x14ac:dyDescent="0.2"/>
    <row r="9" spans="1:9" ht="15" customHeight="1" x14ac:dyDescent="0.2"/>
    <row r="10" spans="1:9" ht="15" customHeight="1" x14ac:dyDescent="0.2"/>
    <row r="11" spans="1:9" ht="15" customHeight="1" x14ac:dyDescent="0.2"/>
    <row r="12" spans="1:9" ht="15" customHeight="1" x14ac:dyDescent="0.2"/>
    <row r="13" spans="1:9" ht="15" customHeight="1" x14ac:dyDescent="0.2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Efetivos</vt:lpstr>
      <vt:lpstr>Comissionados</vt:lpstr>
      <vt:lpstr>Inativos</vt:lpstr>
      <vt:lpstr>Agentes Políticos</vt:lpstr>
      <vt:lpstr>Estagiários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Lista_de_Funcionarios</dc:title>
  <cp:lastModifiedBy>Dell</cp:lastModifiedBy>
  <dcterms:created xsi:type="dcterms:W3CDTF">2025-03-06T13:25:41Z</dcterms:created>
  <dcterms:modified xsi:type="dcterms:W3CDTF">2025-03-10T01:51:14Z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2025-02-26T00:00:00Z</vt:filetime>
  </property>
  <property fmtid="{D5CDD505-2E9C-101B-9397-08002B2CF9AE}" pid="3" name="LastSaved">
    <vt:filetime>2025-03-06T00:00:00Z</vt:filetime>
  </property>
  <property fmtid="{D5CDD505-2E9C-101B-9397-08002B2CF9AE}" pid="4" name="Producer">
    <vt:lpwstr>Microsoft: Print To PDF</vt:lpwstr>
  </property>
</Properties>
</file>