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asto\OneDrive\Pulpit\"/>
    </mc:Choice>
  </mc:AlternateContent>
  <xr:revisionPtr revIDLastSave="0" documentId="13_ncr:1_{79BEDFED-8DC5-4792-9EAD-C79D980D8578}" xr6:coauthVersionLast="47" xr6:coauthVersionMax="47" xr10:uidLastSave="{00000000-0000-0000-0000-000000000000}"/>
  <bookViews>
    <workbookView xWindow="-120" yWindow="-120" windowWidth="29040" windowHeight="15840" firstSheet="1" activeTab="4" xr2:uid="{B36AF06D-B6B7-48D8-963C-CCA348EDE9AC}"/>
  </bookViews>
  <sheets>
    <sheet name="Podstawowe dane" sheetId="1" r:id="rId1"/>
    <sheet name="Bilans" sheetId="5" r:id="rId2"/>
    <sheet name="Rachunek zysków i strat" sheetId="6" r:id="rId3"/>
    <sheet name="Rachunek przepływów pieniężnych" sheetId="7" r:id="rId4"/>
    <sheet name="Wskaźniki" sheetId="12" r:id="rId5"/>
    <sheet name="Wskaźniki sektorowe" sheetId="14" r:id="rId6"/>
    <sheet name="Wnioski ogólne" sheetId="11"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8" i="14" l="1"/>
  <c r="D8" i="14"/>
  <c r="E6" i="14"/>
  <c r="D6" i="14"/>
  <c r="E16" i="14"/>
  <c r="D16" i="14"/>
  <c r="E13" i="14"/>
  <c r="D13" i="14"/>
  <c r="E87" i="12"/>
  <c r="F87" i="12"/>
  <c r="D87" i="12"/>
  <c r="E86" i="12"/>
  <c r="F86" i="12"/>
  <c r="D86" i="12"/>
  <c r="E85" i="12"/>
  <c r="F85" i="12"/>
  <c r="D85" i="12"/>
  <c r="E84" i="12"/>
  <c r="F84" i="12"/>
  <c r="D84" i="12"/>
  <c r="X19" i="6"/>
  <c r="W19" i="6"/>
  <c r="V19" i="6"/>
  <c r="U19" i="6"/>
  <c r="X18" i="6"/>
  <c r="W18" i="6"/>
  <c r="V18" i="6"/>
  <c r="U18" i="6"/>
  <c r="X17" i="6"/>
  <c r="W17" i="6"/>
  <c r="V17" i="6"/>
  <c r="U17" i="6"/>
  <c r="X16" i="6"/>
  <c r="W16" i="6"/>
  <c r="V16" i="6"/>
  <c r="U16" i="6"/>
  <c r="X15" i="6"/>
  <c r="W15" i="6"/>
  <c r="V15" i="6"/>
  <c r="U15" i="6"/>
  <c r="X14" i="6"/>
  <c r="W14" i="6"/>
  <c r="V14" i="6"/>
  <c r="U14" i="6"/>
  <c r="X13" i="6"/>
  <c r="W13" i="6"/>
  <c r="V13" i="6"/>
  <c r="U13" i="6"/>
  <c r="X12" i="6"/>
  <c r="W12" i="6"/>
  <c r="V12" i="6"/>
  <c r="U12" i="6"/>
  <c r="X11" i="6"/>
  <c r="W11" i="6"/>
  <c r="V11" i="6"/>
  <c r="U11" i="6"/>
  <c r="X10" i="6"/>
  <c r="W10" i="6"/>
  <c r="V10" i="6"/>
  <c r="U10" i="6"/>
  <c r="X9" i="6"/>
  <c r="W9" i="6"/>
  <c r="V9" i="6"/>
  <c r="U9" i="6"/>
  <c r="X8" i="6"/>
  <c r="W8" i="6"/>
  <c r="V8" i="6"/>
  <c r="U8" i="6"/>
  <c r="X7" i="6"/>
  <c r="W7" i="6"/>
  <c r="V7" i="6"/>
  <c r="U7" i="6"/>
  <c r="R19" i="6"/>
  <c r="Q19" i="6"/>
  <c r="P19" i="6"/>
  <c r="R18" i="6"/>
  <c r="Q18" i="6"/>
  <c r="P18" i="6"/>
  <c r="R17" i="6"/>
  <c r="Q17" i="6"/>
  <c r="P17" i="6"/>
  <c r="R16" i="6"/>
  <c r="Q16" i="6"/>
  <c r="P16" i="6"/>
  <c r="R15" i="6"/>
  <c r="Q15" i="6"/>
  <c r="P15" i="6"/>
  <c r="R14" i="6"/>
  <c r="Q14" i="6"/>
  <c r="P14" i="6"/>
  <c r="R13" i="6"/>
  <c r="Q13" i="6"/>
  <c r="P13" i="6"/>
  <c r="R12" i="6"/>
  <c r="Q12" i="6"/>
  <c r="P12" i="6"/>
  <c r="R11" i="6"/>
  <c r="Q11" i="6"/>
  <c r="P11" i="6"/>
  <c r="R10" i="6"/>
  <c r="Q10" i="6"/>
  <c r="P10" i="6"/>
  <c r="R9" i="6"/>
  <c r="Q9" i="6"/>
  <c r="P9" i="6"/>
  <c r="R8" i="6"/>
  <c r="Q8" i="6"/>
  <c r="P8" i="6"/>
  <c r="R7" i="6"/>
  <c r="Q7" i="6"/>
  <c r="P7" i="6"/>
  <c r="P39" i="5"/>
  <c r="O39" i="5"/>
  <c r="N39" i="5"/>
  <c r="M39" i="5"/>
  <c r="P38" i="5"/>
  <c r="O38" i="5"/>
  <c r="N38" i="5"/>
  <c r="M38" i="5"/>
  <c r="P37" i="5"/>
  <c r="O37" i="5"/>
  <c r="N37" i="5"/>
  <c r="M37" i="5"/>
  <c r="O36" i="5"/>
  <c r="M36" i="5"/>
  <c r="P35" i="5"/>
  <c r="O35" i="5"/>
  <c r="N35" i="5"/>
  <c r="M35" i="5"/>
  <c r="P34" i="5"/>
  <c r="O34" i="5"/>
  <c r="N34" i="5"/>
  <c r="M34" i="5"/>
  <c r="P32" i="5"/>
  <c r="O32" i="5"/>
  <c r="N32" i="5"/>
  <c r="M32" i="5"/>
  <c r="P31" i="5"/>
  <c r="O31" i="5"/>
  <c r="N31" i="5"/>
  <c r="M31" i="5"/>
  <c r="P30" i="5"/>
  <c r="O30" i="5"/>
  <c r="N30" i="5"/>
  <c r="M30" i="5"/>
  <c r="P29" i="5"/>
  <c r="O29" i="5"/>
  <c r="N29" i="5"/>
  <c r="M29" i="5"/>
  <c r="P28" i="5"/>
  <c r="O28" i="5"/>
  <c r="N28" i="5"/>
  <c r="M28" i="5"/>
  <c r="P27" i="5"/>
  <c r="O27" i="5"/>
  <c r="N27" i="5"/>
  <c r="M27" i="5"/>
  <c r="P26" i="5"/>
  <c r="O26" i="5"/>
  <c r="N26" i="5"/>
  <c r="M26" i="5"/>
  <c r="P25" i="5"/>
  <c r="O25" i="5"/>
  <c r="N25" i="5"/>
  <c r="M25" i="5"/>
  <c r="P24" i="5"/>
  <c r="O24" i="5"/>
  <c r="N24" i="5"/>
  <c r="M24" i="5"/>
  <c r="P23" i="5"/>
  <c r="O23" i="5"/>
  <c r="N23" i="5"/>
  <c r="M23" i="5"/>
  <c r="P22" i="5"/>
  <c r="O22" i="5"/>
  <c r="N22" i="5"/>
  <c r="M22" i="5"/>
  <c r="P19" i="5"/>
  <c r="O19" i="5"/>
  <c r="N19" i="5"/>
  <c r="M19" i="5"/>
  <c r="P18" i="5"/>
  <c r="N18" i="5"/>
  <c r="P17" i="5"/>
  <c r="O17" i="5"/>
  <c r="N17" i="5"/>
  <c r="M17" i="5"/>
  <c r="P16" i="5"/>
  <c r="O16" i="5"/>
  <c r="N16" i="5"/>
  <c r="M16" i="5"/>
  <c r="P15" i="5"/>
  <c r="O15" i="5"/>
  <c r="N15" i="5"/>
  <c r="M15" i="5"/>
  <c r="P13" i="5"/>
  <c r="O13" i="5"/>
  <c r="N13" i="5"/>
  <c r="M13" i="5"/>
  <c r="P12" i="5"/>
  <c r="O12" i="5"/>
  <c r="N12" i="5"/>
  <c r="M12" i="5"/>
  <c r="P11" i="5"/>
  <c r="O11" i="5"/>
  <c r="N11" i="5"/>
  <c r="M11" i="5"/>
  <c r="P10" i="5"/>
  <c r="O10" i="5"/>
  <c r="N10" i="5"/>
  <c r="M10" i="5"/>
  <c r="P9" i="5"/>
  <c r="O9" i="5"/>
  <c r="N9" i="5"/>
  <c r="M9" i="5"/>
  <c r="P8" i="5"/>
  <c r="O8" i="5"/>
  <c r="N8" i="5"/>
  <c r="M8" i="5"/>
  <c r="P7" i="5"/>
  <c r="O7" i="5"/>
  <c r="N7" i="5"/>
  <c r="M7" i="5"/>
  <c r="P6" i="5"/>
  <c r="O6" i="5"/>
  <c r="N6" i="5"/>
  <c r="M6" i="5"/>
  <c r="P5" i="5"/>
  <c r="O5" i="5"/>
  <c r="N5" i="5"/>
  <c r="M5" i="5"/>
  <c r="D72" i="12"/>
  <c r="E72" i="12"/>
  <c r="F72" i="12"/>
  <c r="D73" i="12"/>
  <c r="E73" i="12"/>
  <c r="F73" i="12"/>
  <c r="D74" i="12"/>
  <c r="E74" i="12"/>
  <c r="F74" i="12"/>
  <c r="D75" i="12"/>
  <c r="E75" i="12"/>
  <c r="F75" i="12"/>
  <c r="D76" i="12"/>
  <c r="E76" i="12"/>
  <c r="F76" i="12"/>
  <c r="D77" i="12"/>
  <c r="E77" i="12"/>
  <c r="F77" i="12"/>
  <c r="D78" i="12"/>
  <c r="E78" i="12"/>
  <c r="F78" i="12"/>
  <c r="D79" i="12"/>
  <c r="E79" i="12"/>
  <c r="F79" i="12"/>
  <c r="D80" i="12"/>
  <c r="E80" i="12"/>
  <c r="F80" i="12"/>
  <c r="D59" i="12"/>
  <c r="E59" i="12"/>
  <c r="F59" i="12"/>
  <c r="D60" i="12"/>
  <c r="E60" i="12"/>
  <c r="F60" i="12"/>
  <c r="D61" i="12"/>
  <c r="E61" i="12"/>
  <c r="F61" i="12"/>
  <c r="D62" i="12"/>
  <c r="E62" i="12"/>
  <c r="F62" i="12"/>
  <c r="D63" i="12"/>
  <c r="E63" i="12"/>
  <c r="F63" i="12"/>
  <c r="D64" i="12"/>
  <c r="E64" i="12"/>
  <c r="F64" i="12"/>
  <c r="D65" i="12"/>
  <c r="E65" i="12"/>
  <c r="F65" i="12"/>
  <c r="D66" i="12"/>
  <c r="E66" i="12"/>
  <c r="F66" i="12"/>
  <c r="D67" i="12"/>
  <c r="E67" i="12"/>
  <c r="F67" i="12"/>
  <c r="D68" i="12"/>
  <c r="E68" i="12"/>
  <c r="F68" i="12"/>
  <c r="D53" i="12"/>
  <c r="E53" i="12"/>
  <c r="F53" i="12"/>
  <c r="D54" i="12"/>
  <c r="E54" i="12"/>
  <c r="F54" i="12"/>
  <c r="D55" i="12"/>
  <c r="E55" i="12"/>
  <c r="F55" i="12"/>
  <c r="D44" i="12"/>
  <c r="E44" i="12"/>
  <c r="F44" i="12"/>
  <c r="D45" i="12"/>
  <c r="E45" i="12"/>
  <c r="F45" i="12"/>
  <c r="D46" i="12"/>
  <c r="E46" i="12"/>
  <c r="F46" i="12"/>
  <c r="D47" i="12"/>
  <c r="E47" i="12"/>
  <c r="F47" i="12"/>
  <c r="D48" i="12"/>
  <c r="E48" i="12"/>
  <c r="F48" i="12"/>
  <c r="D49" i="12"/>
  <c r="E49" i="12"/>
  <c r="F49" i="12"/>
  <c r="D39" i="12"/>
  <c r="E39" i="12"/>
  <c r="F39" i="12"/>
  <c r="D40" i="12"/>
  <c r="E40" i="12"/>
  <c r="F40" i="12"/>
  <c r="D35" i="12"/>
  <c r="E35" i="12"/>
  <c r="F35" i="12"/>
  <c r="D36" i="12"/>
  <c r="E36" i="12"/>
  <c r="F36" i="12"/>
  <c r="D37" i="12"/>
  <c r="E37" i="12"/>
  <c r="F37" i="12"/>
  <c r="D38" i="12"/>
  <c r="E38" i="12"/>
  <c r="F38" i="12"/>
  <c r="D29" i="12"/>
  <c r="E29" i="12"/>
  <c r="F29" i="12"/>
  <c r="D30" i="12"/>
  <c r="E30" i="12"/>
  <c r="F30" i="12"/>
  <c r="D31" i="12"/>
  <c r="E31" i="12"/>
  <c r="F31" i="12"/>
  <c r="D22" i="12"/>
  <c r="E22" i="12"/>
  <c r="F22" i="12"/>
  <c r="D23" i="12"/>
  <c r="E23" i="12"/>
  <c r="F23" i="12"/>
  <c r="D24" i="12"/>
  <c r="E24" i="12"/>
  <c r="F24" i="12"/>
  <c r="D25" i="12"/>
  <c r="E25" i="12"/>
  <c r="F25" i="12"/>
  <c r="D16" i="12"/>
  <c r="E16" i="12"/>
  <c r="F16" i="12"/>
  <c r="D17" i="12"/>
  <c r="E17" i="12"/>
  <c r="F17" i="12"/>
  <c r="D18" i="12"/>
  <c r="E18" i="12"/>
  <c r="F18" i="12"/>
  <c r="F12" i="12"/>
  <c r="E12" i="12"/>
  <c r="D12" i="12"/>
  <c r="F11" i="12"/>
  <c r="E11" i="12"/>
  <c r="D11" i="12"/>
  <c r="F10" i="12"/>
  <c r="E10" i="12"/>
  <c r="D10" i="12"/>
  <c r="F6" i="12"/>
  <c r="E6" i="12"/>
  <c r="D6" i="12"/>
  <c r="F5" i="12"/>
  <c r="E5" i="12"/>
  <c r="D5" i="12"/>
  <c r="F4" i="12"/>
  <c r="E4" i="12"/>
  <c r="D4" i="12"/>
  <c r="I39" i="5" l="1"/>
  <c r="J39" i="5"/>
  <c r="H39" i="5"/>
  <c r="H19" i="5"/>
  <c r="J18" i="5"/>
  <c r="J19" i="5"/>
  <c r="I19" i="5"/>
  <c r="H23" i="5"/>
  <c r="I23" i="5"/>
  <c r="J23" i="5"/>
  <c r="H24" i="5"/>
  <c r="I24" i="5"/>
  <c r="J24" i="5"/>
  <c r="H25" i="5"/>
  <c r="I25" i="5"/>
  <c r="J25" i="5"/>
  <c r="H26" i="5"/>
  <c r="I26" i="5"/>
  <c r="J26" i="5"/>
  <c r="H27" i="5"/>
  <c r="I27" i="5"/>
  <c r="J27" i="5"/>
  <c r="H28" i="5"/>
  <c r="I28" i="5"/>
  <c r="J28" i="5"/>
  <c r="H29" i="5"/>
  <c r="I29" i="5"/>
  <c r="J29" i="5"/>
  <c r="H30" i="5"/>
  <c r="I30" i="5"/>
  <c r="J30" i="5"/>
  <c r="H31" i="5"/>
  <c r="I31" i="5"/>
  <c r="J31" i="5"/>
  <c r="H32" i="5"/>
  <c r="I32" i="5"/>
  <c r="J32" i="5"/>
  <c r="H34" i="5"/>
  <c r="I34" i="5"/>
  <c r="J34" i="5"/>
  <c r="H35" i="5"/>
  <c r="I35" i="5"/>
  <c r="J35" i="5"/>
  <c r="H36" i="5"/>
  <c r="I36" i="5"/>
  <c r="H37" i="5"/>
  <c r="I37" i="5"/>
  <c r="J37" i="5"/>
  <c r="H38" i="5"/>
  <c r="I38" i="5"/>
  <c r="J38" i="5"/>
  <c r="I22" i="5"/>
  <c r="J22" i="5"/>
  <c r="H22" i="5"/>
  <c r="J6" i="5"/>
  <c r="J7" i="5"/>
  <c r="J8" i="5"/>
  <c r="J9" i="5"/>
  <c r="J10" i="5"/>
  <c r="J11" i="5"/>
  <c r="J12" i="5"/>
  <c r="J13" i="5"/>
  <c r="J15" i="5"/>
  <c r="J16" i="5"/>
  <c r="J17" i="5"/>
  <c r="I6" i="5"/>
  <c r="I7" i="5"/>
  <c r="I8" i="5"/>
  <c r="I9" i="5"/>
  <c r="I10" i="5"/>
  <c r="I11" i="5"/>
  <c r="I12" i="5"/>
  <c r="I13" i="5"/>
  <c r="I14" i="5"/>
  <c r="I15" i="5"/>
  <c r="I16" i="5"/>
  <c r="I17" i="5"/>
  <c r="I18" i="5"/>
  <c r="I5" i="5"/>
  <c r="J5" i="5"/>
  <c r="H6" i="5"/>
  <c r="H7" i="5"/>
  <c r="H8" i="5"/>
  <c r="H9" i="5"/>
  <c r="H10" i="5"/>
  <c r="H11" i="5"/>
  <c r="H12" i="5"/>
  <c r="H13" i="5"/>
  <c r="H15" i="5"/>
  <c r="H16" i="5"/>
  <c r="H17" i="5"/>
  <c r="H5" i="5"/>
  <c r="I27" i="6" l="1"/>
  <c r="J27" i="6"/>
  <c r="K27" i="6"/>
  <c r="K26" i="6"/>
  <c r="I26" i="6"/>
  <c r="J26" i="6"/>
  <c r="J21" i="7"/>
  <c r="J14" i="7"/>
  <c r="H19" i="7"/>
  <c r="I19" i="7"/>
  <c r="J19" i="7"/>
  <c r="J12" i="7"/>
  <c r="I12" i="7"/>
  <c r="I5" i="7"/>
  <c r="H12" i="7"/>
  <c r="J7" i="7"/>
  <c r="J5" i="7"/>
  <c r="H5" i="7"/>
</calcChain>
</file>

<file path=xl/sharedStrings.xml><?xml version="1.0" encoding="utf-8"?>
<sst xmlns="http://schemas.openxmlformats.org/spreadsheetml/2006/main" count="381" uniqueCount="249">
  <si>
    <t>https://www.money.pl/gielda/raporty/</t>
  </si>
  <si>
    <t>linki do sprawozdań:</t>
  </si>
  <si>
    <t>AKTYWA TRWAŁE</t>
  </si>
  <si>
    <t>Rzeczowe aktywa trwałe</t>
  </si>
  <si>
    <t>AKTYWA OBROTOWE</t>
  </si>
  <si>
    <t>Zapasy</t>
  </si>
  <si>
    <t xml:space="preserve">Pozostałe aktywa finansowe </t>
  </si>
  <si>
    <t xml:space="preserve">Środki pieniężne i ich ekwiwalenty </t>
  </si>
  <si>
    <t>PASYWA</t>
  </si>
  <si>
    <t>Zobowiązania długoterminowe</t>
  </si>
  <si>
    <t>Rezerwa z tytułu odroczonego podatku dochodowego</t>
  </si>
  <si>
    <t>Zobowiązania krótkoterminowe</t>
  </si>
  <si>
    <t>Prawo do użytkowania aktywów</t>
  </si>
  <si>
    <t>Nieruchomości inwestycyjne</t>
  </si>
  <si>
    <t>Wartości niematerialne</t>
  </si>
  <si>
    <t>AKTYWA</t>
  </si>
  <si>
    <t>Należności z tytułu dostaw i usług oraz pozostałe należności</t>
  </si>
  <si>
    <t>Instrumenty pochodne</t>
  </si>
  <si>
    <t>SUMA AKTYWÓW</t>
  </si>
  <si>
    <t>Kapitał podstawowy</t>
  </si>
  <si>
    <t>Pozostałe kapitały rezerwowe</t>
  </si>
  <si>
    <t>Zyski zatrzymane/ niepokryte straty</t>
  </si>
  <si>
    <t>Kapitał własny</t>
  </si>
  <si>
    <t>Rezerwy</t>
  </si>
  <si>
    <t xml:space="preserve">Zobowiązania z tytułu praw do użytkowania </t>
  </si>
  <si>
    <t xml:space="preserve">Zobowiązania z tytułu dostaw i usług oraz pozostałe </t>
  </si>
  <si>
    <t>Kredyty bankowe i pożyczki</t>
  </si>
  <si>
    <t>Zobowiązania z tytułu podatku dochodowego</t>
  </si>
  <si>
    <t>SUMA PASYWÓW</t>
  </si>
  <si>
    <t>Zobowiązania razem</t>
  </si>
  <si>
    <t>-</t>
  </si>
  <si>
    <t>Udzielone pożyczki</t>
  </si>
  <si>
    <t>Aktywa przeznaczone do sprzedaży</t>
  </si>
  <si>
    <t>Koszty sprzedaży</t>
  </si>
  <si>
    <t>Koszty ogólnego zarządu</t>
  </si>
  <si>
    <t>Pozostałe przychody operacyjne</t>
  </si>
  <si>
    <t>Pozostałe koszty operacyjne</t>
  </si>
  <si>
    <t>Przychody finansowe</t>
  </si>
  <si>
    <t>Koszty finansowe</t>
  </si>
  <si>
    <t>Podatek dochodowy</t>
  </si>
  <si>
    <t>Przychody</t>
  </si>
  <si>
    <t>Koszty</t>
  </si>
  <si>
    <t>Przychody z umów z klientami</t>
  </si>
  <si>
    <t>Koszt własny sprzedaży</t>
  </si>
  <si>
    <t>Zysk brutto ze sprzedaży</t>
  </si>
  <si>
    <t>Zysk netto ze sprzedaży</t>
  </si>
  <si>
    <t>Zysk brutto</t>
  </si>
  <si>
    <t>Zysk netto za rok obrotowy</t>
  </si>
  <si>
    <t xml:space="preserve"> -podstawowy z zysku za rok obrotowy</t>
  </si>
  <si>
    <t xml:space="preserve"> -rozwodniony z zysku za rok obrotowy</t>
  </si>
  <si>
    <r>
      <rPr>
        <b/>
        <sz val="10"/>
        <color theme="1"/>
        <rFont val="Arial"/>
        <family val="2"/>
        <charset val="238"/>
      </rPr>
      <t>Zysk</t>
    </r>
    <r>
      <rPr>
        <sz val="10"/>
        <color theme="1"/>
        <rFont val="Arial"/>
        <family val="2"/>
        <charset val="238"/>
      </rPr>
      <t xml:space="preserve"> na jedną akcję (w PLN):</t>
    </r>
  </si>
  <si>
    <t>RACHUNEK ZYSKÓW I STRAT</t>
  </si>
  <si>
    <t>Zapłacone odsetki</t>
  </si>
  <si>
    <t>Zapłacony podatek dochodowy</t>
  </si>
  <si>
    <t>RACHUNEK PRZEPŁYWÓW PIENIĘŻNYCH</t>
  </si>
  <si>
    <t>Przepływy środków pieniężnych z działalności operacyjnej</t>
  </si>
  <si>
    <t>Zysk/(strata) brutto</t>
  </si>
  <si>
    <t>Korekty o pozycje:</t>
  </si>
  <si>
    <t xml:space="preserve">Amortyzacja  </t>
  </si>
  <si>
    <t>Zyski/straty z tytułu różnic kursowych</t>
  </si>
  <si>
    <t>Koszty i przychody z tytułu odsetek</t>
  </si>
  <si>
    <t>Zysk/strata z tytułu działalności inwestycyjnej</t>
  </si>
  <si>
    <t>Zmiana stanu rezerw</t>
  </si>
  <si>
    <t>Zmiana stanu zapasów</t>
  </si>
  <si>
    <t>Zmiana stanu należności i pozostałych aktywów niefinansowych</t>
  </si>
  <si>
    <t>Zmiana stanu zobowiązań</t>
  </si>
  <si>
    <t>Inne</t>
  </si>
  <si>
    <t>Środki pieniężne netto z działalności operacyjnej</t>
  </si>
  <si>
    <t>Przepływy środków pieniężnych z działalności inwestycyjnej</t>
  </si>
  <si>
    <t>Wpływy ze sprzedaży środków trwałych i wartości niematerialnych</t>
  </si>
  <si>
    <t>Wpływy z tytułu odsetek</t>
  </si>
  <si>
    <t>Spłaty udzielonych pożyczek</t>
  </si>
  <si>
    <t>Wydatki na nabycie rzeczowych aktywów trwałych</t>
  </si>
  <si>
    <t>Wydatki netto na nabycie aktywów finansnowych</t>
  </si>
  <si>
    <t>Środki pieniężne netto z działalności inwestycyjnej</t>
  </si>
  <si>
    <t>Wpływy z kredytów i pożyczek</t>
  </si>
  <si>
    <t>Spłata kredytów i pożyczek</t>
  </si>
  <si>
    <t>Środki pieniężne netto z działalności finansowej</t>
  </si>
  <si>
    <t>Zwiększenie/(zmniejszenie) netto stanu środków pieniężnych i ich ekwiwalentów</t>
  </si>
  <si>
    <t>Środki pieniężne i ich ekwiwalenty na początek okresu</t>
  </si>
  <si>
    <t>Środki pieniężne i ich ekwiwalenty na koniec okresu</t>
  </si>
  <si>
    <t xml:space="preserve">Przepływy środków pieniężnych z działalności finansowej </t>
  </si>
  <si>
    <t>Wpływy ze sprzedaży aktywów finansowych</t>
  </si>
  <si>
    <t>Spłaty leasingów</t>
  </si>
  <si>
    <t>Wariant</t>
  </si>
  <si>
    <t>Finansowa</t>
  </si>
  <si>
    <t>Inwestycyjna</t>
  </si>
  <si>
    <t>Operacyjna</t>
  </si>
  <si>
    <t>Wynik finansowy netto</t>
  </si>
  <si>
    <t>+</t>
  </si>
  <si>
    <t>IV</t>
  </si>
  <si>
    <t>Przepływy pieniężne netto</t>
  </si>
  <si>
    <t xml:space="preserve">Przepływy pieniężne netto </t>
  </si>
  <si>
    <t>II</t>
  </si>
  <si>
    <t>I</t>
  </si>
  <si>
    <t>Wskaźniki relacji</t>
  </si>
  <si>
    <t>Wskaźnik udziału aktywów trwałych</t>
  </si>
  <si>
    <t>Wskaźnik udziału aktywów obrotowych</t>
  </si>
  <si>
    <t>Wskaźnik unieruchomienia majątku</t>
  </si>
  <si>
    <t xml:space="preserve">Analiza rentowności </t>
  </si>
  <si>
    <t xml:space="preserve"> </t>
  </si>
  <si>
    <t>Analiza płynności</t>
  </si>
  <si>
    <t>Płynność finansowa I stopnia</t>
  </si>
  <si>
    <t>Płynność finansowa II stopnia</t>
  </si>
  <si>
    <t>Płynność finansowa III stopnia</t>
  </si>
  <si>
    <t>Wskaźniki statyczne płynności</t>
  </si>
  <si>
    <t>Wskaźnik bieżącej płynności finansowej</t>
  </si>
  <si>
    <t>Wskaźnik szybkiej płynności finansowej</t>
  </si>
  <si>
    <t>Wskaźnik okresu bezpieczeństwa gotówkowego</t>
  </si>
  <si>
    <t>Dynamiczne wskaźniki płynności</t>
  </si>
  <si>
    <t>Wskaźniki wydajności gotówkowej sprzedaży</t>
  </si>
  <si>
    <t>Wskaźniki wydajności gotówkowej aktywów</t>
  </si>
  <si>
    <t>Wskaźniki wydajności gotówkowej zysku</t>
  </si>
  <si>
    <t>Udział aktywów trwałych w aktywach ogółem</t>
  </si>
  <si>
    <t>Udział aktywów obrotowych w aktywach ogółem</t>
  </si>
  <si>
    <t>Udział wartości niematerialnych i prawnych w aktywach ogółem</t>
  </si>
  <si>
    <t>Udział rzeczowych aktywów trwałych w aktywach ogółem</t>
  </si>
  <si>
    <t>Udział zapasów w aktywach ogółem</t>
  </si>
  <si>
    <t>Udział należności w aktywach ogółem</t>
  </si>
  <si>
    <t>Analiza kapitałów</t>
  </si>
  <si>
    <t>Stopień wyposażenia przedsiębiorstwa w kapitał własny</t>
  </si>
  <si>
    <t>Stopień obciążenia przedsiębiorstwa zobowiązaniami</t>
  </si>
  <si>
    <t>Stopień wyposażenia przedsiębiorstwa w kapitał stały</t>
  </si>
  <si>
    <t>Udział rezerw w pasywach ogółem</t>
  </si>
  <si>
    <t>Udział zobowiązań długoterminowych w pasywach ogółem</t>
  </si>
  <si>
    <t>Udział zobowiązań krótkoterminowych w pasywach ogółem</t>
  </si>
  <si>
    <t>Struktura majątkowo-kapitałowa Reguły finansowania</t>
  </si>
  <si>
    <t>Wskaźnik pokrycia aktywów trwałych kapitałem własnym</t>
  </si>
  <si>
    <t>Wskaźnik pokrycia aktywów trwałych kapitałem stałym</t>
  </si>
  <si>
    <t>Wskaźnik pokrycia aktywów obrotowych zobowiązaniami krótkoterminowymi</t>
  </si>
  <si>
    <t>Wskaźniki zadłużenia</t>
  </si>
  <si>
    <t>Wskaźnik ogólnego zadłużenia</t>
  </si>
  <si>
    <t>Wskaźnik pokrycia aktywów kapitałami własnymi</t>
  </si>
  <si>
    <t>Mnożnik kapitału własnego (kapitałowy)</t>
  </si>
  <si>
    <t>Wskaźnik zadłużenia długoterminowego</t>
  </si>
  <si>
    <t>Wskaźnik struktury zobowiązań długoterminowych</t>
  </si>
  <si>
    <t>Wskaźnik struktury zobowiązań krótkoterminowych</t>
  </si>
  <si>
    <t>Wskaźnik zadłużenia aktywów trwałych</t>
  </si>
  <si>
    <t>Wskaźnik pokrycia zobowiązań długoterminowych majątkiem trwałym</t>
  </si>
  <si>
    <t>Wskaźnik zadłużenia kapitału własnego</t>
  </si>
  <si>
    <t>Wskaźnik niezależności finansowej</t>
  </si>
  <si>
    <t>Analiza sprawności działania</t>
  </si>
  <si>
    <t>Wskaźnik rotacji aktywów</t>
  </si>
  <si>
    <t>Wskaźnik rotacji aktywów trwałych</t>
  </si>
  <si>
    <t>Wskaźnik rotacji aktywów obrotowych</t>
  </si>
  <si>
    <t>Wskaźnik rotacji zapasów (krotność)</t>
  </si>
  <si>
    <t>Wskaźnik rotacji zapasów w dniach (cykl zapasów)</t>
  </si>
  <si>
    <t>Wskaźnik rotacji należności (krotność)</t>
  </si>
  <si>
    <t>Wskaźnik rotacji należności w dniach (cykl należności)</t>
  </si>
  <si>
    <t>Wskaźnik rotacji zobowiązań (krotność)</t>
  </si>
  <si>
    <t>Wskaźnik rotacji zobowiązań w dniach (cykl zobowiązań)</t>
  </si>
  <si>
    <t>ROA</t>
  </si>
  <si>
    <t>ROS</t>
  </si>
  <si>
    <t>ROE</t>
  </si>
  <si>
    <r>
      <t xml:space="preserve">NAZWA FIRMY: </t>
    </r>
    <r>
      <rPr>
        <b/>
        <sz val="16"/>
        <color theme="1"/>
        <rFont val="Calibri"/>
        <family val="2"/>
        <charset val="238"/>
      </rPr>
      <t>ORZEŁ BIAŁY S.A</t>
    </r>
  </si>
  <si>
    <r>
      <t>BRANŻA:</t>
    </r>
    <r>
      <rPr>
        <b/>
        <sz val="16"/>
        <color theme="1"/>
        <rFont val="Calibri"/>
        <family val="2"/>
        <charset val="238"/>
      </rPr>
      <t xml:space="preserve"> RECYKLING</t>
    </r>
  </si>
  <si>
    <r>
      <t xml:space="preserve">LATA ANALIZY: </t>
    </r>
    <r>
      <rPr>
        <b/>
        <sz val="16"/>
        <color theme="1"/>
        <rFont val="Calibri"/>
        <family val="2"/>
        <charset val="238"/>
      </rPr>
      <t>2021,2022,2023</t>
    </r>
  </si>
  <si>
    <r>
      <t xml:space="preserve">AUTORZY: </t>
    </r>
    <r>
      <rPr>
        <b/>
        <sz val="16"/>
        <color theme="1"/>
        <rFont val="Calibri"/>
        <family val="2"/>
        <charset val="238"/>
      </rPr>
      <t>Kacper Urbański, Bartosz Tasak, Tomasz Profic</t>
    </r>
  </si>
  <si>
    <t>SPRAWOZDANIE FINANSOWE:</t>
  </si>
  <si>
    <t>Kraków, styczeń 2025</t>
  </si>
  <si>
    <t xml:space="preserve">Orzeł Biały S.A.
NIP 626-000-31-39, REGON 270647152,
KRS 0000099792 Sąd Rejonowy w Gliwicach,
X Wydział Gospodarczy Krajowego Rejestru Sądowego,
Kapitał zakładowy 7.159.779,07 PLN w pełni opłacony.
Nr rejestrowy BDO: 000022713                                                                  Orzeł Biały jest liderem rynku producentów ołowiu rafinowanego w Polsce oraz największą spółką specjalizującą się w recyklingu zużytych akumulatorów ołowiowych. Podstawowym źródłem przychodów spółki jest sprzedaż ołowiu rafinowanego oraz jego stopów uzyskiwanych w wyniku recyklingu zużytych akumulatorów i innych odpadów zawierających ołów. Orzeł Biały dostarcza swoje produkty do największych koncernów zajmujących się produkcją akumulatorów wykorzystywanych głównie w przemyśle motoryzacyjnym. Ołów rafinowany i jego stopy produkowane przez Spółkę znajdują nabywców zarówno w kraju jak i za granicą. </t>
  </si>
  <si>
    <t xml:space="preserve">ANALIZA PIONOWA </t>
  </si>
  <si>
    <t>procentowy udział aktywa/ pasywa w sumie</t>
  </si>
  <si>
    <t>Nazwa wskaźników</t>
  </si>
  <si>
    <t>Wskazniki badania struktury wskazników</t>
  </si>
  <si>
    <t>Pokazuje średnią efektywmość wykorzystania majątku przez przedsiebiorstwo - z 1 zł uzyskano zysk wynoszący 14 zł /19zł/5zł; w 2021 przeciętny nie występuję bo nie mamy danych z 2020</t>
  </si>
  <si>
    <t>WNIOSKI DLA WSKAŹNIKÓW</t>
  </si>
  <si>
    <t>Wskaźnik natychmiastowej płynności finansowej</t>
  </si>
  <si>
    <t>ANALIZA POZIOMA</t>
  </si>
  <si>
    <t>PRZYROSTY WZGLĘDNE ŁAŃCUCHOWE</t>
  </si>
  <si>
    <t>PRZYROSTY BEZWZGLĘDNE ŁAŃCUCHOWE</t>
  </si>
  <si>
    <t>zmiana od roku 2021 do roku 2022</t>
  </si>
  <si>
    <t>zmiana od roku 2022 do roku 2023</t>
  </si>
  <si>
    <t>ANALIZA PIONOWA</t>
  </si>
  <si>
    <t>Spadek wskazuje na rosnącą dominację aktywów obrotowych, co sugeruje większą elastyczność i płynność majątku firmy.</t>
  </si>
  <si>
    <t>Wzrost podkreśla koncentrację na krótkoterminowych aktywach, co może poprawić zdolność do szybkiego reagowania na zmiany rynkowe.</t>
  </si>
  <si>
    <t>Spadek wskazuje na obniżenie poziomu trwałego zaangażowania kapitału, co pozytywnie wpływa na mobilność kapitału.</t>
  </si>
  <si>
    <t>Znaczny wzrost potwierdza zwiększenie gotówki lub jej ekwiwalentów.</t>
  </si>
  <si>
    <t>Wysoka płynność szybka świadczy o bardzo dobrym pokryciu zobowiązań krótkoterminowych aktywami płynnymi.</t>
  </si>
  <si>
    <t>Przesadnie wysoka płynność może sugerować nieefektywne wykorzystanie aktywów.</t>
  </si>
  <si>
    <t>Spadek efektywności wykorzystania aktywów w 2023 r. wymaga analizy przyczyn zmniejszonej sprzedaży lub wzrostu aktywów.</t>
  </si>
  <si>
    <t>Stabilność w rotacji zapasów sugeruje brak istotnych problemów z ich nadmiernym gromadzeniem.</t>
  </si>
  <si>
    <t>Minimalne wahania wskazują na stały poziom kontroli należności.</t>
  </si>
  <si>
    <t>Silne zabezpieczenie aktywów trwałych kapitałem własnym wskazuje na dużą stabilność finansową.</t>
  </si>
  <si>
    <t>Stabilny wzrost wskazuje na rosnącą niezależność finansową.</t>
  </si>
  <si>
    <t>Spadek obciążenia długiem zmniejsza ryzyko finansowe.</t>
  </si>
  <si>
    <t>Znaczny wzrost wskazuje na nadpłynność i możliwość nieefektywnego wykorzystania kapitału.</t>
  </si>
  <si>
    <t>Firma ma dużą nadwyżkę płynnych aktywów, co może oznaczać niskie ryzyko, ale także niewykorzystany potencjał.</t>
  </si>
  <si>
    <t>Firma może znacznie dłużej funkcjonować bez wpływów, co wskazuje na silną pozycję gotówkową.</t>
  </si>
  <si>
    <t>Wzrost wskazuje na poprawę generowania gotówki ze sprzedaży, co zwiększa płynność operacyjną.</t>
  </si>
  <si>
    <t>Brak wartości niematerialnych i prawnych w aktywach wskazuje na skoncentrowanie się na aktywach rzeczowych.</t>
  </si>
  <si>
    <t>Spadek wskazuje na zmniejszenie inwestycji w aktywa trwałe, co może wskazywać na większą elastyczność firmy.</t>
  </si>
  <si>
    <t>Zmniejszenie udziału zapasów w aktywach ogółem może wskazywać na lepsze zarządzanie zapasami i zwiększenie płynności.</t>
  </si>
  <si>
    <t>Spadek udziału należności sugeruje poprawę w obiegu środków pieniężnych oraz lepsze zarządzanie cyklem należności.</t>
  </si>
  <si>
    <t>Wzrost oznacza większe zaangażowanie kapitału stałego w strukturze finansowania, co zwiększa stabilność finansową firmy.</t>
  </si>
  <si>
    <t>Zmniejszenie udziału zobowiązań długoterminowych wskazuje na mniejszą zależność od długoterminowego finansowania, co poprawia stabilność finansową.</t>
  </si>
  <si>
    <t>Spadek udziału zobowiązań krótkoterminowych oznacza lepsze zarządzanie płynnością i mniejszy nacisk na zobowiązania bieżące.</t>
  </si>
  <si>
    <t>Wzrost wskazuje na coraz silniejszą zależność aktywów trwałych od kapitału stałego, co poprawia stabilność finansową firmy i zmniejsza ryzyko związane z finansowaniem długoterminowym.</t>
  </si>
  <si>
    <t>Spadek wskazuje na zmniejszenie ogólnego zadłużenia firmy, co poprawia jej zdolność kredytową i zmniejsza ryzyko finansowe.</t>
  </si>
  <si>
    <t>Wzrost oznacza lepsze pokrycie aktywów kapitałem własnym, co zwiększa stabilność finansową i zmniejsza zależność od zewnętrznego finansowania.</t>
  </si>
  <si>
    <t>Spadek wskazuje na zmniejszenie dźwigni finansowej, co może oznaczać bardziej konserwatywne podejście do zadłużenia.</t>
  </si>
  <si>
    <t>Spadek wskazuje na mniejsze zaangażowanie długoterminowego zadłużenia, co poprawia stabilność finansową firmy.</t>
  </si>
  <si>
    <t>Wzrost wskazuje na większą część aktywów trwałych finansowaną przez dług, co może zwiększać ryzyko związane z finansowaniem tych aktywów.</t>
  </si>
  <si>
    <t>Spadek wskazuje na nieznaczne pogorszenie w pokryciu zobowiązań długoterminowych majątkiem trwałym, co może sugerować mniejsze bezpieczeństwo w finansowaniu długoterminowym.</t>
  </si>
  <si>
    <t>Spadek wskazuje na mniejsze zadłużenie w relacji do kapitału własnego, co zwiększa niezależność finansową firmy.</t>
  </si>
  <si>
    <t>Wzrost wskazuje na lepsze wykorzystanie aktywów trwałych, co może świadczyć o większej efektywności ich wykorzystania.</t>
  </si>
  <si>
    <t>Spadek wskazuje na mniejsze wykorzystanie aktywów obrotowych, co może wskazywać na ich zator lub gorszą rotację.</t>
  </si>
  <si>
    <t>Wzrost cyklu zobowiązań sugeruje wydłużenie czasu spłaty zobowiązań, co może poprawić płynność, ale może również wpłynąć na relacje z dostawcami.</t>
  </si>
  <si>
    <t>Znaczący spadek wskazuje na wydłużenie okresu spłaty zobowiązań, co może wskazywać na poprawę w zarządzaniu zobowiązaniami, ale także na wzrost ryzyka.</t>
  </si>
  <si>
    <t>Wzrost cyklu zapasów wskazuje na wolniejszy obrót zapasami, co może prowadzić do problemów z płynnością.</t>
  </si>
  <si>
    <t>Stabilny wzrost sugeruje, że firma efektywnie wykorzystuje kapitał własny, przynosząc wyższe zyski właścicielom mimo spadku efektywności aktywów; w 2021 przeciętny nie występuję bo nie mamy danych z 2020</t>
  </si>
  <si>
    <t>Złota reguła finansowania</t>
  </si>
  <si>
    <t>Srebrna reguła finansowania</t>
  </si>
  <si>
    <t>Złota reguła bilansowa</t>
  </si>
  <si>
    <t>Srebrna reguła bilansowa</t>
  </si>
  <si>
    <t>Wzrost tego wskaźnika oznacza poprawę stosunku kapitału własnego do aktywów, co może świadczyć o większej solidności finansowej.</t>
  </si>
  <si>
    <t>Wskaźnik znacząco przekracza wartość 1 w każdym roku, co oznacza, że mamy poprawę stosunku kapitału własnego do aktywów, co może świadczyć o większej solidności finansowej.</t>
  </si>
  <si>
    <t>Wyższe wartości niż w złotej regule finansowania wskazują, że przedsiębiorstwo nie tylko pokrywa zobowiązania kapitałem własnym, co podkreśla wysoką niezależność finansową.</t>
  </si>
  <si>
    <t>Wartości wskaźnika są nieco wyższe niż w złotej regule bilansowej, co oznacza, że aktywa trwałe są w większym stopniu pokrywane kapitałem własnym (który jest powiększony o zobowiązania długoterminowe), jednak proporcja ta stopniowo rośnie, co pozytywnie wpływa na stabilność finansową.</t>
  </si>
  <si>
    <t>Spora poprawa pod względem natychmiastowej wypłacalności przy już jak najbardziej zadowalającym wyniku.</t>
  </si>
  <si>
    <t>Spadek wskazuje na mniejsze zabezpieczenia finansowe w formie rezerw, co może sugerować mniejsze przygotowanie na przyszłe ryzyka. Jednak jest to nieznaczna różnica.</t>
  </si>
  <si>
    <t>Stabilne wartości wskazują na utrzymanie równowagi w korzystaniu z finansowania długoterminowego.</t>
  </si>
  <si>
    <t>Wahania wskazują na zmienny, ale dominujący udział zobowiązań krótkoterminowych w strukturze finansowania.</t>
  </si>
  <si>
    <t>Wnioski ogólne</t>
  </si>
  <si>
    <t>Sektorowe wskaźniki finansowe</t>
  </si>
  <si>
    <t>Wskaźnik rentowności netto sprzedaży</t>
  </si>
  <si>
    <t>Wskaźnik rentowności ekonomicznej sprzedaży</t>
  </si>
  <si>
    <t>Okres spłaty zobowiązań</t>
  </si>
  <si>
    <t>Firma w 2022 r. radziła sobie lepiej niż sektor, poprawiając swoje wyniki w okresie, gdy ogólny sektor zanotował spadek.</t>
  </si>
  <si>
    <t>Firma poprawiła swoją rentowność kapitału własnego w 2022 r., podczas gdy cały sektor doświadczył spadku.</t>
  </si>
  <si>
    <t>Firma poprawiła swoją rentowność netto sprzedaży w 2022 r., podczas gdy sektor doświadczył pogorszenia.</t>
  </si>
  <si>
    <t>Firma poprawiła swoją rentowność sprzedaży w 2022 r., podczas gdy sektor zanotował spadek.</t>
  </si>
  <si>
    <t>Firma poprawiła swoją rentowność ekonomiczną sprzedaży w 2022 r., podczas gdy sektor odnotował pogorszenie.</t>
  </si>
  <si>
    <t>Chociaż firma poprawiła swoją płynność finansową w 2022 r., to nadal pozostaje poniżej średniej sektorowej, która osiągnęła bardzo wysokie wartości.</t>
  </si>
  <si>
    <t>Mimo spadku, firma nadal posiada bardzo wysoką płynność finansową III stopnia w porównaniu do sektora.</t>
  </si>
  <si>
    <t>Firma znacząco poprawiła swoją płynność finansową II stopnia, choć nadal pozostaje poniżej średniej sektorowej, która utrzymuje się na bardzo wysokim poziomie.</t>
  </si>
  <si>
    <t>Mimo poprawy, firma wciąż ma dłuższy cykl należności niż sektor.</t>
  </si>
  <si>
    <t>Firma wykazuje lepszą dynamikę w zarządzaniu zobowiązaniami niż sektor</t>
  </si>
  <si>
    <t>Firma wykazuje problemy z efektywnością zarządzania zapasami, ponieważ jej cykl zapasów jest znacznie dłuższy niż średnia w sektorze.</t>
  </si>
  <si>
    <t>Firma ma solidniejszą bazę kapitałową niż średnia branżowa i jest mniej zależna od finansowania zewnętrznego.</t>
  </si>
  <si>
    <t>Niższy poziom zadłużenia i lepszą stabilność finansową w porównaniu do firm w branży.</t>
  </si>
  <si>
    <t>Wskaźnik</t>
  </si>
  <si>
    <t>Pokazuje że zysk netto z przychodów ze sprzedaży z roku na rok rośnie a w 2023 roku wyniosł on 17% czyli z 1 złotówki z przychodów otrzymaliśmy zysk netto 17gr</t>
  </si>
  <si>
    <t>Wzrost w 2022 roku do 17% wskazuje na poprawę generowania gotówki z aktywów, choć w 2023 roku wydajność spadła do 12%.</t>
  </si>
  <si>
    <t>Wzrost ze skromnych 4% w 2021 roku do 100% w 2022 roku wskazuje na maksymalną efektywność przekształcania zysku w gotówkę, ale spadek do 70% w 2023 roku sugeruje wyraźne osłabienie tej zdolności.</t>
  </si>
  <si>
    <t>Wzrost wskaźnika w 2023 roku do 6,26 sugeruje większą samodzielność finansową firmy i mniejsze uzależnienie od kapitału obcego.</t>
  </si>
  <si>
    <t>Wskaźnik wskazuje na stabilną efektywność w odzyskiwaniu należności, choć w 2022 roku poprawiła się ona tymczasowo.</t>
  </si>
  <si>
    <t>Spadek wskaźnika do 10% w 2023 roku wskazuje na pogorszenie zdolności pokrycia zobowiązań krótkoterminowych aktywami obrotowymi.</t>
  </si>
  <si>
    <t>Analiza danych finansowych wskazuje na dynamiczny rozwój firmy, choć z pewnymi wyzwaniami. Systematyczny spadek aktywów trwałych, w tym rzeczowych, może świadczyć o amortyzacji lub ograniczeniu inwestycji w majątek trwały, co zmniejsza długoterminowe zasoby firmy. Jednocześnie wzrost udziału aktywów obrotowych w strukturze majątku (z 70% w 2021 do  82% w 2023 roku) podkreśla koncentrację na krótkoterminowych inwestycjach i zachowaniu płynności finansowej. Firma wydaje się działać ostrożnie, redukując poziom trwałego unieruchomienia majątku, co zwiększa jej elastyczność w dostosowywaniu się do zmian rynkowych. Kondycja finansowa jest stabilna, a niskie zadłużenie oraz odpowiedni poziom wskaźników rentowności sugerują bezpieczną sytuację. Niemniej jednak warto zwrócić uwagę na spadające aktywa trwałe, które mogą ograniczać możliwości długoterminowego rozwoju. Spadek aktywów trwałych, choć może wynikać z amortyzacji, może być również sygnałem braku inwestycji w rozwój długoterminowy. Z drugiej strony, wzrost udziału aktywów obrotowych sugeruje skupienie się na krótkoterminowej płynności, co może być strategią obronną w trudniejszych czasach. Stabilność wskaźników, takich jak niskie zadłużenie, potwierdza, że firma unika ryzyka finansowego.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</si>
</sst>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0\ _z_ł_-;\-* #,##0\ _z_ł_-;_-* &quot;-&quot;??\ _z_ł_-;_-@"/>
    <numFmt numFmtId="165" formatCode="#,#00"/>
    <numFmt numFmtId="166" formatCode="0.000"/>
  </numFmts>
  <fonts count="31" x14ac:knownFonts="1">
    <font>
      <sz val="11"/>
      <color theme="1"/>
      <name val="Aptos Narrow"/>
      <family val="2"/>
      <charset val="238"/>
      <scheme val="minor"/>
    </font>
    <font>
      <b/>
      <sz val="11"/>
      <color theme="1"/>
      <name val="Aptos Narrow"/>
      <family val="2"/>
      <charset val="238"/>
      <scheme val="minor"/>
    </font>
    <font>
      <sz val="11"/>
      <color theme="1"/>
      <name val="Calibri"/>
      <family val="2"/>
      <charset val="238"/>
    </font>
    <font>
      <sz val="11"/>
      <color theme="1"/>
      <name val="Calibri"/>
      <family val="2"/>
      <charset val="238"/>
    </font>
    <font>
      <u/>
      <sz val="11"/>
      <color rgb="FF0563C1"/>
      <name val="Calibri"/>
      <family val="2"/>
      <charset val="238"/>
    </font>
    <font>
      <u/>
      <sz val="11"/>
      <color rgb="FF0000FF"/>
      <name val="Calibri"/>
      <family val="2"/>
      <charset val="238"/>
    </font>
    <font>
      <b/>
      <sz val="11"/>
      <color theme="1"/>
      <name val="Calibri"/>
      <family val="2"/>
      <charset val="238"/>
    </font>
    <font>
      <sz val="11"/>
      <name val="Calibri"/>
      <family val="2"/>
      <charset val="238"/>
    </font>
    <font>
      <sz val="10"/>
      <color theme="1"/>
      <name val="Arial"/>
      <family val="2"/>
      <charset val="238"/>
    </font>
    <font>
      <b/>
      <sz val="10"/>
      <color theme="1"/>
      <name val="Arial"/>
      <family val="2"/>
      <charset val="238"/>
    </font>
    <font>
      <sz val="11"/>
      <color rgb="FF000000"/>
      <name val="Calibri"/>
      <family val="2"/>
      <charset val="238"/>
    </font>
    <font>
      <b/>
      <sz val="11"/>
      <color rgb="FFFF0000"/>
      <name val="Calibri"/>
      <family val="2"/>
      <charset val="238"/>
    </font>
    <font>
      <u/>
      <sz val="11"/>
      <color theme="10"/>
      <name val="Aptos Narrow"/>
      <family val="2"/>
      <charset val="238"/>
      <scheme val="minor"/>
    </font>
    <font>
      <b/>
      <sz val="11"/>
      <name val="Calibri"/>
      <family val="2"/>
      <charset val="238"/>
    </font>
    <font>
      <u/>
      <sz val="10"/>
      <color theme="0"/>
      <name val="Arial"/>
      <family val="2"/>
      <charset val="238"/>
    </font>
    <font>
      <b/>
      <u/>
      <sz val="11"/>
      <color theme="1"/>
      <name val="Calibri"/>
      <family val="2"/>
      <charset val="238"/>
    </font>
    <font>
      <b/>
      <sz val="11"/>
      <color rgb="FF000000"/>
      <name val="Calibri"/>
      <family val="2"/>
      <charset val="238"/>
    </font>
    <font>
      <sz val="11"/>
      <color theme="1"/>
      <name val="Aptos Narrow"/>
      <family val="2"/>
      <charset val="238"/>
      <scheme val="minor"/>
    </font>
    <font>
      <sz val="12"/>
      <color theme="1"/>
      <name val="Calibri"/>
      <family val="2"/>
      <charset val="238"/>
    </font>
    <font>
      <b/>
      <sz val="12"/>
      <color theme="1"/>
      <name val="Calibri"/>
      <family val="2"/>
      <charset val="238"/>
    </font>
    <font>
      <sz val="16"/>
      <color theme="1"/>
      <name val="Calibri"/>
      <family val="2"/>
      <charset val="238"/>
    </font>
    <font>
      <b/>
      <sz val="16"/>
      <color theme="1"/>
      <name val="Calibri"/>
      <family val="2"/>
      <charset val="238"/>
    </font>
    <font>
      <u/>
      <sz val="16"/>
      <color theme="10"/>
      <name val="Aptos Narrow"/>
      <family val="2"/>
      <charset val="238"/>
      <scheme val="minor"/>
    </font>
    <font>
      <sz val="12"/>
      <color theme="1"/>
      <name val="Aptos Narrow"/>
      <family val="2"/>
      <charset val="238"/>
      <scheme val="minor"/>
    </font>
    <font>
      <sz val="16"/>
      <color theme="1"/>
      <name val="Aptos Narrow"/>
      <family val="2"/>
      <charset val="238"/>
      <scheme val="minor"/>
    </font>
    <font>
      <b/>
      <sz val="11"/>
      <color theme="1"/>
      <name val="Aptos Narrow"/>
      <family val="2"/>
      <scheme val="minor"/>
    </font>
    <font>
      <b/>
      <sz val="12"/>
      <color theme="1"/>
      <name val="Aptos Narrow"/>
      <family val="2"/>
      <scheme val="minor"/>
    </font>
    <font>
      <sz val="12"/>
      <color rgb="FF000000"/>
      <name val="Calibri"/>
      <family val="2"/>
      <charset val="238"/>
    </font>
    <font>
      <sz val="12"/>
      <color rgb="FF000000"/>
      <name val="Inconsolata"/>
      <charset val="238"/>
    </font>
    <font>
      <sz val="12"/>
      <color theme="1"/>
      <name val="Aptos Narrow"/>
      <family val="2"/>
      <scheme val="minor"/>
    </font>
    <font>
      <sz val="36"/>
      <color theme="1"/>
      <name val="Aptos Narrow"/>
      <family val="2"/>
      <charset val="238"/>
      <scheme val="minor"/>
    </font>
  </fonts>
  <fills count="16">
    <fill>
      <patternFill patternType="none"/>
    </fill>
    <fill>
      <patternFill patternType="gray125"/>
    </fill>
    <fill>
      <patternFill patternType="solid">
        <fgColor rgb="FFF3F3F3"/>
        <bgColor rgb="FFF3F3F3"/>
      </patternFill>
    </fill>
    <fill>
      <patternFill patternType="solid">
        <fgColor theme="0"/>
        <bgColor indexed="64"/>
      </patternFill>
    </fill>
    <fill>
      <patternFill patternType="solid">
        <fgColor theme="0" tint="-4.9989318521683403E-2"/>
        <bgColor indexed="64"/>
      </patternFill>
    </fill>
    <fill>
      <patternFill patternType="solid">
        <fgColor theme="0"/>
        <bgColor theme="9"/>
      </patternFill>
    </fill>
    <fill>
      <patternFill patternType="solid">
        <fgColor theme="0"/>
        <bgColor rgb="FFFF0000"/>
      </patternFill>
    </fill>
    <fill>
      <patternFill patternType="solid">
        <fgColor theme="0"/>
        <bgColor theme="4"/>
      </patternFill>
    </fill>
    <fill>
      <patternFill patternType="solid">
        <fgColor theme="9" tint="0.59999389629810485"/>
        <bgColor rgb="FFD9EAD3"/>
      </patternFill>
    </fill>
    <fill>
      <patternFill patternType="solid">
        <fgColor theme="9"/>
        <bgColor rgb="FF6AA84F"/>
      </patternFill>
    </fill>
    <fill>
      <patternFill patternType="solid">
        <fgColor rgb="FFFFFF00"/>
        <bgColor indexed="64"/>
      </patternFill>
    </fill>
    <fill>
      <patternFill patternType="solid">
        <fgColor theme="0" tint="-0.249977111117893"/>
        <bgColor indexed="64"/>
      </patternFill>
    </fill>
    <fill>
      <patternFill patternType="solid">
        <fgColor theme="3" tint="0.749992370372631"/>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theme="8" tint="0.59999389629810485"/>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rgb="FF000000"/>
      </right>
      <top style="medium">
        <color indexed="64"/>
      </top>
      <bottom style="thin">
        <color rgb="FF000000"/>
      </bottom>
      <diagonal/>
    </border>
    <border>
      <left style="thin">
        <color rgb="FF000000"/>
      </left>
      <right style="thin">
        <color rgb="FF000000"/>
      </right>
      <top style="medium">
        <color indexed="64"/>
      </top>
      <bottom style="thin">
        <color rgb="FF000000"/>
      </bottom>
      <diagonal/>
    </border>
    <border>
      <left style="thin">
        <color rgb="FF000000"/>
      </left>
      <right style="medium">
        <color indexed="64"/>
      </right>
      <top style="medium">
        <color indexed="64"/>
      </top>
      <bottom style="thin">
        <color rgb="FF000000"/>
      </bottom>
      <diagonal/>
    </border>
    <border>
      <left style="medium">
        <color indexed="64"/>
      </left>
      <right style="thin">
        <color rgb="FF000000"/>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medium">
        <color indexed="64"/>
      </left>
      <right style="thin">
        <color rgb="FF000000"/>
      </right>
      <top style="medium">
        <color indexed="64"/>
      </top>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thin">
        <color rgb="FF000000"/>
      </left>
      <right/>
      <top style="thin">
        <color indexed="64"/>
      </top>
      <bottom style="thin">
        <color rgb="FF000000"/>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style="thin">
        <color rgb="FF000000"/>
      </left>
      <right/>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rgb="FF000000"/>
      </top>
      <bottom style="thin">
        <color rgb="FF000000"/>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style="medium">
        <color indexed="64"/>
      </right>
      <top style="thin">
        <color rgb="FF000000"/>
      </top>
      <bottom/>
      <diagonal/>
    </border>
    <border>
      <left style="thin">
        <color rgb="FF000000"/>
      </left>
      <right style="medium">
        <color indexed="64"/>
      </right>
      <top/>
      <bottom style="thin">
        <color rgb="FF000000"/>
      </bottom>
      <diagonal/>
    </border>
    <border>
      <left style="thin">
        <color rgb="FF000000"/>
      </left>
      <right style="medium">
        <color indexed="64"/>
      </right>
      <top style="thin">
        <color rgb="FF000000"/>
      </top>
      <bottom style="thin">
        <color rgb="FF000000"/>
      </bottom>
      <diagonal/>
    </border>
    <border>
      <left style="thin">
        <color rgb="FF000000"/>
      </left>
      <right style="medium">
        <color indexed="64"/>
      </right>
      <top style="thin">
        <color rgb="FF000000"/>
      </top>
      <bottom style="medium">
        <color indexed="64"/>
      </bottom>
      <diagonal/>
    </border>
  </borders>
  <cellStyleXfs count="5">
    <xf numFmtId="0" fontId="0" fillId="0" borderId="0"/>
    <xf numFmtId="0" fontId="2" fillId="0" borderId="0"/>
    <xf numFmtId="0" fontId="12" fillId="0" borderId="0" applyNumberFormat="0" applyFill="0" applyBorder="0" applyAlignment="0" applyProtection="0"/>
    <xf numFmtId="0" fontId="3" fillId="0" borderId="0"/>
    <xf numFmtId="9" fontId="17" fillId="0" borderId="0" applyFont="0" applyFill="0" applyBorder="0" applyAlignment="0" applyProtection="0"/>
  </cellStyleXfs>
  <cellXfs count="265">
    <xf numFmtId="0" fontId="0" fillId="0" borderId="0" xfId="0"/>
    <xf numFmtId="0" fontId="3" fillId="0" borderId="0" xfId="1" applyFont="1"/>
    <xf numFmtId="0" fontId="2" fillId="0" borderId="2" xfId="1" applyBorder="1" applyAlignment="1">
      <alignment vertical="center"/>
    </xf>
    <xf numFmtId="0" fontId="3" fillId="0" borderId="1" xfId="1" applyFont="1" applyBorder="1" applyAlignment="1">
      <alignment vertical="center" wrapText="1"/>
    </xf>
    <xf numFmtId="0" fontId="3" fillId="0" borderId="1" xfId="1" applyFont="1" applyBorder="1"/>
    <xf numFmtId="0" fontId="6" fillId="0" borderId="1" xfId="1" applyFont="1" applyBorder="1" applyAlignment="1">
      <alignment vertical="center"/>
    </xf>
    <xf numFmtId="0" fontId="2" fillId="0" borderId="1" xfId="1" applyBorder="1" applyAlignment="1">
      <alignment vertical="center"/>
    </xf>
    <xf numFmtId="0" fontId="2" fillId="0" borderId="1" xfId="1" applyBorder="1" applyAlignment="1">
      <alignment vertical="center" wrapText="1"/>
    </xf>
    <xf numFmtId="0" fontId="3" fillId="0" borderId="1" xfId="1" applyFont="1" applyBorder="1" applyAlignment="1">
      <alignment vertical="center"/>
    </xf>
    <xf numFmtId="0" fontId="6" fillId="2" borderId="1" xfId="1" applyFont="1" applyFill="1" applyBorder="1"/>
    <xf numFmtId="0" fontId="6" fillId="4" borderId="1" xfId="1" applyFont="1" applyFill="1" applyBorder="1"/>
    <xf numFmtId="0" fontId="6" fillId="0" borderId="5" xfId="1" applyFont="1" applyBorder="1" applyAlignment="1">
      <alignment vertical="center"/>
    </xf>
    <xf numFmtId="0" fontId="6" fillId="0" borderId="7" xfId="1" applyFont="1" applyBorder="1"/>
    <xf numFmtId="164" fontId="2" fillId="0" borderId="3" xfId="1" applyNumberFormat="1" applyBorder="1"/>
    <xf numFmtId="0" fontId="3" fillId="0" borderId="4" xfId="1" applyFont="1" applyBorder="1"/>
    <xf numFmtId="0" fontId="13" fillId="0" borderId="6" xfId="1" applyFont="1" applyBorder="1"/>
    <xf numFmtId="0" fontId="6" fillId="4" borderId="6" xfId="1" applyFont="1" applyFill="1" applyBorder="1"/>
    <xf numFmtId="0" fontId="0" fillId="0" borderId="6" xfId="0" applyBorder="1"/>
    <xf numFmtId="165" fontId="2" fillId="4" borderId="1" xfId="1" applyNumberFormat="1" applyFill="1" applyBorder="1" applyAlignment="1">
      <alignment horizontal="center" vertical="center"/>
    </xf>
    <xf numFmtId="165" fontId="2" fillId="0" borderId="1" xfId="1" applyNumberFormat="1" applyBorder="1" applyAlignment="1">
      <alignment horizontal="center" vertical="center"/>
    </xf>
    <xf numFmtId="165" fontId="2" fillId="2" borderId="1" xfId="1" applyNumberFormat="1" applyFill="1" applyBorder="1" applyAlignment="1">
      <alignment horizontal="center" vertical="center"/>
    </xf>
    <xf numFmtId="165" fontId="3" fillId="0" borderId="1" xfId="1" applyNumberFormat="1" applyFont="1" applyBorder="1" applyAlignment="1">
      <alignment horizontal="center" vertical="center"/>
    </xf>
    <xf numFmtId="165" fontId="2" fillId="4" borderId="3" xfId="1" applyNumberFormat="1" applyFill="1" applyBorder="1" applyAlignment="1">
      <alignment horizontal="center" vertical="center"/>
    </xf>
    <xf numFmtId="164" fontId="2" fillId="0" borderId="1" xfId="1" applyNumberFormat="1" applyBorder="1" applyAlignment="1">
      <alignment horizontal="center" vertical="center"/>
    </xf>
    <xf numFmtId="164" fontId="3" fillId="0" borderId="1" xfId="1" applyNumberFormat="1" applyFont="1" applyBorder="1" applyAlignment="1">
      <alignment horizontal="center" vertical="center"/>
    </xf>
    <xf numFmtId="164" fontId="3" fillId="0" borderId="4" xfId="1" applyNumberFormat="1" applyFont="1" applyBorder="1" applyAlignment="1">
      <alignment horizontal="center" vertical="center"/>
    </xf>
    <xf numFmtId="164" fontId="2" fillId="0" borderId="4" xfId="1" applyNumberFormat="1" applyBorder="1" applyAlignment="1">
      <alignment horizontal="center" vertical="center"/>
    </xf>
    <xf numFmtId="0" fontId="3" fillId="0" borderId="0" xfId="3"/>
    <xf numFmtId="3" fontId="3" fillId="0" borderId="0" xfId="3" applyNumberFormat="1"/>
    <xf numFmtId="0" fontId="8" fillId="0" borderId="0" xfId="3" applyFont="1" applyAlignment="1">
      <alignment vertical="center"/>
    </xf>
    <xf numFmtId="3" fontId="3" fillId="0" borderId="6" xfId="3" applyNumberFormat="1" applyBorder="1"/>
    <xf numFmtId="3" fontId="6" fillId="0" borderId="6" xfId="3" applyNumberFormat="1" applyFont="1" applyBorder="1"/>
    <xf numFmtId="4" fontId="3" fillId="0" borderId="6" xfId="3" applyNumberFormat="1" applyBorder="1"/>
    <xf numFmtId="3" fontId="3" fillId="0" borderId="12" xfId="3" applyNumberFormat="1" applyBorder="1"/>
    <xf numFmtId="4" fontId="3" fillId="0" borderId="14" xfId="3" applyNumberFormat="1" applyBorder="1"/>
    <xf numFmtId="3" fontId="3" fillId="0" borderId="9" xfId="3" applyNumberFormat="1" applyBorder="1"/>
    <xf numFmtId="3" fontId="3" fillId="0" borderId="10" xfId="3" applyNumberFormat="1" applyBorder="1"/>
    <xf numFmtId="0" fontId="6" fillId="0" borderId="9" xfId="3" applyFont="1" applyBorder="1"/>
    <xf numFmtId="0" fontId="6" fillId="0" borderId="10" xfId="3" applyFont="1" applyBorder="1"/>
    <xf numFmtId="3" fontId="6" fillId="0" borderId="12" xfId="3" applyNumberFormat="1" applyFont="1" applyBorder="1"/>
    <xf numFmtId="3" fontId="6" fillId="0" borderId="14" xfId="3" applyNumberFormat="1" applyFont="1" applyBorder="1"/>
    <xf numFmtId="3" fontId="6" fillId="0" borderId="15" xfId="3" applyNumberFormat="1" applyFont="1" applyBorder="1"/>
    <xf numFmtId="4" fontId="3" fillId="0" borderId="12" xfId="3" applyNumberFormat="1" applyBorder="1"/>
    <xf numFmtId="4" fontId="3" fillId="0" borderId="15" xfId="3" applyNumberFormat="1" applyBorder="1"/>
    <xf numFmtId="1" fontId="3" fillId="0" borderId="6" xfId="3" applyNumberFormat="1" applyBorder="1" applyAlignment="1">
      <alignment horizontal="center"/>
    </xf>
    <xf numFmtId="1" fontId="10" fillId="0" borderId="6" xfId="3" applyNumberFormat="1" applyFont="1" applyBorder="1" applyAlignment="1">
      <alignment horizontal="center"/>
    </xf>
    <xf numFmtId="0" fontId="6" fillId="0" borderId="8" xfId="3" applyFont="1" applyBorder="1"/>
    <xf numFmtId="0" fontId="11" fillId="0" borderId="11" xfId="3" applyFont="1" applyBorder="1"/>
    <xf numFmtId="0" fontId="3" fillId="0" borderId="11" xfId="3" applyBorder="1"/>
    <xf numFmtId="1" fontId="3" fillId="0" borderId="12" xfId="3" applyNumberFormat="1" applyBorder="1" applyAlignment="1">
      <alignment horizontal="center"/>
    </xf>
    <xf numFmtId="0" fontId="10" fillId="0" borderId="11" xfId="3" applyFont="1" applyBorder="1"/>
    <xf numFmtId="1" fontId="10" fillId="0" borderId="12" xfId="3" applyNumberFormat="1" applyFont="1" applyBorder="1" applyAlignment="1">
      <alignment horizontal="center"/>
    </xf>
    <xf numFmtId="0" fontId="6" fillId="0" borderId="11" xfId="3" applyFont="1" applyBorder="1"/>
    <xf numFmtId="0" fontId="13" fillId="0" borderId="11" xfId="3" applyFont="1" applyBorder="1"/>
    <xf numFmtId="0" fontId="13" fillId="0" borderId="13" xfId="3" applyFont="1" applyBorder="1"/>
    <xf numFmtId="0" fontId="11" fillId="0" borderId="11" xfId="3" applyFont="1" applyBorder="1" applyAlignment="1">
      <alignment horizontal="left" vertical="center"/>
    </xf>
    <xf numFmtId="0" fontId="6" fillId="0" borderId="9" xfId="3" applyFont="1" applyBorder="1" applyAlignment="1">
      <alignment horizontal="center"/>
    </xf>
    <xf numFmtId="0" fontId="16" fillId="0" borderId="9" xfId="3" applyFont="1" applyBorder="1" applyAlignment="1">
      <alignment horizontal="center"/>
    </xf>
    <xf numFmtId="0" fontId="16" fillId="0" borderId="10" xfId="3" applyFont="1" applyBorder="1" applyAlignment="1">
      <alignment horizontal="center"/>
    </xf>
    <xf numFmtId="1" fontId="6" fillId="0" borderId="6" xfId="3" applyNumberFormat="1" applyFont="1" applyBorder="1" applyAlignment="1">
      <alignment horizontal="center"/>
    </xf>
    <xf numFmtId="1" fontId="16" fillId="0" borderId="6" xfId="3" applyNumberFormat="1" applyFont="1" applyBorder="1" applyAlignment="1">
      <alignment horizontal="center"/>
    </xf>
    <xf numFmtId="1" fontId="16" fillId="0" borderId="12" xfId="3" applyNumberFormat="1" applyFont="1" applyBorder="1" applyAlignment="1">
      <alignment horizontal="center"/>
    </xf>
    <xf numFmtId="1" fontId="6" fillId="0" borderId="12" xfId="3" applyNumberFormat="1" applyFont="1" applyBorder="1" applyAlignment="1">
      <alignment horizontal="center"/>
    </xf>
    <xf numFmtId="1" fontId="1" fillId="0" borderId="6" xfId="0" applyNumberFormat="1" applyFont="1" applyBorder="1" applyAlignment="1">
      <alignment horizontal="center"/>
    </xf>
    <xf numFmtId="1" fontId="1" fillId="0" borderId="12" xfId="0" applyNumberFormat="1" applyFont="1" applyBorder="1" applyAlignment="1">
      <alignment horizontal="center"/>
    </xf>
    <xf numFmtId="1" fontId="1" fillId="0" borderId="14" xfId="0" applyNumberFormat="1" applyFont="1" applyBorder="1" applyAlignment="1">
      <alignment horizontal="center"/>
    </xf>
    <xf numFmtId="1" fontId="1" fillId="0" borderId="15" xfId="0" applyNumberFormat="1" applyFont="1" applyBorder="1" applyAlignment="1">
      <alignment horizontal="center"/>
    </xf>
    <xf numFmtId="0" fontId="0" fillId="0" borderId="0" xfId="0" applyAlignment="1">
      <alignment horizontal="center"/>
    </xf>
    <xf numFmtId="0" fontId="0" fillId="0" borderId="8" xfId="0" applyBorder="1"/>
    <xf numFmtId="0" fontId="0" fillId="0" borderId="9" xfId="0" applyBorder="1"/>
    <xf numFmtId="0" fontId="0" fillId="0" borderId="17" xfId="0" applyBorder="1" applyAlignment="1">
      <alignment horizontal="center"/>
    </xf>
    <xf numFmtId="0" fontId="0" fillId="0" borderId="10" xfId="0" applyBorder="1"/>
    <xf numFmtId="1" fontId="0" fillId="0" borderId="16" xfId="0" applyNumberFormat="1" applyBorder="1"/>
    <xf numFmtId="1" fontId="0" fillId="0" borderId="17" xfId="0" applyNumberFormat="1" applyBorder="1"/>
    <xf numFmtId="0" fontId="0" fillId="0" borderId="15" xfId="0" applyBorder="1" applyAlignment="1">
      <alignment horizontal="center"/>
    </xf>
    <xf numFmtId="0" fontId="0" fillId="0" borderId="16" xfId="0" applyBorder="1" applyAlignment="1">
      <alignment horizontal="center"/>
    </xf>
    <xf numFmtId="3" fontId="0" fillId="0" borderId="8" xfId="0" applyNumberFormat="1" applyBorder="1"/>
    <xf numFmtId="3" fontId="0" fillId="0" borderId="9" xfId="0" applyNumberFormat="1" applyBorder="1"/>
    <xf numFmtId="3" fontId="0" fillId="0" borderId="10" xfId="0" applyNumberFormat="1" applyBorder="1"/>
    <xf numFmtId="3" fontId="0" fillId="0" borderId="13" xfId="0" applyNumberFormat="1" applyBorder="1"/>
    <xf numFmtId="3" fontId="0" fillId="0" borderId="14" xfId="0" applyNumberFormat="1" applyBorder="1"/>
    <xf numFmtId="3" fontId="0" fillId="0" borderId="15" xfId="0" applyNumberFormat="1" applyBorder="1"/>
    <xf numFmtId="10" fontId="0" fillId="0" borderId="0" xfId="0" applyNumberFormat="1"/>
    <xf numFmtId="0" fontId="6" fillId="0" borderId="0" xfId="0" applyFont="1" applyAlignment="1">
      <alignment wrapText="1"/>
    </xf>
    <xf numFmtId="0" fontId="7" fillId="0" borderId="0" xfId="0" applyFont="1"/>
    <xf numFmtId="0" fontId="4" fillId="0" borderId="0" xfId="1" applyFont="1"/>
    <xf numFmtId="0" fontId="2" fillId="0" borderId="0" xfId="1"/>
    <xf numFmtId="0" fontId="5" fillId="0" borderId="0" xfId="1" applyFont="1"/>
    <xf numFmtId="0" fontId="20" fillId="0" borderId="0" xfId="1" applyFont="1"/>
    <xf numFmtId="0" fontId="6" fillId="0" borderId="6" xfId="1" applyFont="1" applyBorder="1" applyAlignment="1">
      <alignment horizontal="center" vertical="center"/>
    </xf>
    <xf numFmtId="164" fontId="2" fillId="0" borderId="2" xfId="1" applyNumberFormat="1" applyBorder="1" applyAlignment="1">
      <alignment horizontal="center" vertical="center"/>
    </xf>
    <xf numFmtId="164" fontId="2" fillId="0" borderId="36" xfId="1" applyNumberFormat="1" applyBorder="1" applyAlignment="1">
      <alignment horizontal="center" vertical="center"/>
    </xf>
    <xf numFmtId="0" fontId="0" fillId="0" borderId="37" xfId="0" applyBorder="1"/>
    <xf numFmtId="0" fontId="6" fillId="0" borderId="38" xfId="1" applyFont="1" applyBorder="1" applyAlignment="1">
      <alignment vertical="center"/>
    </xf>
    <xf numFmtId="165" fontId="2" fillId="4" borderId="2" xfId="1" applyNumberFormat="1" applyFill="1" applyBorder="1" applyAlignment="1">
      <alignment horizontal="center" vertical="center"/>
    </xf>
    <xf numFmtId="165" fontId="2" fillId="0" borderId="2" xfId="1" applyNumberFormat="1" applyBorder="1" applyAlignment="1">
      <alignment horizontal="center" vertical="center"/>
    </xf>
    <xf numFmtId="165" fontId="2" fillId="2" borderId="2" xfId="1" applyNumberFormat="1" applyFill="1" applyBorder="1" applyAlignment="1">
      <alignment horizontal="center" vertical="center"/>
    </xf>
    <xf numFmtId="165" fontId="3" fillId="0" borderId="2" xfId="1" applyNumberFormat="1" applyFont="1" applyBorder="1" applyAlignment="1">
      <alignment horizontal="center" vertical="center"/>
    </xf>
    <xf numFmtId="0" fontId="2" fillId="4" borderId="2" xfId="1" applyFill="1" applyBorder="1" applyAlignment="1">
      <alignment horizontal="center" vertical="center"/>
    </xf>
    <xf numFmtId="164" fontId="2" fillId="0" borderId="2" xfId="1" applyNumberFormat="1" applyBorder="1"/>
    <xf numFmtId="9" fontId="0" fillId="0" borderId="6" xfId="4" applyFont="1" applyBorder="1" applyAlignment="1">
      <alignment horizontal="center"/>
    </xf>
    <xf numFmtId="0" fontId="6" fillId="0" borderId="6" xfId="1" applyFont="1" applyBorder="1" applyAlignment="1">
      <alignment vertical="center"/>
    </xf>
    <xf numFmtId="164" fontId="2" fillId="0" borderId="6" xfId="1" applyNumberFormat="1" applyBorder="1" applyAlignment="1">
      <alignment horizontal="center" vertical="center"/>
    </xf>
    <xf numFmtId="164" fontId="3" fillId="0" borderId="6" xfId="1" applyNumberFormat="1" applyFont="1" applyBorder="1" applyAlignment="1">
      <alignment horizontal="center" vertical="center"/>
    </xf>
    <xf numFmtId="165" fontId="2" fillId="4" borderId="6" xfId="1" applyNumberFormat="1" applyFill="1" applyBorder="1" applyAlignment="1">
      <alignment horizontal="center" vertical="center"/>
    </xf>
    <xf numFmtId="165" fontId="2" fillId="0" borderId="6" xfId="1" applyNumberFormat="1" applyBorder="1" applyAlignment="1">
      <alignment horizontal="center" vertical="center"/>
    </xf>
    <xf numFmtId="165" fontId="2" fillId="2" borderId="6" xfId="1" applyNumberFormat="1" applyFill="1" applyBorder="1" applyAlignment="1">
      <alignment horizontal="center" vertical="center"/>
    </xf>
    <xf numFmtId="165" fontId="3" fillId="0" borderId="6" xfId="1" applyNumberFormat="1" applyFont="1" applyBorder="1" applyAlignment="1">
      <alignment horizontal="center" vertical="center"/>
    </xf>
    <xf numFmtId="0" fontId="2" fillId="4" borderId="6" xfId="1" applyFill="1" applyBorder="1" applyAlignment="1">
      <alignment horizontal="center" vertical="center"/>
    </xf>
    <xf numFmtId="164" fontId="2" fillId="0" borderId="6" xfId="1" applyNumberFormat="1" applyBorder="1"/>
    <xf numFmtId="0" fontId="6" fillId="0" borderId="7" xfId="1" applyFont="1" applyBorder="1" applyAlignment="1">
      <alignment horizontal="center" vertical="center"/>
    </xf>
    <xf numFmtId="0" fontId="6" fillId="0" borderId="35" xfId="1" applyFont="1" applyBorder="1" applyAlignment="1">
      <alignment horizontal="center" vertical="center"/>
    </xf>
    <xf numFmtId="0" fontId="19" fillId="3" borderId="32" xfId="0" applyFont="1" applyFill="1" applyBorder="1" applyAlignment="1">
      <alignment horizontal="center"/>
    </xf>
    <xf numFmtId="1" fontId="26" fillId="3" borderId="33" xfId="0" applyNumberFormat="1" applyFont="1" applyFill="1" applyBorder="1" applyAlignment="1">
      <alignment horizontal="center"/>
    </xf>
    <xf numFmtId="1" fontId="26" fillId="3" borderId="34" xfId="0" applyNumberFormat="1" applyFont="1" applyFill="1" applyBorder="1" applyAlignment="1">
      <alignment horizontal="center"/>
    </xf>
    <xf numFmtId="2" fontId="18" fillId="3" borderId="27" xfId="0" applyNumberFormat="1" applyFont="1" applyFill="1" applyBorder="1" applyAlignment="1">
      <alignment horizontal="center"/>
    </xf>
    <xf numFmtId="2" fontId="18" fillId="3" borderId="28" xfId="0" applyNumberFormat="1" applyFont="1" applyFill="1" applyBorder="1" applyAlignment="1">
      <alignment horizontal="center"/>
    </xf>
    <xf numFmtId="9" fontId="18" fillId="3" borderId="1" xfId="4" applyFont="1" applyFill="1" applyBorder="1" applyAlignment="1">
      <alignment horizontal="center"/>
    </xf>
    <xf numFmtId="9" fontId="18" fillId="3" borderId="31" xfId="4" applyFont="1" applyFill="1" applyBorder="1" applyAlignment="1">
      <alignment horizontal="center"/>
    </xf>
    <xf numFmtId="2" fontId="23" fillId="3" borderId="27" xfId="0" applyNumberFormat="1" applyFont="1" applyFill="1" applyBorder="1" applyAlignment="1">
      <alignment horizontal="center"/>
    </xf>
    <xf numFmtId="2" fontId="23" fillId="3" borderId="28" xfId="0" applyNumberFormat="1" applyFont="1" applyFill="1" applyBorder="1" applyAlignment="1">
      <alignment horizontal="center"/>
    </xf>
    <xf numFmtId="9" fontId="23" fillId="5" borderId="1" xfId="4" applyFont="1" applyFill="1" applyBorder="1" applyAlignment="1">
      <alignment horizontal="center"/>
    </xf>
    <xf numFmtId="2" fontId="23" fillId="7" borderId="1" xfId="0" applyNumberFormat="1" applyFont="1" applyFill="1" applyBorder="1" applyAlignment="1">
      <alignment horizontal="center"/>
    </xf>
    <xf numFmtId="2" fontId="18" fillId="5" borderId="1" xfId="0" applyNumberFormat="1" applyFont="1" applyFill="1" applyBorder="1" applyAlignment="1">
      <alignment horizontal="center"/>
    </xf>
    <xf numFmtId="2" fontId="18" fillId="3" borderId="1" xfId="0" applyNumberFormat="1" applyFont="1" applyFill="1" applyBorder="1" applyAlignment="1">
      <alignment horizontal="center"/>
    </xf>
    <xf numFmtId="2" fontId="18" fillId="6" borderId="1" xfId="0" applyNumberFormat="1" applyFont="1" applyFill="1" applyBorder="1" applyAlignment="1">
      <alignment horizontal="center"/>
    </xf>
    <xf numFmtId="2" fontId="18" fillId="7" borderId="31" xfId="0" applyNumberFormat="1" applyFont="1" applyFill="1" applyBorder="1" applyAlignment="1">
      <alignment horizontal="center"/>
    </xf>
    <xf numFmtId="2" fontId="28" fillId="7" borderId="4" xfId="0" applyNumberFormat="1" applyFont="1" applyFill="1" applyBorder="1" applyAlignment="1">
      <alignment horizontal="center"/>
    </xf>
    <xf numFmtId="2" fontId="18" fillId="5" borderId="5" xfId="0" applyNumberFormat="1" applyFont="1" applyFill="1" applyBorder="1" applyAlignment="1">
      <alignment horizontal="center"/>
    </xf>
    <xf numFmtId="2" fontId="18" fillId="5" borderId="31" xfId="0" applyNumberFormat="1" applyFont="1" applyFill="1" applyBorder="1" applyAlignment="1">
      <alignment horizontal="center"/>
    </xf>
    <xf numFmtId="9" fontId="23" fillId="3" borderId="1" xfId="4" applyFont="1" applyFill="1" applyBorder="1" applyAlignment="1">
      <alignment horizontal="center"/>
    </xf>
    <xf numFmtId="9" fontId="23" fillId="7" borderId="1" xfId="4" applyFont="1" applyFill="1" applyBorder="1" applyAlignment="1">
      <alignment horizontal="center"/>
    </xf>
    <xf numFmtId="9" fontId="23" fillId="5" borderId="31" xfId="4" applyFont="1" applyFill="1" applyBorder="1" applyAlignment="1">
      <alignment horizontal="center"/>
    </xf>
    <xf numFmtId="9" fontId="23" fillId="3" borderId="31" xfId="4" applyFont="1" applyFill="1" applyBorder="1" applyAlignment="1">
      <alignment horizontal="center"/>
    </xf>
    <xf numFmtId="0" fontId="17" fillId="0" borderId="0" xfId="0" applyFont="1"/>
    <xf numFmtId="0" fontId="25" fillId="0" borderId="0" xfId="0" applyFont="1"/>
    <xf numFmtId="0" fontId="0" fillId="0" borderId="18" xfId="0" applyBorder="1" applyAlignment="1">
      <alignment horizontal="center"/>
    </xf>
    <xf numFmtId="0" fontId="19" fillId="9" borderId="26" xfId="0" applyFont="1" applyFill="1" applyBorder="1" applyAlignment="1">
      <alignment horizontal="center"/>
    </xf>
    <xf numFmtId="0" fontId="18" fillId="8" borderId="29" xfId="0" applyFont="1" applyFill="1" applyBorder="1" applyAlignment="1">
      <alignment horizontal="center"/>
    </xf>
    <xf numFmtId="0" fontId="18" fillId="8" borderId="30" xfId="0" applyFont="1" applyFill="1" applyBorder="1" applyAlignment="1">
      <alignment horizontal="center"/>
    </xf>
    <xf numFmtId="0" fontId="27" fillId="8" borderId="29" xfId="0" applyFont="1" applyFill="1" applyBorder="1" applyAlignment="1">
      <alignment horizontal="center"/>
    </xf>
    <xf numFmtId="0" fontId="18" fillId="8" borderId="41" xfId="0" applyFont="1" applyFill="1" applyBorder="1" applyAlignment="1">
      <alignment horizontal="center"/>
    </xf>
    <xf numFmtId="0" fontId="0" fillId="0" borderId="16" xfId="0" applyBorder="1" applyAlignment="1">
      <alignment horizontal="center" vertical="center"/>
    </xf>
    <xf numFmtId="0" fontId="0" fillId="0" borderId="45" xfId="0" applyBorder="1" applyAlignment="1">
      <alignment horizontal="center"/>
    </xf>
    <xf numFmtId="10" fontId="0" fillId="0" borderId="8" xfId="4" applyNumberFormat="1" applyFont="1" applyBorder="1"/>
    <xf numFmtId="10" fontId="0" fillId="0" borderId="24" xfId="4" applyNumberFormat="1" applyFont="1" applyBorder="1"/>
    <xf numFmtId="2" fontId="0" fillId="0" borderId="8" xfId="0" applyNumberFormat="1" applyBorder="1"/>
    <xf numFmtId="2" fontId="0" fillId="0" borderId="10" xfId="0" applyNumberFormat="1" applyBorder="1"/>
    <xf numFmtId="10" fontId="0" fillId="0" borderId="11" xfId="4" applyNumberFormat="1" applyFont="1" applyBorder="1"/>
    <xf numFmtId="10" fontId="0" fillId="0" borderId="37" xfId="4" applyNumberFormat="1" applyFont="1" applyBorder="1"/>
    <xf numFmtId="2" fontId="0" fillId="0" borderId="11" xfId="0" applyNumberFormat="1" applyBorder="1"/>
    <xf numFmtId="2" fontId="0" fillId="0" borderId="12" xfId="0" applyNumberFormat="1" applyBorder="1"/>
    <xf numFmtId="10" fontId="0" fillId="0" borderId="13" xfId="4" applyNumberFormat="1" applyFont="1" applyBorder="1"/>
    <xf numFmtId="10" fontId="0" fillId="0" borderId="25" xfId="4" applyNumberFormat="1" applyFont="1" applyBorder="1"/>
    <xf numFmtId="2" fontId="0" fillId="0" borderId="13" xfId="0" applyNumberFormat="1" applyBorder="1"/>
    <xf numFmtId="2" fontId="0" fillId="0" borderId="15" xfId="0" applyNumberFormat="1" applyBorder="1"/>
    <xf numFmtId="0" fontId="25" fillId="0" borderId="16" xfId="0" applyFont="1" applyBorder="1" applyAlignment="1">
      <alignment horizontal="center"/>
    </xf>
    <xf numFmtId="0" fontId="25" fillId="0" borderId="17" xfId="0" applyFont="1" applyBorder="1" applyAlignment="1">
      <alignment horizontal="center"/>
    </xf>
    <xf numFmtId="0" fontId="25" fillId="0" borderId="18" xfId="0" applyFont="1" applyBorder="1" applyAlignment="1">
      <alignment horizontal="center"/>
    </xf>
    <xf numFmtId="10" fontId="0" fillId="0" borderId="9" xfId="4" applyNumberFormat="1" applyFont="1" applyBorder="1"/>
    <xf numFmtId="10" fontId="0" fillId="0" borderId="10" xfId="4" applyNumberFormat="1" applyFont="1" applyBorder="1"/>
    <xf numFmtId="10" fontId="0" fillId="0" borderId="6" xfId="4" applyNumberFormat="1" applyFont="1" applyBorder="1"/>
    <xf numFmtId="10" fontId="0" fillId="0" borderId="12" xfId="4" applyNumberFormat="1" applyFont="1" applyBorder="1"/>
    <xf numFmtId="10" fontId="0" fillId="0" borderId="14" xfId="4" applyNumberFormat="1" applyFont="1" applyBorder="1"/>
    <xf numFmtId="10" fontId="0" fillId="0" borderId="15" xfId="4" applyNumberFormat="1" applyFont="1" applyBorder="1"/>
    <xf numFmtId="3" fontId="0" fillId="0" borderId="11" xfId="0" applyNumberFormat="1" applyBorder="1"/>
    <xf numFmtId="3" fontId="0" fillId="0" borderId="12" xfId="0" applyNumberFormat="1" applyBorder="1"/>
    <xf numFmtId="0" fontId="25" fillId="0" borderId="9" xfId="0" applyFont="1" applyBorder="1"/>
    <xf numFmtId="0" fontId="25" fillId="0" borderId="10" xfId="0" applyFont="1"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6" fillId="0" borderId="9" xfId="0" applyFont="1" applyBorder="1" applyAlignment="1">
      <alignment horizontal="center"/>
    </xf>
    <xf numFmtId="0" fontId="26" fillId="0" borderId="10" xfId="0" applyFont="1" applyBorder="1" applyAlignment="1">
      <alignment horizontal="center"/>
    </xf>
    <xf numFmtId="0" fontId="23" fillId="11" borderId="11" xfId="0" applyFont="1" applyFill="1" applyBorder="1" applyAlignment="1">
      <alignment horizontal="center"/>
    </xf>
    <xf numFmtId="0" fontId="23" fillId="10" borderId="11" xfId="0" applyFont="1" applyFill="1" applyBorder="1" applyAlignment="1">
      <alignment horizontal="center"/>
    </xf>
    <xf numFmtId="0" fontId="23" fillId="11" borderId="13" xfId="0" applyFont="1" applyFill="1" applyBorder="1" applyAlignment="1">
      <alignment horizontal="center"/>
    </xf>
    <xf numFmtId="0" fontId="19" fillId="0" borderId="8" xfId="0" applyFont="1" applyBorder="1" applyAlignment="1">
      <alignment horizontal="center"/>
    </xf>
    <xf numFmtId="0" fontId="29" fillId="10" borderId="11" xfId="0" applyFont="1" applyFill="1" applyBorder="1" applyAlignment="1">
      <alignment horizontal="center"/>
    </xf>
    <xf numFmtId="2" fontId="28" fillId="7" borderId="49" xfId="0" applyNumberFormat="1" applyFont="1" applyFill="1" applyBorder="1" applyAlignment="1">
      <alignment horizontal="center"/>
    </xf>
    <xf numFmtId="2" fontId="18" fillId="5" borderId="50" xfId="0" applyNumberFormat="1" applyFont="1" applyFill="1" applyBorder="1" applyAlignment="1">
      <alignment horizontal="center"/>
    </xf>
    <xf numFmtId="2" fontId="18" fillId="5" borderId="51" xfId="0" applyNumberFormat="1" applyFont="1" applyFill="1" applyBorder="1" applyAlignment="1">
      <alignment horizontal="center"/>
    </xf>
    <xf numFmtId="2" fontId="18" fillId="6" borderId="51" xfId="0" applyNumberFormat="1" applyFont="1" applyFill="1" applyBorder="1" applyAlignment="1">
      <alignment horizontal="center"/>
    </xf>
    <xf numFmtId="2" fontId="18" fillId="5" borderId="52" xfId="0" applyNumberFormat="1" applyFont="1" applyFill="1" applyBorder="1" applyAlignment="1">
      <alignment horizontal="center"/>
    </xf>
    <xf numFmtId="2" fontId="18" fillId="3" borderId="51" xfId="0" applyNumberFormat="1" applyFont="1" applyFill="1" applyBorder="1" applyAlignment="1">
      <alignment horizontal="center"/>
    </xf>
    <xf numFmtId="2" fontId="18" fillId="7" borderId="52" xfId="0" applyNumberFormat="1" applyFont="1" applyFill="1" applyBorder="1" applyAlignment="1">
      <alignment horizontal="center"/>
    </xf>
    <xf numFmtId="9" fontId="23" fillId="3" borderId="51" xfId="4" applyFont="1" applyFill="1" applyBorder="1" applyAlignment="1">
      <alignment horizontal="center"/>
    </xf>
    <xf numFmtId="9" fontId="23" fillId="3" borderId="52" xfId="4" applyFont="1" applyFill="1" applyBorder="1" applyAlignment="1">
      <alignment horizontal="center"/>
    </xf>
    <xf numFmtId="9" fontId="18" fillId="3" borderId="51" xfId="4" applyFont="1" applyFill="1" applyBorder="1" applyAlignment="1">
      <alignment horizontal="center"/>
    </xf>
    <xf numFmtId="9" fontId="18" fillId="3" borderId="52" xfId="4" applyFont="1" applyFill="1" applyBorder="1" applyAlignment="1">
      <alignment horizontal="center"/>
    </xf>
    <xf numFmtId="2" fontId="23" fillId="7" borderId="51" xfId="0" applyNumberFormat="1" applyFont="1" applyFill="1" applyBorder="1" applyAlignment="1">
      <alignment horizontal="center"/>
    </xf>
    <xf numFmtId="9" fontId="23" fillId="7" borderId="51" xfId="4" applyFont="1" applyFill="1" applyBorder="1" applyAlignment="1">
      <alignment horizontal="center"/>
    </xf>
    <xf numFmtId="9" fontId="23" fillId="5" borderId="52" xfId="4" applyFont="1" applyFill="1" applyBorder="1" applyAlignment="1">
      <alignment horizontal="center"/>
    </xf>
    <xf numFmtId="9" fontId="23" fillId="5" borderId="51" xfId="4" applyFont="1" applyFill="1" applyBorder="1" applyAlignment="1">
      <alignment horizontal="center"/>
    </xf>
    <xf numFmtId="0" fontId="0" fillId="3" borderId="0" xfId="0" applyFill="1"/>
    <xf numFmtId="166" fontId="23" fillId="0" borderId="6" xfId="0" applyNumberFormat="1" applyFont="1" applyBorder="1"/>
    <xf numFmtId="166" fontId="23" fillId="0" borderId="12" xfId="0" applyNumberFormat="1" applyFont="1" applyBorder="1"/>
    <xf numFmtId="166" fontId="23" fillId="0" borderId="6" xfId="0" applyNumberFormat="1" applyFont="1" applyBorder="1" applyAlignment="1">
      <alignment horizontal="center"/>
    </xf>
    <xf numFmtId="166" fontId="23" fillId="0" borderId="12" xfId="0" applyNumberFormat="1" applyFont="1" applyBorder="1" applyAlignment="1">
      <alignment horizontal="center"/>
    </xf>
    <xf numFmtId="166" fontId="23" fillId="0" borderId="14" xfId="0" applyNumberFormat="1" applyFont="1" applyBorder="1" applyAlignment="1">
      <alignment horizontal="center"/>
    </xf>
    <xf numFmtId="166" fontId="23" fillId="0" borderId="15" xfId="0" applyNumberFormat="1" applyFont="1" applyBorder="1" applyAlignment="1">
      <alignment horizontal="center"/>
    </xf>
    <xf numFmtId="9" fontId="0" fillId="0" borderId="6" xfId="4" applyFont="1" applyBorder="1"/>
    <xf numFmtId="10" fontId="0" fillId="0" borderId="6" xfId="0" applyNumberFormat="1" applyBorder="1"/>
    <xf numFmtId="2" fontId="0" fillId="0" borderId="6" xfId="0" applyNumberFormat="1" applyBorder="1"/>
    <xf numFmtId="9" fontId="0" fillId="0" borderId="6" xfId="0" applyNumberFormat="1" applyBorder="1"/>
    <xf numFmtId="2" fontId="0" fillId="0" borderId="6" xfId="4" applyNumberFormat="1" applyFont="1" applyBorder="1"/>
    <xf numFmtId="0" fontId="0" fillId="14" borderId="6" xfId="0" applyFill="1" applyBorder="1"/>
    <xf numFmtId="0" fontId="25" fillId="15" borderId="6" xfId="0" applyFont="1" applyFill="1" applyBorder="1"/>
    <xf numFmtId="0" fontId="0" fillId="15" borderId="6" xfId="0" applyFill="1" applyBorder="1"/>
    <xf numFmtId="0" fontId="24" fillId="0" borderId="0" xfId="0" applyFont="1" applyAlignment="1">
      <alignment horizontal="center"/>
    </xf>
    <xf numFmtId="0" fontId="0" fillId="0" borderId="0" xfId="0" applyAlignment="1">
      <alignment horizontal="center" wrapText="1"/>
    </xf>
    <xf numFmtId="0" fontId="20" fillId="0" borderId="0" xfId="1" applyFont="1"/>
    <xf numFmtId="0" fontId="22" fillId="0" borderId="0" xfId="2" applyFont="1"/>
    <xf numFmtId="0" fontId="25" fillId="0" borderId="6" xfId="0" applyFont="1" applyBorder="1" applyAlignment="1">
      <alignment horizontal="center"/>
    </xf>
    <xf numFmtId="0" fontId="25" fillId="0" borderId="37" xfId="0" applyFont="1" applyBorder="1" applyAlignment="1">
      <alignment horizontal="center"/>
    </xf>
    <xf numFmtId="0" fontId="25" fillId="0" borderId="39" xfId="0" applyFont="1" applyBorder="1" applyAlignment="1">
      <alignment horizontal="center"/>
    </xf>
    <xf numFmtId="0" fontId="25" fillId="0" borderId="40" xfId="0" applyFont="1" applyBorder="1" applyAlignment="1">
      <alignment horizontal="center"/>
    </xf>
    <xf numFmtId="0" fontId="25" fillId="0" borderId="21" xfId="0" applyFont="1" applyBorder="1" applyAlignment="1">
      <alignment horizontal="center"/>
    </xf>
    <xf numFmtId="0" fontId="25" fillId="0" borderId="22" xfId="0" applyFont="1" applyBorder="1" applyAlignment="1">
      <alignment horizontal="center"/>
    </xf>
    <xf numFmtId="0" fontId="25" fillId="0" borderId="23" xfId="0" applyFont="1" applyBorder="1" applyAlignment="1">
      <alignment horizontal="center"/>
    </xf>
    <xf numFmtId="0" fontId="25" fillId="0" borderId="42" xfId="0" applyFont="1" applyBorder="1" applyAlignment="1">
      <alignment horizontal="center"/>
    </xf>
    <xf numFmtId="0" fontId="25" fillId="0" borderId="43" xfId="0" applyFont="1" applyBorder="1" applyAlignment="1">
      <alignment horizontal="center"/>
    </xf>
    <xf numFmtId="0" fontId="25" fillId="0" borderId="44" xfId="0" applyFont="1" applyBorder="1" applyAlignment="1">
      <alignment horizontal="center"/>
    </xf>
    <xf numFmtId="0" fontId="25" fillId="0" borderId="10" xfId="0" applyFont="1" applyBorder="1" applyAlignment="1">
      <alignment horizontal="center"/>
    </xf>
    <xf numFmtId="0" fontId="25" fillId="0" borderId="8" xfId="0" applyFont="1" applyBorder="1" applyAlignment="1">
      <alignment horizontal="center"/>
    </xf>
    <xf numFmtId="0" fontId="25" fillId="0" borderId="9" xfId="0" applyFont="1" applyBorder="1" applyAlignment="1">
      <alignment horizontal="center"/>
    </xf>
    <xf numFmtId="0" fontId="25" fillId="0" borderId="46" xfId="0" applyFont="1" applyBorder="1" applyAlignment="1">
      <alignment horizontal="center"/>
    </xf>
    <xf numFmtId="0" fontId="25" fillId="0" borderId="47" xfId="0" applyFont="1" applyBorder="1" applyAlignment="1">
      <alignment horizontal="center"/>
    </xf>
    <xf numFmtId="0" fontId="25" fillId="0" borderId="48" xfId="0" applyFon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24" xfId="0" applyBorder="1" applyAlignment="1">
      <alignment horizontal="center"/>
    </xf>
    <xf numFmtId="0" fontId="9" fillId="0" borderId="11" xfId="3" applyFont="1" applyBorder="1" applyAlignment="1">
      <alignment horizontal="center" vertical="top" wrapText="1"/>
    </xf>
    <xf numFmtId="0" fontId="7" fillId="0" borderId="6" xfId="3" applyFont="1" applyBorder="1"/>
    <xf numFmtId="0" fontId="15" fillId="0" borderId="8" xfId="3" applyFont="1" applyBorder="1" applyAlignment="1">
      <alignment horizontal="center"/>
    </xf>
    <xf numFmtId="0" fontId="13" fillId="0" borderId="9" xfId="3" applyFont="1" applyBorder="1"/>
    <xf numFmtId="0" fontId="8" fillId="0" borderId="11" xfId="3" applyFont="1" applyBorder="1" applyAlignment="1">
      <alignment horizontal="center" vertical="top" wrapText="1"/>
    </xf>
    <xf numFmtId="0" fontId="8" fillId="0" borderId="6" xfId="3" applyFont="1" applyBorder="1" applyAlignment="1">
      <alignment horizontal="center" vertical="top" wrapText="1"/>
    </xf>
    <xf numFmtId="0" fontId="0" fillId="0" borderId="13" xfId="0" applyBorder="1" applyAlignment="1">
      <alignment horizontal="center"/>
    </xf>
    <xf numFmtId="0" fontId="0" fillId="0" borderId="14" xfId="0" applyBorder="1" applyAlignment="1">
      <alignment horizontal="center"/>
    </xf>
    <xf numFmtId="0" fontId="0" fillId="0" borderId="25" xfId="0" applyBorder="1" applyAlignment="1">
      <alignment horizontal="center"/>
    </xf>
    <xf numFmtId="0" fontId="9" fillId="0" borderId="13" xfId="3" applyFont="1" applyBorder="1" applyAlignment="1">
      <alignment horizontal="center" vertical="top" wrapText="1"/>
    </xf>
    <xf numFmtId="0" fontId="7" fillId="0" borderId="14" xfId="3" applyFont="1" applyBorder="1"/>
    <xf numFmtId="0" fontId="14" fillId="0" borderId="19" xfId="3" applyFont="1" applyBorder="1" applyAlignment="1">
      <alignment horizontal="center" vertical="center"/>
    </xf>
    <xf numFmtId="0" fontId="14" fillId="0" borderId="0" xfId="3" applyFont="1" applyAlignment="1">
      <alignment horizontal="center" vertical="center"/>
    </xf>
    <xf numFmtId="0" fontId="14" fillId="0" borderId="20" xfId="3" applyFont="1" applyBorder="1" applyAlignment="1">
      <alignment horizontal="center" vertical="center"/>
    </xf>
    <xf numFmtId="0" fontId="8" fillId="0" borderId="8" xfId="3" applyFont="1" applyBorder="1" applyAlignment="1">
      <alignment horizontal="center" vertical="center"/>
    </xf>
    <xf numFmtId="0" fontId="8" fillId="0" borderId="9" xfId="3" applyFont="1" applyBorder="1" applyAlignment="1">
      <alignment horizontal="center" vertical="center"/>
    </xf>
    <xf numFmtId="0" fontId="8" fillId="0" borderId="11" xfId="3" applyFont="1" applyBorder="1" applyAlignment="1">
      <alignment horizontal="center" vertical="center"/>
    </xf>
    <xf numFmtId="0" fontId="8" fillId="0" borderId="6" xfId="3" applyFont="1" applyBorder="1" applyAlignment="1">
      <alignment horizontal="center" vertical="center"/>
    </xf>
    <xf numFmtId="0" fontId="8" fillId="0" borderId="13" xfId="3" applyFont="1" applyBorder="1" applyAlignment="1">
      <alignment horizontal="center" vertical="center"/>
    </xf>
    <xf numFmtId="0" fontId="8" fillId="0" borderId="14" xfId="3" applyFont="1" applyBorder="1" applyAlignment="1">
      <alignment horizontal="center" vertical="center"/>
    </xf>
    <xf numFmtId="1" fontId="0" fillId="0" borderId="14" xfId="0" applyNumberFormat="1"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10"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25" fillId="0" borderId="0" xfId="0" applyFont="1" applyAlignment="1">
      <alignment horizontal="center"/>
    </xf>
    <xf numFmtId="0" fontId="25" fillId="15" borderId="6" xfId="0" applyFont="1" applyFill="1" applyBorder="1" applyAlignment="1">
      <alignment horizontal="center"/>
    </xf>
    <xf numFmtId="0" fontId="23" fillId="13" borderId="6" xfId="0" applyFont="1" applyFill="1" applyBorder="1" applyAlignment="1">
      <alignment horizontal="center" vertical="center" wrapText="1"/>
    </xf>
    <xf numFmtId="0" fontId="30" fillId="12" borderId="6" xfId="0" applyFont="1" applyFill="1" applyBorder="1" applyAlignment="1">
      <alignment horizontal="center" vertical="center"/>
    </xf>
  </cellXfs>
  <cellStyles count="5">
    <cellStyle name="Hiperłącze" xfId="2" builtinId="8"/>
    <cellStyle name="Normalny" xfId="0" builtinId="0"/>
    <cellStyle name="Normalny 2" xfId="1" xr:uid="{5A0C98DB-D7B5-4AA9-86C1-53EE1CF3E3EF}"/>
    <cellStyle name="Normalny 3" xfId="3" xr:uid="{C8126893-9FAD-4503-BCE2-6A6A3D5F4156}"/>
    <cellStyle name="Procentowy"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Zestawienie</a:t>
            </a:r>
            <a:r>
              <a:rPr lang="pl-PL" baseline="0"/>
              <a:t> pasywów</a:t>
            </a:r>
          </a:p>
          <a:p>
            <a:pPr>
              <a:defRPr/>
            </a:pP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v>2021</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Bilans!$D$39</c:f>
              <c:numCache>
                <c:formatCode>_-* #\ ##0\ _z_ł_-;\-* #\ ##0\ _z_ł_-;_-* "-"??\ _z_ł_-;_-@</c:formatCode>
                <c:ptCount val="1"/>
                <c:pt idx="0">
                  <c:v>456789</c:v>
                </c:pt>
              </c:numCache>
            </c:numRef>
          </c:val>
          <c:extLst>
            <c:ext xmlns:c16="http://schemas.microsoft.com/office/drawing/2014/chart" uri="{C3380CC4-5D6E-409C-BE32-E72D297353CC}">
              <c16:uniqueId val="{00000000-0DA3-46CA-90A5-A2F0056FFDB9}"/>
            </c:ext>
          </c:extLst>
        </c:ser>
        <c:ser>
          <c:idx val="1"/>
          <c:order val="1"/>
          <c:tx>
            <c:v>2022</c:v>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Bilans!$E$39</c:f>
              <c:numCache>
                <c:formatCode>_-* #\ ##0\ _z_ł_-;\-* #\ ##0\ _z_ł_-;_-* "-"??\ _z_ł_-;_-@</c:formatCode>
                <c:ptCount val="1"/>
                <c:pt idx="0">
                  <c:v>582319</c:v>
                </c:pt>
              </c:numCache>
            </c:numRef>
          </c:val>
          <c:extLst>
            <c:ext xmlns:c16="http://schemas.microsoft.com/office/drawing/2014/chart" uri="{C3380CC4-5D6E-409C-BE32-E72D297353CC}">
              <c16:uniqueId val="{00000001-0DA3-46CA-90A5-A2F0056FFDB9}"/>
            </c:ext>
          </c:extLst>
        </c:ser>
        <c:ser>
          <c:idx val="2"/>
          <c:order val="2"/>
          <c:tx>
            <c:v>2023</c:v>
          </c:tx>
          <c:spPr>
            <a:solidFill>
              <a:schemeClr val="accent3"/>
            </a:solidFill>
            <a:ln>
              <a:noFill/>
            </a:ln>
            <a:effectLst/>
          </c:spPr>
          <c:invertIfNegative val="0"/>
          <c:dLbls>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inEnd"/>
              <c:showLegendKey val="0"/>
              <c:showVal val="1"/>
              <c:showCatName val="0"/>
              <c:showSerName val="0"/>
              <c:showPercent val="0"/>
              <c:showBubbleSize val="0"/>
              <c:extLst>
                <c:ext xmlns:c16="http://schemas.microsoft.com/office/drawing/2014/chart" uri="{C3380CC4-5D6E-409C-BE32-E72D297353CC}">
                  <c16:uniqueId val="{00000004-0DA3-46CA-90A5-A2F0056FFDB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Bilans!$F$39</c:f>
              <c:numCache>
                <c:formatCode>_-* #\ ##0\ _z_ł_-;\-* #\ ##0\ _z_ł_-;_-* "-"??\ _z_ł_-;_-@</c:formatCode>
                <c:ptCount val="1"/>
                <c:pt idx="0">
                  <c:v>698369</c:v>
                </c:pt>
              </c:numCache>
            </c:numRef>
          </c:val>
          <c:extLst>
            <c:ext xmlns:c16="http://schemas.microsoft.com/office/drawing/2014/chart" uri="{C3380CC4-5D6E-409C-BE32-E72D297353CC}">
              <c16:uniqueId val="{00000002-0DA3-46CA-90A5-A2F0056FFDB9}"/>
            </c:ext>
          </c:extLst>
        </c:ser>
        <c:dLbls>
          <c:dLblPos val="inEnd"/>
          <c:showLegendKey val="0"/>
          <c:showVal val="1"/>
          <c:showCatName val="0"/>
          <c:showSerName val="0"/>
          <c:showPercent val="0"/>
          <c:showBubbleSize val="0"/>
        </c:dLbls>
        <c:gapWidth val="30"/>
        <c:overlap val="-27"/>
        <c:axId val="1151378207"/>
        <c:axId val="1151376767"/>
      </c:barChart>
      <c:catAx>
        <c:axId val="1151378207"/>
        <c:scaling>
          <c:orientation val="minMax"/>
        </c:scaling>
        <c:delete val="1"/>
        <c:axPos val="b"/>
        <c:numFmt formatCode="General" sourceLinked="1"/>
        <c:majorTickMark val="none"/>
        <c:minorTickMark val="none"/>
        <c:tickLblPos val="nextTo"/>
        <c:crossAx val="1151376767"/>
        <c:crosses val="autoZero"/>
        <c:auto val="1"/>
        <c:lblAlgn val="ctr"/>
        <c:lblOffset val="100"/>
        <c:noMultiLvlLbl val="0"/>
      </c:catAx>
      <c:valAx>
        <c:axId val="1151376767"/>
        <c:scaling>
          <c:orientation val="minMax"/>
        </c:scaling>
        <c:delete val="0"/>
        <c:axPos val="l"/>
        <c:majorGridlines>
          <c:spPr>
            <a:ln w="9525" cap="flat" cmpd="sng" algn="ctr">
              <a:solidFill>
                <a:schemeClr val="tx1">
                  <a:lumMod val="15000"/>
                  <a:lumOff val="85000"/>
                </a:schemeClr>
              </a:solidFill>
              <a:round/>
            </a:ln>
            <a:effectLst/>
          </c:spPr>
        </c:majorGridlines>
        <c:numFmt formatCode="_-* #\ ##0\ _z_ł_-;\-* #\ ##0\ _z_ł_-;_-* &quot;-&quot;??\ _z_ł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51378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Zestawienie</a:t>
            </a:r>
            <a:r>
              <a:rPr lang="pl-PL" baseline="0"/>
              <a:t> aktywów</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barChart>
        <c:barDir val="col"/>
        <c:grouping val="clustered"/>
        <c:varyColors val="0"/>
        <c:ser>
          <c:idx val="0"/>
          <c:order val="0"/>
          <c:tx>
            <c:v>2021</c:v>
          </c:tx>
          <c:spPr>
            <a:solidFill>
              <a:schemeClr val="accent1"/>
            </a:solidFill>
            <a:ln>
              <a:noFill/>
            </a:ln>
            <a:effectLst/>
          </c:spPr>
          <c:invertIfNegative val="0"/>
          <c:cat>
            <c:strRef>
              <c:f>(Bilans!$C$5,Bilans!$C$11,Bilans!$C$19)</c:f>
              <c:strCache>
                <c:ptCount val="3"/>
                <c:pt idx="0">
                  <c:v>AKTYWA TRWAŁE</c:v>
                </c:pt>
                <c:pt idx="1">
                  <c:v>AKTYWA OBROTOWE</c:v>
                </c:pt>
                <c:pt idx="2">
                  <c:v>SUMA AKTYWÓW</c:v>
                </c:pt>
              </c:strCache>
            </c:strRef>
          </c:cat>
          <c:val>
            <c:numRef>
              <c:f>(Bilans!$D$5,Bilans!$D$11,Bilans!$D$19)</c:f>
              <c:numCache>
                <c:formatCode>_-* #\ ##0\ _z_ł_-;\-* #\ ##0\ _z_ł_-;_-* "-"??\ _z_ł_-;_-@</c:formatCode>
                <c:ptCount val="3"/>
                <c:pt idx="0">
                  <c:v>136743</c:v>
                </c:pt>
                <c:pt idx="1">
                  <c:v>320046</c:v>
                </c:pt>
                <c:pt idx="2">
                  <c:v>456789</c:v>
                </c:pt>
              </c:numCache>
            </c:numRef>
          </c:val>
          <c:extLst>
            <c:ext xmlns:c16="http://schemas.microsoft.com/office/drawing/2014/chart" uri="{C3380CC4-5D6E-409C-BE32-E72D297353CC}">
              <c16:uniqueId val="{00000000-3942-4D5B-AB34-8B863A918384}"/>
            </c:ext>
          </c:extLst>
        </c:ser>
        <c:ser>
          <c:idx val="1"/>
          <c:order val="1"/>
          <c:tx>
            <c:v>2022</c:v>
          </c:tx>
          <c:spPr>
            <a:solidFill>
              <a:schemeClr val="accent2"/>
            </a:solidFill>
            <a:ln>
              <a:noFill/>
            </a:ln>
            <a:effectLst/>
          </c:spPr>
          <c:invertIfNegative val="0"/>
          <c:cat>
            <c:strRef>
              <c:f>(Bilans!$C$5,Bilans!$C$11,Bilans!$C$19)</c:f>
              <c:strCache>
                <c:ptCount val="3"/>
                <c:pt idx="0">
                  <c:v>AKTYWA TRWAŁE</c:v>
                </c:pt>
                <c:pt idx="1">
                  <c:v>AKTYWA OBROTOWE</c:v>
                </c:pt>
                <c:pt idx="2">
                  <c:v>SUMA AKTYWÓW</c:v>
                </c:pt>
              </c:strCache>
            </c:strRef>
          </c:cat>
          <c:val>
            <c:numRef>
              <c:f>(Bilans!$E$5,Bilans!$E$11,Bilans!$E$19)</c:f>
              <c:numCache>
                <c:formatCode>_-* #\ ##0\ _z_ł_-;\-* #\ ##0\ _z_ł_-;_-* "-"??\ _z_ł_-;_-@</c:formatCode>
                <c:ptCount val="3"/>
                <c:pt idx="0">
                  <c:v>130767</c:v>
                </c:pt>
                <c:pt idx="1">
                  <c:v>451552</c:v>
                </c:pt>
                <c:pt idx="2">
                  <c:v>582319</c:v>
                </c:pt>
              </c:numCache>
            </c:numRef>
          </c:val>
          <c:extLst>
            <c:ext xmlns:c16="http://schemas.microsoft.com/office/drawing/2014/chart" uri="{C3380CC4-5D6E-409C-BE32-E72D297353CC}">
              <c16:uniqueId val="{00000001-3942-4D5B-AB34-8B863A918384}"/>
            </c:ext>
          </c:extLst>
        </c:ser>
        <c:ser>
          <c:idx val="2"/>
          <c:order val="2"/>
          <c:tx>
            <c:v>2023</c:v>
          </c:tx>
          <c:spPr>
            <a:solidFill>
              <a:schemeClr val="accent3"/>
            </a:solidFill>
            <a:ln>
              <a:noFill/>
            </a:ln>
            <a:effectLst/>
          </c:spPr>
          <c:invertIfNegative val="0"/>
          <c:cat>
            <c:strRef>
              <c:f>(Bilans!$C$5,Bilans!$C$11,Bilans!$C$19)</c:f>
              <c:strCache>
                <c:ptCount val="3"/>
                <c:pt idx="0">
                  <c:v>AKTYWA TRWAŁE</c:v>
                </c:pt>
                <c:pt idx="1">
                  <c:v>AKTYWA OBROTOWE</c:v>
                </c:pt>
                <c:pt idx="2">
                  <c:v>SUMA AKTYWÓW</c:v>
                </c:pt>
              </c:strCache>
            </c:strRef>
          </c:cat>
          <c:val>
            <c:numRef>
              <c:f>(Bilans!$F$5,Bilans!$F$11,Bilans!$F$19)</c:f>
              <c:numCache>
                <c:formatCode>_-* #\ ##0\ _z_ł_-;\-* #\ ##0\ _z_ł_-;_-* "-"??\ _z_ł_-;_-@</c:formatCode>
                <c:ptCount val="3"/>
                <c:pt idx="0">
                  <c:v>126894</c:v>
                </c:pt>
                <c:pt idx="1">
                  <c:v>571475</c:v>
                </c:pt>
                <c:pt idx="2">
                  <c:v>698369</c:v>
                </c:pt>
              </c:numCache>
            </c:numRef>
          </c:val>
          <c:extLst>
            <c:ext xmlns:c16="http://schemas.microsoft.com/office/drawing/2014/chart" uri="{C3380CC4-5D6E-409C-BE32-E72D297353CC}">
              <c16:uniqueId val="{00000002-3942-4D5B-AB34-8B863A918384}"/>
            </c:ext>
          </c:extLst>
        </c:ser>
        <c:dLbls>
          <c:showLegendKey val="0"/>
          <c:showVal val="0"/>
          <c:showCatName val="0"/>
          <c:showSerName val="0"/>
          <c:showPercent val="0"/>
          <c:showBubbleSize val="0"/>
        </c:dLbls>
        <c:gapWidth val="219"/>
        <c:overlap val="-27"/>
        <c:axId val="1167776927"/>
        <c:axId val="1167777407"/>
      </c:barChart>
      <c:catAx>
        <c:axId val="1167776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67777407"/>
        <c:crosses val="autoZero"/>
        <c:auto val="1"/>
        <c:lblAlgn val="ctr"/>
        <c:lblOffset val="100"/>
        <c:noMultiLvlLbl val="0"/>
      </c:catAx>
      <c:valAx>
        <c:axId val="1167777407"/>
        <c:scaling>
          <c:orientation val="minMax"/>
        </c:scaling>
        <c:delete val="0"/>
        <c:axPos val="l"/>
        <c:majorGridlines>
          <c:spPr>
            <a:ln w="9525" cap="flat" cmpd="sng" algn="ctr">
              <a:solidFill>
                <a:schemeClr val="tx1">
                  <a:lumMod val="15000"/>
                  <a:lumOff val="85000"/>
                </a:schemeClr>
              </a:solidFill>
              <a:round/>
            </a:ln>
            <a:effectLst/>
          </c:spPr>
        </c:majorGridlines>
        <c:numFmt formatCode="_-* #\ ##0\ _z_ł_-;\-* #\ ##0\ _z_ł_-;_-* &quot;-&quot;??\ _z_ł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11677769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9</xdr:col>
      <xdr:colOff>352425</xdr:colOff>
      <xdr:row>2</xdr:row>
      <xdr:rowOff>57150</xdr:rowOff>
    </xdr:from>
    <xdr:to>
      <xdr:col>20</xdr:col>
      <xdr:colOff>504825</xdr:colOff>
      <xdr:row>22</xdr:row>
      <xdr:rowOff>114300</xdr:rowOff>
    </xdr:to>
    <xdr:pic>
      <xdr:nvPicPr>
        <xdr:cNvPr id="2" name="Obraz 1" descr="Znak graficzny – pliki do pobrania -- Serwis Akademii Górniczo-Hutniczej">
          <a:extLst>
            <a:ext uri="{FF2B5EF4-FFF2-40B4-BE49-F238E27FC236}">
              <a16:creationId xmlns:a16="http://schemas.microsoft.com/office/drawing/2014/main" id="{72E733EB-DE2E-3016-682B-12C7A85587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38825" y="438150"/>
          <a:ext cx="6858000" cy="385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18</xdr:col>
      <xdr:colOff>578178</xdr:colOff>
      <xdr:row>18</xdr:row>
      <xdr:rowOff>138381</xdr:rowOff>
    </xdr:from>
    <xdr:to>
      <xdr:col>26</xdr:col>
      <xdr:colOff>211419</xdr:colOff>
      <xdr:row>33</xdr:row>
      <xdr:rowOff>92907</xdr:rowOff>
    </xdr:to>
    <xdr:graphicFrame macro="">
      <xdr:nvGraphicFramePr>
        <xdr:cNvPr id="2" name="Wykres 1">
          <a:extLst>
            <a:ext uri="{FF2B5EF4-FFF2-40B4-BE49-F238E27FC236}">
              <a16:creationId xmlns:a16="http://schemas.microsoft.com/office/drawing/2014/main" id="{DD805ABD-3094-F548-9602-FAB3B0FD75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428419</xdr:colOff>
      <xdr:row>1</xdr:row>
      <xdr:rowOff>102257</xdr:rowOff>
    </xdr:from>
    <xdr:to>
      <xdr:col>27</xdr:col>
      <xdr:colOff>557467</xdr:colOff>
      <xdr:row>16</xdr:row>
      <xdr:rowOff>47397</xdr:rowOff>
    </xdr:to>
    <xdr:graphicFrame macro="">
      <xdr:nvGraphicFramePr>
        <xdr:cNvPr id="5" name="Wykres 4">
          <a:extLst>
            <a:ext uri="{FF2B5EF4-FFF2-40B4-BE49-F238E27FC236}">
              <a16:creationId xmlns:a16="http://schemas.microsoft.com/office/drawing/2014/main" id="{8DC94A6C-C873-EC36-A8F6-4300E639C3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Pakiet 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money.pl/gielda/raporty/"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2AF72-5B83-4F95-AB5F-C7B5EB86A849}">
  <dimension ref="A4:T31"/>
  <sheetViews>
    <sheetView workbookViewId="0">
      <selection activeCell="L30" sqref="L30:T30"/>
    </sheetView>
  </sheetViews>
  <sheetFormatPr defaultRowHeight="15" x14ac:dyDescent="0.25"/>
  <sheetData>
    <row r="4" spans="1:10" ht="15" customHeight="1" x14ac:dyDescent="0.25">
      <c r="B4" s="212" t="s">
        <v>160</v>
      </c>
      <c r="C4" s="212"/>
      <c r="D4" s="212"/>
      <c r="E4" s="212"/>
      <c r="F4" s="212"/>
      <c r="G4" s="212"/>
    </row>
    <row r="5" spans="1:10" x14ac:dyDescent="0.25">
      <c r="B5" s="212"/>
      <c r="C5" s="212"/>
      <c r="D5" s="212"/>
      <c r="E5" s="212"/>
      <c r="F5" s="212"/>
      <c r="G5" s="212"/>
    </row>
    <row r="6" spans="1:10" x14ac:dyDescent="0.25">
      <c r="B6" s="212"/>
      <c r="C6" s="212"/>
      <c r="D6" s="212"/>
      <c r="E6" s="212"/>
      <c r="F6" s="212"/>
      <c r="G6" s="212"/>
    </row>
    <row r="7" spans="1:10" x14ac:dyDescent="0.25">
      <c r="B7" s="212"/>
      <c r="C7" s="212"/>
      <c r="D7" s="212"/>
      <c r="E7" s="212"/>
      <c r="F7" s="212"/>
      <c r="G7" s="212"/>
    </row>
    <row r="8" spans="1:10" x14ac:dyDescent="0.25">
      <c r="A8" s="85"/>
      <c r="B8" s="212"/>
      <c r="C8" s="212"/>
      <c r="D8" s="212"/>
      <c r="E8" s="212"/>
      <c r="F8" s="212"/>
      <c r="G8" s="212"/>
      <c r="H8" s="86"/>
      <c r="I8" s="86"/>
    </row>
    <row r="9" spans="1:10" x14ac:dyDescent="0.25">
      <c r="A9" s="1"/>
      <c r="B9" s="212"/>
      <c r="C9" s="212"/>
      <c r="D9" s="212"/>
      <c r="E9" s="212"/>
      <c r="F9" s="212"/>
      <c r="G9" s="212"/>
      <c r="H9" s="86"/>
      <c r="I9" s="86"/>
    </row>
    <row r="10" spans="1:10" x14ac:dyDescent="0.25">
      <c r="A10" s="87"/>
      <c r="B10" s="212"/>
      <c r="C10" s="212"/>
      <c r="D10" s="212"/>
      <c r="E10" s="212"/>
      <c r="F10" s="212"/>
      <c r="G10" s="212"/>
      <c r="H10" s="86"/>
      <c r="I10" s="86"/>
    </row>
    <row r="11" spans="1:10" x14ac:dyDescent="0.25">
      <c r="B11" s="212"/>
      <c r="C11" s="212"/>
      <c r="D11" s="212"/>
      <c r="E11" s="212"/>
      <c r="F11" s="212"/>
      <c r="G11" s="212"/>
    </row>
    <row r="12" spans="1:10" x14ac:dyDescent="0.25">
      <c r="B12" s="212"/>
      <c r="C12" s="212"/>
      <c r="D12" s="212"/>
      <c r="E12" s="212"/>
      <c r="F12" s="212"/>
      <c r="G12" s="212"/>
    </row>
    <row r="13" spans="1:10" x14ac:dyDescent="0.25">
      <c r="B13" s="212"/>
      <c r="C13" s="212"/>
      <c r="D13" s="212"/>
      <c r="E13" s="212"/>
      <c r="F13" s="212"/>
      <c r="G13" s="212"/>
    </row>
    <row r="14" spans="1:10" ht="14.25" customHeight="1" x14ac:dyDescent="0.35">
      <c r="B14" s="212"/>
      <c r="C14" s="212"/>
      <c r="D14" s="212"/>
      <c r="E14" s="212"/>
      <c r="F14" s="212"/>
      <c r="G14" s="212"/>
      <c r="H14" s="88"/>
      <c r="I14" s="88"/>
      <c r="J14" s="88"/>
    </row>
    <row r="15" spans="1:10" x14ac:dyDescent="0.25">
      <c r="B15" s="212"/>
      <c r="C15" s="212"/>
      <c r="D15" s="212"/>
      <c r="E15" s="212"/>
      <c r="F15" s="212"/>
      <c r="G15" s="212"/>
    </row>
    <row r="16" spans="1:10" x14ac:dyDescent="0.25">
      <c r="B16" s="212"/>
      <c r="C16" s="212"/>
      <c r="D16" s="212"/>
      <c r="E16" s="212"/>
      <c r="F16" s="212"/>
      <c r="G16" s="212"/>
    </row>
    <row r="17" spans="2:20" x14ac:dyDescent="0.25">
      <c r="B17" s="212"/>
      <c r="C17" s="212"/>
      <c r="D17" s="212"/>
      <c r="E17" s="212"/>
      <c r="F17" s="212"/>
      <c r="G17" s="212"/>
    </row>
    <row r="18" spans="2:20" x14ac:dyDescent="0.25">
      <c r="B18" s="212"/>
      <c r="C18" s="212"/>
      <c r="D18" s="212"/>
      <c r="E18" s="212"/>
      <c r="F18" s="212"/>
      <c r="G18" s="212"/>
    </row>
    <row r="19" spans="2:20" x14ac:dyDescent="0.25">
      <c r="B19" s="212"/>
      <c r="C19" s="212"/>
      <c r="D19" s="212"/>
      <c r="E19" s="212"/>
      <c r="F19" s="212"/>
      <c r="G19" s="212"/>
    </row>
    <row r="20" spans="2:20" x14ac:dyDescent="0.25">
      <c r="B20" s="212"/>
      <c r="C20" s="212"/>
      <c r="D20" s="212"/>
      <c r="E20" s="212"/>
      <c r="F20" s="212"/>
      <c r="G20" s="212"/>
    </row>
    <row r="21" spans="2:20" x14ac:dyDescent="0.25">
      <c r="B21" s="212"/>
      <c r="C21" s="212"/>
      <c r="D21" s="212"/>
      <c r="E21" s="212"/>
      <c r="F21" s="212"/>
      <c r="G21" s="212"/>
    </row>
    <row r="22" spans="2:20" x14ac:dyDescent="0.25">
      <c r="B22" s="212"/>
      <c r="C22" s="212"/>
      <c r="D22" s="212"/>
      <c r="E22" s="212"/>
      <c r="F22" s="212"/>
      <c r="G22" s="212"/>
    </row>
    <row r="24" spans="2:20" ht="21" x14ac:dyDescent="0.35">
      <c r="L24" s="213" t="s">
        <v>158</v>
      </c>
      <c r="M24" s="213"/>
      <c r="N24" s="213"/>
      <c r="O24" s="213"/>
      <c r="P24" s="213"/>
      <c r="Q24" s="213"/>
      <c r="R24" s="213"/>
      <c r="S24" s="213"/>
      <c r="T24" s="213"/>
    </row>
    <row r="25" spans="2:20" ht="21" x14ac:dyDescent="0.35">
      <c r="L25" s="213" t="s">
        <v>154</v>
      </c>
      <c r="M25" s="213"/>
      <c r="N25" s="213"/>
      <c r="O25" s="213"/>
      <c r="P25" s="213"/>
      <c r="Q25" s="213"/>
      <c r="R25" s="213"/>
      <c r="S25" s="213"/>
      <c r="T25" s="213"/>
    </row>
    <row r="26" spans="2:20" ht="21" x14ac:dyDescent="0.35">
      <c r="L26" s="213" t="s">
        <v>155</v>
      </c>
      <c r="M26" s="213"/>
      <c r="N26" s="213"/>
      <c r="O26" s="213"/>
      <c r="P26" s="213"/>
      <c r="Q26" s="213"/>
      <c r="R26" s="213"/>
      <c r="S26" s="213"/>
      <c r="T26" s="213"/>
    </row>
    <row r="27" spans="2:20" ht="21" x14ac:dyDescent="0.35">
      <c r="L27" s="213" t="s">
        <v>156</v>
      </c>
      <c r="M27" s="213"/>
      <c r="N27" s="213"/>
      <c r="O27" s="213"/>
      <c r="P27" s="213"/>
      <c r="Q27" s="213"/>
      <c r="R27" s="213"/>
      <c r="S27" s="213"/>
      <c r="T27" s="213"/>
    </row>
    <row r="28" spans="2:20" ht="21" x14ac:dyDescent="0.35">
      <c r="L28" s="213" t="s">
        <v>157</v>
      </c>
      <c r="M28" s="213"/>
      <c r="N28" s="213"/>
      <c r="O28" s="213"/>
      <c r="P28" s="213"/>
      <c r="Q28" s="213"/>
      <c r="R28" s="213"/>
      <c r="S28" s="213"/>
      <c r="T28" s="213"/>
    </row>
    <row r="29" spans="2:20" ht="21" x14ac:dyDescent="0.35">
      <c r="L29" s="213" t="s">
        <v>1</v>
      </c>
      <c r="M29" s="213"/>
      <c r="N29" s="213"/>
      <c r="O29" s="213"/>
      <c r="P29" s="213"/>
      <c r="Q29" s="213"/>
      <c r="R29" s="213"/>
      <c r="S29" s="213"/>
      <c r="T29" s="213"/>
    </row>
    <row r="30" spans="2:20" ht="21" x14ac:dyDescent="0.35">
      <c r="L30" s="214" t="s">
        <v>0</v>
      </c>
      <c r="M30" s="214"/>
      <c r="N30" s="214"/>
      <c r="O30" s="214"/>
      <c r="P30" s="214"/>
      <c r="Q30" s="214"/>
      <c r="R30" s="214"/>
      <c r="S30" s="214"/>
      <c r="T30" s="214"/>
    </row>
    <row r="31" spans="2:20" ht="21" x14ac:dyDescent="0.35">
      <c r="L31" s="211" t="s">
        <v>159</v>
      </c>
      <c r="M31" s="211"/>
      <c r="N31" s="211"/>
      <c r="O31" s="211"/>
      <c r="P31" s="211"/>
      <c r="Q31" s="211"/>
      <c r="R31" s="211"/>
      <c r="S31" s="211"/>
      <c r="T31" s="211"/>
    </row>
  </sheetData>
  <mergeCells count="9">
    <mergeCell ref="L31:T31"/>
    <mergeCell ref="B4:G22"/>
    <mergeCell ref="L24:T24"/>
    <mergeCell ref="L25:T25"/>
    <mergeCell ref="L26:T26"/>
    <mergeCell ref="L27:T27"/>
    <mergeCell ref="L28:T28"/>
    <mergeCell ref="L29:T29"/>
    <mergeCell ref="L30:T30"/>
  </mergeCells>
  <hyperlinks>
    <hyperlink ref="L30" r:id="rId1" xr:uid="{4009A622-33F6-47AF-BAA4-8132E6821944}"/>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3942E6-1E9B-4B6D-B9B8-29D6027B3167}">
  <dimension ref="C1:P39"/>
  <sheetViews>
    <sheetView zoomScale="91" zoomScaleNormal="100" workbookViewId="0">
      <selection activeCell="F39" sqref="F39"/>
    </sheetView>
  </sheetViews>
  <sheetFormatPr defaultRowHeight="15" x14ac:dyDescent="0.25"/>
  <cols>
    <col min="3" max="3" width="57.140625" bestFit="1" customWidth="1"/>
    <col min="4" max="6" width="11.42578125" bestFit="1" customWidth="1"/>
    <col min="7" max="7" width="11.42578125" customWidth="1"/>
    <col min="8" max="8" width="15.140625" customWidth="1"/>
    <col min="9" max="9" width="13" customWidth="1"/>
    <col min="10" max="10" width="12.42578125" customWidth="1"/>
    <col min="13" max="16" width="32.28515625" bestFit="1" customWidth="1"/>
  </cols>
  <sheetData>
    <row r="1" spans="3:16" ht="15.75" thickBot="1" x14ac:dyDescent="0.3"/>
    <row r="2" spans="3:16" ht="15.75" thickBot="1" x14ac:dyDescent="0.3">
      <c r="H2" s="216" t="s">
        <v>161</v>
      </c>
      <c r="I2" s="217"/>
      <c r="J2" s="218"/>
      <c r="M2" s="219" t="s">
        <v>168</v>
      </c>
      <c r="N2" s="220"/>
      <c r="O2" s="220"/>
      <c r="P2" s="221"/>
    </row>
    <row r="3" spans="3:16" x14ac:dyDescent="0.25">
      <c r="C3" s="1"/>
      <c r="D3" s="1"/>
      <c r="E3" s="1"/>
      <c r="F3" s="1"/>
      <c r="H3" s="215" t="s">
        <v>162</v>
      </c>
      <c r="I3" s="215"/>
      <c r="J3" s="215"/>
      <c r="M3" s="222" t="s">
        <v>169</v>
      </c>
      <c r="N3" s="223"/>
      <c r="O3" s="224" t="s">
        <v>170</v>
      </c>
      <c r="P3" s="225"/>
    </row>
    <row r="4" spans="3:16" ht="15.75" thickBot="1" x14ac:dyDescent="0.3">
      <c r="C4" s="12" t="s">
        <v>15</v>
      </c>
      <c r="D4" s="110">
        <v>2021</v>
      </c>
      <c r="E4" s="111">
        <v>2022</v>
      </c>
      <c r="F4" s="89">
        <v>2023</v>
      </c>
      <c r="H4" s="89">
        <v>2021</v>
      </c>
      <c r="I4" s="89">
        <v>2022</v>
      </c>
      <c r="J4" s="89">
        <v>2023</v>
      </c>
      <c r="M4" s="142" t="s">
        <v>171</v>
      </c>
      <c r="N4" s="136" t="s">
        <v>172</v>
      </c>
      <c r="O4" s="143" t="s">
        <v>171</v>
      </c>
      <c r="P4" s="136" t="s">
        <v>172</v>
      </c>
    </row>
    <row r="5" spans="3:16" ht="16.149999999999999" customHeight="1" x14ac:dyDescent="0.25">
      <c r="C5" s="5" t="s">
        <v>2</v>
      </c>
      <c r="D5" s="23">
        <v>136743</v>
      </c>
      <c r="E5" s="90">
        <v>130767</v>
      </c>
      <c r="F5" s="102">
        <v>126894</v>
      </c>
      <c r="H5" s="100">
        <f t="shared" ref="H5:H13" si="0">D5/D$19</f>
        <v>0.29935703355378523</v>
      </c>
      <c r="I5" s="100">
        <f t="shared" ref="I5:I13" si="1">E5/E$19</f>
        <v>0.22456248207597554</v>
      </c>
      <c r="J5" s="100">
        <f t="shared" ref="J5:J13" si="2">F5/F$19</f>
        <v>0.18170050503387178</v>
      </c>
      <c r="M5" s="144">
        <f>(E5-D5)/D5</f>
        <v>-4.3702419867927424E-2</v>
      </c>
      <c r="N5" s="145">
        <f>(F5-E5)/E5</f>
        <v>-2.9617564064328156E-2</v>
      </c>
      <c r="O5" s="146">
        <f>E5-D5</f>
        <v>-5976</v>
      </c>
      <c r="P5" s="147">
        <f>F5-E5</f>
        <v>-3873</v>
      </c>
    </row>
    <row r="6" spans="3:16" ht="17.45" customHeight="1" x14ac:dyDescent="0.25">
      <c r="C6" s="7" t="s">
        <v>3</v>
      </c>
      <c r="D6" s="23">
        <v>113576</v>
      </c>
      <c r="E6" s="90">
        <v>117710</v>
      </c>
      <c r="F6" s="102">
        <v>113640</v>
      </c>
      <c r="H6" s="100">
        <f t="shared" si="0"/>
        <v>0.24863996287126003</v>
      </c>
      <c r="I6" s="100">
        <f t="shared" si="1"/>
        <v>0.20214006412292918</v>
      </c>
      <c r="J6" s="100">
        <f t="shared" si="2"/>
        <v>0.16272199940146256</v>
      </c>
      <c r="M6" s="148">
        <f t="shared" ref="M6:N39" si="3">(E6-D6)/D6</f>
        <v>3.6398534901739804E-2</v>
      </c>
      <c r="N6" s="149">
        <f t="shared" si="3"/>
        <v>-3.457650157165916E-2</v>
      </c>
      <c r="O6" s="150">
        <f t="shared" ref="O6:P39" si="4">E6-D6</f>
        <v>4134</v>
      </c>
      <c r="P6" s="151">
        <f t="shared" si="4"/>
        <v>-4070</v>
      </c>
    </row>
    <row r="7" spans="3:16" x14ac:dyDescent="0.25">
      <c r="C7" s="6" t="s">
        <v>12</v>
      </c>
      <c r="D7" s="23">
        <v>10818</v>
      </c>
      <c r="E7" s="90">
        <v>10396</v>
      </c>
      <c r="F7" s="102">
        <v>8962</v>
      </c>
      <c r="H7" s="100">
        <f t="shared" si="0"/>
        <v>2.3682706895306146E-2</v>
      </c>
      <c r="I7" s="100">
        <f t="shared" si="1"/>
        <v>1.7852757680927464E-2</v>
      </c>
      <c r="J7" s="100">
        <f t="shared" si="2"/>
        <v>1.2832757467757017E-2</v>
      </c>
      <c r="M7" s="148">
        <f t="shared" si="3"/>
        <v>-3.9009058975781108E-2</v>
      </c>
      <c r="N7" s="149">
        <f t="shared" si="3"/>
        <v>-0.13793766833397461</v>
      </c>
      <c r="O7" s="150">
        <f t="shared" si="4"/>
        <v>-422</v>
      </c>
      <c r="P7" s="151">
        <f t="shared" si="4"/>
        <v>-1434</v>
      </c>
    </row>
    <row r="8" spans="3:16" x14ac:dyDescent="0.25">
      <c r="C8" s="6" t="s">
        <v>13</v>
      </c>
      <c r="D8" s="23">
        <v>413</v>
      </c>
      <c r="E8" s="90">
        <v>413</v>
      </c>
      <c r="F8" s="102">
        <v>1759</v>
      </c>
      <c r="H8" s="100">
        <f t="shared" si="0"/>
        <v>9.0413735882431494E-4</v>
      </c>
      <c r="I8" s="100">
        <f t="shared" si="1"/>
        <v>7.0923325531195103E-4</v>
      </c>
      <c r="J8" s="100">
        <f t="shared" si="2"/>
        <v>2.5187257739103541E-3</v>
      </c>
      <c r="M8" s="148">
        <f t="shared" si="3"/>
        <v>0</v>
      </c>
      <c r="N8" s="149">
        <f t="shared" si="3"/>
        <v>3.2590799031476996</v>
      </c>
      <c r="O8" s="150">
        <f t="shared" si="4"/>
        <v>0</v>
      </c>
      <c r="P8" s="151">
        <f t="shared" si="4"/>
        <v>1346</v>
      </c>
    </row>
    <row r="9" spans="3:16" x14ac:dyDescent="0.25">
      <c r="C9" s="6" t="s">
        <v>14</v>
      </c>
      <c r="D9" s="23">
        <v>1513</v>
      </c>
      <c r="E9" s="90">
        <v>1325</v>
      </c>
      <c r="F9" s="102">
        <v>1111</v>
      </c>
      <c r="H9" s="100">
        <f t="shared" si="0"/>
        <v>3.3122513895912555E-3</v>
      </c>
      <c r="I9" s="100">
        <f t="shared" si="1"/>
        <v>2.2753851411339834E-3</v>
      </c>
      <c r="J9" s="100">
        <f t="shared" si="2"/>
        <v>1.5908495365630491E-3</v>
      </c>
      <c r="M9" s="148">
        <f t="shared" si="3"/>
        <v>-0.12425644415069398</v>
      </c>
      <c r="N9" s="149">
        <f t="shared" si="3"/>
        <v>-0.16150943396226414</v>
      </c>
      <c r="O9" s="150">
        <f t="shared" si="4"/>
        <v>-188</v>
      </c>
      <c r="P9" s="151">
        <f t="shared" si="4"/>
        <v>-214</v>
      </c>
    </row>
    <row r="10" spans="3:16" x14ac:dyDescent="0.25">
      <c r="C10" s="8" t="s">
        <v>6</v>
      </c>
      <c r="D10" s="23">
        <v>10423</v>
      </c>
      <c r="E10" s="90">
        <v>923</v>
      </c>
      <c r="F10" s="102">
        <v>1422</v>
      </c>
      <c r="H10" s="100">
        <f t="shared" si="0"/>
        <v>2.2817975038803475E-2</v>
      </c>
      <c r="I10" s="100">
        <f t="shared" si="1"/>
        <v>1.5850418756729559E-3</v>
      </c>
      <c r="J10" s="100">
        <f t="shared" si="2"/>
        <v>2.0361728541788081E-3</v>
      </c>
      <c r="M10" s="148">
        <f t="shared" si="3"/>
        <v>-0.91144584092871539</v>
      </c>
      <c r="N10" s="149">
        <f t="shared" si="3"/>
        <v>0.54062838569880822</v>
      </c>
      <c r="O10" s="150">
        <f t="shared" si="4"/>
        <v>-9500</v>
      </c>
      <c r="P10" s="151">
        <f t="shared" si="4"/>
        <v>499</v>
      </c>
    </row>
    <row r="11" spans="3:16" x14ac:dyDescent="0.25">
      <c r="C11" s="5" t="s">
        <v>4</v>
      </c>
      <c r="D11" s="23">
        <v>320046</v>
      </c>
      <c r="E11" s="90">
        <v>451552</v>
      </c>
      <c r="F11" s="102">
        <v>571475</v>
      </c>
      <c r="H11" s="100">
        <f t="shared" si="0"/>
        <v>0.70064296644621482</v>
      </c>
      <c r="I11" s="100">
        <f t="shared" si="1"/>
        <v>0.77543751792402449</v>
      </c>
      <c r="J11" s="100">
        <f t="shared" si="2"/>
        <v>0.81829949496612819</v>
      </c>
      <c r="M11" s="148">
        <f t="shared" si="3"/>
        <v>0.41089718352986759</v>
      </c>
      <c r="N11" s="149">
        <f t="shared" si="3"/>
        <v>0.26557960102048045</v>
      </c>
      <c r="O11" s="150">
        <f t="shared" si="4"/>
        <v>131506</v>
      </c>
      <c r="P11" s="151">
        <f t="shared" si="4"/>
        <v>119923</v>
      </c>
    </row>
    <row r="12" spans="3:16" x14ac:dyDescent="0.25">
      <c r="C12" s="6" t="s">
        <v>5</v>
      </c>
      <c r="D12" s="23">
        <v>117120</v>
      </c>
      <c r="E12" s="90">
        <v>119287</v>
      </c>
      <c r="F12" s="102">
        <v>156938</v>
      </c>
      <c r="H12" s="100">
        <f t="shared" si="0"/>
        <v>0.25639846843947645</v>
      </c>
      <c r="I12" s="100">
        <f t="shared" si="1"/>
        <v>0.20484820175882978</v>
      </c>
      <c r="J12" s="100">
        <f t="shared" si="2"/>
        <v>0.22472074218643726</v>
      </c>
      <c r="M12" s="148">
        <f t="shared" si="3"/>
        <v>1.8502390710382514E-2</v>
      </c>
      <c r="N12" s="149">
        <f t="shared" si="3"/>
        <v>0.31563372370836723</v>
      </c>
      <c r="O12" s="150">
        <f t="shared" si="4"/>
        <v>2167</v>
      </c>
      <c r="P12" s="151">
        <f t="shared" si="4"/>
        <v>37651</v>
      </c>
    </row>
    <row r="13" spans="3:16" x14ac:dyDescent="0.25">
      <c r="C13" s="3" t="s">
        <v>16</v>
      </c>
      <c r="D13" s="23">
        <v>172871</v>
      </c>
      <c r="E13" s="90">
        <v>204756</v>
      </c>
      <c r="F13" s="102">
        <v>174399</v>
      </c>
      <c r="H13" s="100">
        <f t="shared" si="0"/>
        <v>0.37844825510246527</v>
      </c>
      <c r="I13" s="100">
        <f t="shared" si="1"/>
        <v>0.35162170562870182</v>
      </c>
      <c r="J13" s="100">
        <f t="shared" si="2"/>
        <v>0.24972328382273554</v>
      </c>
      <c r="M13" s="148">
        <f t="shared" si="3"/>
        <v>0.18444389168802169</v>
      </c>
      <c r="N13" s="149">
        <f t="shared" si="3"/>
        <v>-0.14825939166617827</v>
      </c>
      <c r="O13" s="150">
        <f t="shared" si="4"/>
        <v>31885</v>
      </c>
      <c r="P13" s="151">
        <f t="shared" si="4"/>
        <v>-30357</v>
      </c>
    </row>
    <row r="14" spans="3:16" x14ac:dyDescent="0.25">
      <c r="C14" s="3" t="s">
        <v>31</v>
      </c>
      <c r="D14" s="24" t="s">
        <v>30</v>
      </c>
      <c r="E14" s="90">
        <v>3500</v>
      </c>
      <c r="F14" s="103" t="s">
        <v>30</v>
      </c>
      <c r="H14" s="100" t="s">
        <v>30</v>
      </c>
      <c r="I14" s="100">
        <f t="shared" ref="I14:I19" si="5">E14/E$19</f>
        <v>6.0104513162029744E-3</v>
      </c>
      <c r="J14" s="100" t="s">
        <v>30</v>
      </c>
      <c r="M14" s="148"/>
      <c r="N14" s="149"/>
      <c r="O14" s="150"/>
      <c r="P14" s="151"/>
    </row>
    <row r="15" spans="3:16" x14ac:dyDescent="0.25">
      <c r="C15" s="6" t="s">
        <v>6</v>
      </c>
      <c r="D15" s="23">
        <v>9165</v>
      </c>
      <c r="E15" s="90">
        <v>12109</v>
      </c>
      <c r="F15" s="102">
        <v>148016</v>
      </c>
      <c r="H15" s="100">
        <f>D15/D$19</f>
        <v>2.0063968265435463E-2</v>
      </c>
      <c r="I15" s="100">
        <f t="shared" si="5"/>
        <v>2.0794444282257664E-2</v>
      </c>
      <c r="J15" s="100">
        <f>F15/F$19</f>
        <v>0.2119452610296276</v>
      </c>
      <c r="M15" s="148">
        <f t="shared" si="3"/>
        <v>0.32122204037097651</v>
      </c>
      <c r="N15" s="149">
        <f t="shared" si="3"/>
        <v>11.223635312577422</v>
      </c>
      <c r="O15" s="150">
        <f t="shared" si="4"/>
        <v>2944</v>
      </c>
      <c r="P15" s="151">
        <f t="shared" si="4"/>
        <v>135907</v>
      </c>
    </row>
    <row r="16" spans="3:16" x14ac:dyDescent="0.25">
      <c r="C16" s="8" t="s">
        <v>7</v>
      </c>
      <c r="D16" s="23">
        <v>20526</v>
      </c>
      <c r="E16" s="90">
        <v>110187</v>
      </c>
      <c r="F16" s="102">
        <v>78164</v>
      </c>
      <c r="H16" s="100">
        <f>D16/D$19</f>
        <v>4.4935407814111109E-2</v>
      </c>
      <c r="I16" s="100">
        <f t="shared" si="5"/>
        <v>0.18922102833670204</v>
      </c>
      <c r="J16" s="100">
        <f>F16/F$19</f>
        <v>0.11192363922224498</v>
      </c>
      <c r="M16" s="148">
        <f t="shared" si="3"/>
        <v>4.368167202572347</v>
      </c>
      <c r="N16" s="149">
        <f t="shared" si="3"/>
        <v>-0.29062412081280004</v>
      </c>
      <c r="O16" s="150">
        <f t="shared" si="4"/>
        <v>89661</v>
      </c>
      <c r="P16" s="151">
        <f t="shared" si="4"/>
        <v>-32023</v>
      </c>
    </row>
    <row r="17" spans="3:16" x14ac:dyDescent="0.25">
      <c r="C17" s="8" t="s">
        <v>17</v>
      </c>
      <c r="D17" s="23">
        <v>364</v>
      </c>
      <c r="E17" s="90">
        <v>1699</v>
      </c>
      <c r="F17" s="102">
        <v>13944</v>
      </c>
      <c r="H17" s="100">
        <f>D17/D$19</f>
        <v>7.9686682472651486E-4</v>
      </c>
      <c r="I17" s="100">
        <f t="shared" si="5"/>
        <v>2.9176447960653868E-3</v>
      </c>
      <c r="J17" s="100">
        <f>F17/F$19</f>
        <v>1.9966521996251266E-2</v>
      </c>
      <c r="M17" s="148">
        <f t="shared" si="3"/>
        <v>3.6675824175824174</v>
      </c>
      <c r="N17" s="149">
        <f t="shared" si="3"/>
        <v>7.2071806945261923</v>
      </c>
      <c r="O17" s="150">
        <f t="shared" si="4"/>
        <v>1335</v>
      </c>
      <c r="P17" s="151">
        <f t="shared" si="4"/>
        <v>12245</v>
      </c>
    </row>
    <row r="18" spans="3:16" x14ac:dyDescent="0.25">
      <c r="C18" s="8" t="s">
        <v>32</v>
      </c>
      <c r="D18" s="25" t="s">
        <v>30</v>
      </c>
      <c r="E18" s="91">
        <v>14</v>
      </c>
      <c r="F18" s="102">
        <v>14</v>
      </c>
      <c r="H18" s="100" t="s">
        <v>30</v>
      </c>
      <c r="I18" s="100">
        <f t="shared" si="5"/>
        <v>2.4041805264811899E-5</v>
      </c>
      <c r="J18" s="100">
        <f>F18/F$19</f>
        <v>2.0046708831577575E-5</v>
      </c>
      <c r="M18" s="148"/>
      <c r="N18" s="149">
        <f t="shared" si="3"/>
        <v>0</v>
      </c>
      <c r="O18" s="150"/>
      <c r="P18" s="151">
        <f t="shared" si="4"/>
        <v>0</v>
      </c>
    </row>
    <row r="19" spans="3:16" x14ac:dyDescent="0.25">
      <c r="C19" s="5" t="s">
        <v>18</v>
      </c>
      <c r="D19" s="26">
        <v>456789</v>
      </c>
      <c r="E19" s="91">
        <v>582319</v>
      </c>
      <c r="F19" s="102">
        <v>698369</v>
      </c>
      <c r="H19" s="100">
        <f>D19/D$19</f>
        <v>1</v>
      </c>
      <c r="I19" s="100">
        <f t="shared" si="5"/>
        <v>1</v>
      </c>
      <c r="J19" s="100">
        <f>F19/F$19</f>
        <v>1</v>
      </c>
      <c r="M19" s="148">
        <f t="shared" si="3"/>
        <v>0.27480959480197642</v>
      </c>
      <c r="N19" s="149">
        <f t="shared" si="3"/>
        <v>0.19928939292724435</v>
      </c>
      <c r="O19" s="150">
        <f t="shared" si="4"/>
        <v>125530</v>
      </c>
      <c r="P19" s="151">
        <f t="shared" si="4"/>
        <v>116050</v>
      </c>
    </row>
    <row r="20" spans="3:16" x14ac:dyDescent="0.25">
      <c r="C20" s="2"/>
      <c r="D20" s="17"/>
      <c r="E20" s="92"/>
      <c r="F20" s="17"/>
      <c r="H20" s="17"/>
      <c r="I20" s="17"/>
      <c r="J20" s="17"/>
      <c r="M20" s="148"/>
      <c r="N20" s="149"/>
      <c r="O20" s="150"/>
      <c r="P20" s="151"/>
    </row>
    <row r="21" spans="3:16" x14ac:dyDescent="0.25">
      <c r="C21" s="5" t="s">
        <v>8</v>
      </c>
      <c r="D21" s="11">
        <v>2021</v>
      </c>
      <c r="E21" s="93">
        <v>2022</v>
      </c>
      <c r="F21" s="101">
        <v>2023</v>
      </c>
      <c r="H21" s="17"/>
      <c r="I21" s="17"/>
      <c r="J21" s="17"/>
      <c r="M21" s="148"/>
      <c r="N21" s="149"/>
      <c r="O21" s="150"/>
      <c r="P21" s="151"/>
    </row>
    <row r="22" spans="3:16" x14ac:dyDescent="0.25">
      <c r="C22" s="10" t="s">
        <v>22</v>
      </c>
      <c r="D22" s="18">
        <v>367384</v>
      </c>
      <c r="E22" s="94">
        <v>466908</v>
      </c>
      <c r="F22" s="104">
        <v>602182</v>
      </c>
      <c r="H22" s="100">
        <f t="shared" ref="H22:H32" si="6">D22/D$39</f>
        <v>0.80427505916298336</v>
      </c>
      <c r="I22" s="100">
        <f t="shared" ref="I22:I32" si="7">E22/E$39</f>
        <v>0.80180794375591391</v>
      </c>
      <c r="J22" s="100">
        <f t="shared" ref="J22:J32" si="8">F22/F$39</f>
        <v>0.86226908697264626</v>
      </c>
      <c r="M22" s="148">
        <f t="shared" si="3"/>
        <v>0.27089911373385883</v>
      </c>
      <c r="N22" s="149">
        <f t="shared" si="3"/>
        <v>0.28972302894788693</v>
      </c>
      <c r="O22" s="150">
        <f t="shared" si="4"/>
        <v>99524</v>
      </c>
      <c r="P22" s="151">
        <f t="shared" si="4"/>
        <v>135274</v>
      </c>
    </row>
    <row r="23" spans="3:16" x14ac:dyDescent="0.25">
      <c r="C23" s="4" t="s">
        <v>19</v>
      </c>
      <c r="D23" s="19">
        <v>7160</v>
      </c>
      <c r="E23" s="95">
        <v>7160</v>
      </c>
      <c r="F23" s="105">
        <v>7160</v>
      </c>
      <c r="H23" s="100">
        <f t="shared" si="6"/>
        <v>1.5674633145719357E-2</v>
      </c>
      <c r="I23" s="100">
        <f t="shared" si="7"/>
        <v>1.2295666121146657E-2</v>
      </c>
      <c r="J23" s="100">
        <f t="shared" si="8"/>
        <v>1.0252459659578246E-2</v>
      </c>
      <c r="M23" s="148">
        <f t="shared" si="3"/>
        <v>0</v>
      </c>
      <c r="N23" s="149">
        <f t="shared" si="3"/>
        <v>0</v>
      </c>
      <c r="O23" s="150">
        <f t="shared" si="4"/>
        <v>0</v>
      </c>
      <c r="P23" s="151">
        <f t="shared" si="4"/>
        <v>0</v>
      </c>
    </row>
    <row r="24" spans="3:16" x14ac:dyDescent="0.25">
      <c r="C24" s="4" t="s">
        <v>20</v>
      </c>
      <c r="D24" s="19">
        <v>294038</v>
      </c>
      <c r="E24" s="95">
        <v>358456</v>
      </c>
      <c r="F24" s="105">
        <v>470460</v>
      </c>
      <c r="H24" s="100">
        <f t="shared" si="6"/>
        <v>0.6437063939805906</v>
      </c>
      <c r="I24" s="100">
        <f t="shared" si="7"/>
        <v>0.61556638200024383</v>
      </c>
      <c r="J24" s="100">
        <f t="shared" si="8"/>
        <v>0.6736553312074276</v>
      </c>
      <c r="M24" s="148">
        <f t="shared" si="3"/>
        <v>0.2190805270067134</v>
      </c>
      <c r="N24" s="149">
        <f t="shared" si="3"/>
        <v>0.31246233847389915</v>
      </c>
      <c r="O24" s="150">
        <f t="shared" si="4"/>
        <v>64418</v>
      </c>
      <c r="P24" s="151">
        <f t="shared" si="4"/>
        <v>112004</v>
      </c>
    </row>
    <row r="25" spans="3:16" x14ac:dyDescent="0.25">
      <c r="C25" s="4" t="s">
        <v>21</v>
      </c>
      <c r="D25" s="19">
        <v>66186</v>
      </c>
      <c r="E25" s="95">
        <v>101292</v>
      </c>
      <c r="F25" s="105">
        <v>124562</v>
      </c>
      <c r="H25" s="100">
        <f t="shared" si="6"/>
        <v>0.14489403203667339</v>
      </c>
      <c r="I25" s="100">
        <f t="shared" si="7"/>
        <v>0.17394589563452334</v>
      </c>
      <c r="J25" s="100">
        <f t="shared" si="8"/>
        <v>0.17836129610564042</v>
      </c>
      <c r="M25" s="148">
        <f t="shared" si="3"/>
        <v>0.53041428700933735</v>
      </c>
      <c r="N25" s="149">
        <f t="shared" si="3"/>
        <v>0.22973186431307507</v>
      </c>
      <c r="O25" s="150">
        <f t="shared" si="4"/>
        <v>35106</v>
      </c>
      <c r="P25" s="151">
        <f t="shared" si="4"/>
        <v>23270</v>
      </c>
    </row>
    <row r="26" spans="3:16" x14ac:dyDescent="0.25">
      <c r="C26" s="9" t="s">
        <v>9</v>
      </c>
      <c r="D26" s="20">
        <v>34867</v>
      </c>
      <c r="E26" s="96">
        <v>32680</v>
      </c>
      <c r="F26" s="106">
        <v>36686</v>
      </c>
      <c r="H26" s="100">
        <f t="shared" si="6"/>
        <v>7.6330647191591744E-2</v>
      </c>
      <c r="I26" s="100">
        <f t="shared" si="7"/>
        <v>5.6120442575289489E-2</v>
      </c>
      <c r="J26" s="100">
        <f t="shared" si="8"/>
        <v>5.253096858537535E-2</v>
      </c>
      <c r="M26" s="148">
        <f t="shared" si="3"/>
        <v>-6.2724065735509218E-2</v>
      </c>
      <c r="N26" s="149">
        <f t="shared" si="3"/>
        <v>0.12258261933904528</v>
      </c>
      <c r="O26" s="150">
        <f t="shared" si="4"/>
        <v>-2187</v>
      </c>
      <c r="P26" s="151">
        <f t="shared" si="4"/>
        <v>4006</v>
      </c>
    </row>
    <row r="27" spans="3:16" x14ac:dyDescent="0.25">
      <c r="C27" s="4" t="s">
        <v>23</v>
      </c>
      <c r="D27" s="19">
        <v>17471</v>
      </c>
      <c r="E27" s="95">
        <v>17636</v>
      </c>
      <c r="F27" s="105">
        <v>18309</v>
      </c>
      <c r="H27" s="100">
        <f t="shared" si="6"/>
        <v>3.8247418392299289E-2</v>
      </c>
      <c r="I27" s="100">
        <f t="shared" si="7"/>
        <v>3.0285805546444475E-2</v>
      </c>
      <c r="J27" s="100">
        <f t="shared" si="8"/>
        <v>2.6216799428382415E-2</v>
      </c>
      <c r="M27" s="148">
        <f t="shared" si="3"/>
        <v>9.4442218533569919E-3</v>
      </c>
      <c r="N27" s="149">
        <f t="shared" si="3"/>
        <v>3.8160580630528462E-2</v>
      </c>
      <c r="O27" s="150">
        <f t="shared" si="4"/>
        <v>165</v>
      </c>
      <c r="P27" s="151">
        <f t="shared" si="4"/>
        <v>673</v>
      </c>
    </row>
    <row r="28" spans="3:16" x14ac:dyDescent="0.25">
      <c r="C28" s="4" t="s">
        <v>10</v>
      </c>
      <c r="D28" s="19">
        <v>3131</v>
      </c>
      <c r="E28" s="95">
        <v>1661</v>
      </c>
      <c r="F28" s="105">
        <v>6030</v>
      </c>
      <c r="H28" s="100">
        <f t="shared" si="6"/>
        <v>6.8543682093920822E-3</v>
      </c>
      <c r="I28" s="100">
        <f t="shared" si="7"/>
        <v>2.852388467489469E-3</v>
      </c>
      <c r="J28" s="100">
        <f t="shared" si="8"/>
        <v>8.6344038753151994E-3</v>
      </c>
      <c r="M28" s="148">
        <f t="shared" si="3"/>
        <v>-0.46949856275950175</v>
      </c>
      <c r="N28" s="149">
        <f t="shared" si="3"/>
        <v>2.6303431667670076</v>
      </c>
      <c r="O28" s="150">
        <f t="shared" si="4"/>
        <v>-1470</v>
      </c>
      <c r="P28" s="151">
        <f t="shared" si="4"/>
        <v>4369</v>
      </c>
    </row>
    <row r="29" spans="3:16" x14ac:dyDescent="0.25">
      <c r="C29" s="4" t="s">
        <v>24</v>
      </c>
      <c r="D29" s="19">
        <v>6247</v>
      </c>
      <c r="E29" s="95">
        <v>5650</v>
      </c>
      <c r="F29" s="105">
        <v>4994</v>
      </c>
      <c r="H29" s="100">
        <f t="shared" si="6"/>
        <v>1.3675898500182799E-2</v>
      </c>
      <c r="I29" s="100">
        <f t="shared" si="7"/>
        <v>9.7025856961562313E-3</v>
      </c>
      <c r="J29" s="100">
        <f t="shared" si="8"/>
        <v>7.150947421778458E-3</v>
      </c>
      <c r="M29" s="148">
        <f t="shared" si="3"/>
        <v>-9.5565871618376819E-2</v>
      </c>
      <c r="N29" s="149">
        <f t="shared" si="3"/>
        <v>-0.11610619469026549</v>
      </c>
      <c r="O29" s="150">
        <f t="shared" si="4"/>
        <v>-597</v>
      </c>
      <c r="P29" s="151">
        <f t="shared" si="4"/>
        <v>-656</v>
      </c>
    </row>
    <row r="30" spans="3:16" x14ac:dyDescent="0.25">
      <c r="C30" s="4" t="s">
        <v>25</v>
      </c>
      <c r="D30" s="19">
        <v>8018</v>
      </c>
      <c r="E30" s="95">
        <v>7733</v>
      </c>
      <c r="F30" s="105">
        <v>7353</v>
      </c>
      <c r="H30" s="100">
        <f t="shared" si="6"/>
        <v>1.7552962089717572E-2</v>
      </c>
      <c r="I30" s="100">
        <f t="shared" si="7"/>
        <v>1.3279662865199314E-2</v>
      </c>
      <c r="J30" s="100">
        <f t="shared" si="8"/>
        <v>1.052881785989928E-2</v>
      </c>
      <c r="M30" s="148">
        <f t="shared" si="3"/>
        <v>-3.5545023696682464E-2</v>
      </c>
      <c r="N30" s="149">
        <f t="shared" si="3"/>
        <v>-4.9140049140049137E-2</v>
      </c>
      <c r="O30" s="150">
        <f t="shared" si="4"/>
        <v>-285</v>
      </c>
      <c r="P30" s="151">
        <f t="shared" si="4"/>
        <v>-380</v>
      </c>
    </row>
    <row r="31" spans="3:16" x14ac:dyDescent="0.25">
      <c r="C31" s="9" t="s">
        <v>11</v>
      </c>
      <c r="D31" s="20">
        <v>54538</v>
      </c>
      <c r="E31" s="96">
        <v>82731</v>
      </c>
      <c r="F31" s="106">
        <v>59501</v>
      </c>
      <c r="H31" s="100">
        <f t="shared" si="6"/>
        <v>0.11939429364542491</v>
      </c>
      <c r="I31" s="100">
        <f t="shared" si="7"/>
        <v>0.14207161366879664</v>
      </c>
      <c r="J31" s="100">
        <f t="shared" si="8"/>
        <v>8.5199944441978384E-2</v>
      </c>
      <c r="M31" s="148">
        <f t="shared" si="3"/>
        <v>0.51694231544977809</v>
      </c>
      <c r="N31" s="149">
        <f t="shared" si="3"/>
        <v>-0.28078954684459273</v>
      </c>
      <c r="O31" s="150">
        <f t="shared" si="4"/>
        <v>28193</v>
      </c>
      <c r="P31" s="151">
        <f t="shared" si="4"/>
        <v>-23230</v>
      </c>
    </row>
    <row r="32" spans="3:16" x14ac:dyDescent="0.25">
      <c r="C32" s="4" t="s">
        <v>23</v>
      </c>
      <c r="D32" s="19">
        <v>1857</v>
      </c>
      <c r="E32" s="95">
        <v>10065</v>
      </c>
      <c r="F32" s="105">
        <v>12097</v>
      </c>
      <c r="H32" s="100">
        <f t="shared" si="6"/>
        <v>4.0653343228492806E-3</v>
      </c>
      <c r="I32" s="100">
        <f t="shared" si="7"/>
        <v>1.7284340713595126E-2</v>
      </c>
      <c r="J32" s="100">
        <f t="shared" si="8"/>
        <v>1.7321788338256709E-2</v>
      </c>
      <c r="M32" s="148">
        <f t="shared" si="3"/>
        <v>4.4200323101777057</v>
      </c>
      <c r="N32" s="149">
        <f t="shared" si="3"/>
        <v>0.20188772975658223</v>
      </c>
      <c r="O32" s="150">
        <f t="shared" si="4"/>
        <v>8208</v>
      </c>
      <c r="P32" s="151">
        <f t="shared" si="4"/>
        <v>2032</v>
      </c>
    </row>
    <row r="33" spans="3:16" x14ac:dyDescent="0.25">
      <c r="C33" s="4" t="s">
        <v>26</v>
      </c>
      <c r="D33" s="21" t="s">
        <v>30</v>
      </c>
      <c r="E33" s="97" t="s">
        <v>30</v>
      </c>
      <c r="F33" s="107" t="s">
        <v>30</v>
      </c>
      <c r="H33" s="100" t="s">
        <v>30</v>
      </c>
      <c r="I33" s="100" t="s">
        <v>30</v>
      </c>
      <c r="J33" s="100" t="s">
        <v>30</v>
      </c>
      <c r="M33" s="148"/>
      <c r="N33" s="149"/>
      <c r="O33" s="150"/>
      <c r="P33" s="151"/>
    </row>
    <row r="34" spans="3:16" x14ac:dyDescent="0.25">
      <c r="C34" s="4" t="s">
        <v>24</v>
      </c>
      <c r="D34" s="19">
        <v>1064</v>
      </c>
      <c r="E34" s="95">
        <v>1526</v>
      </c>
      <c r="F34" s="105">
        <v>777</v>
      </c>
      <c r="H34" s="100">
        <f t="shared" ref="H34:J35" si="9">D34/D$39</f>
        <v>2.3293030261236588E-3</v>
      </c>
      <c r="I34" s="100">
        <f t="shared" si="9"/>
        <v>2.6205567738644968E-3</v>
      </c>
      <c r="J34" s="100">
        <f t="shared" si="9"/>
        <v>1.1125923401525553E-3</v>
      </c>
      <c r="M34" s="148">
        <f t="shared" si="3"/>
        <v>0.43421052631578949</v>
      </c>
      <c r="N34" s="149">
        <f t="shared" si="3"/>
        <v>-0.49082568807339449</v>
      </c>
      <c r="O34" s="150">
        <f t="shared" si="4"/>
        <v>462</v>
      </c>
      <c r="P34" s="151">
        <f t="shared" si="4"/>
        <v>-749</v>
      </c>
    </row>
    <row r="35" spans="3:16" x14ac:dyDescent="0.25">
      <c r="C35" s="4" t="s">
        <v>25</v>
      </c>
      <c r="D35" s="19">
        <v>36824</v>
      </c>
      <c r="E35" s="95">
        <v>44606</v>
      </c>
      <c r="F35" s="105">
        <v>36421</v>
      </c>
      <c r="H35" s="100">
        <f t="shared" si="9"/>
        <v>8.0614900971783476E-2</v>
      </c>
      <c r="I35" s="100">
        <f t="shared" si="9"/>
        <v>7.6600626117299966E-2</v>
      </c>
      <c r="J35" s="100">
        <f t="shared" si="9"/>
        <v>5.2151513025349067E-2</v>
      </c>
      <c r="M35" s="148">
        <f t="shared" si="3"/>
        <v>0.21132956767325659</v>
      </c>
      <c r="N35" s="149">
        <f t="shared" si="3"/>
        <v>-0.18349549387974712</v>
      </c>
      <c r="O35" s="150">
        <f t="shared" si="4"/>
        <v>7782</v>
      </c>
      <c r="P35" s="151">
        <f t="shared" si="4"/>
        <v>-8185</v>
      </c>
    </row>
    <row r="36" spans="3:16" x14ac:dyDescent="0.25">
      <c r="C36" s="4" t="s">
        <v>17</v>
      </c>
      <c r="D36" s="19">
        <v>2454</v>
      </c>
      <c r="E36" s="95">
        <v>5145</v>
      </c>
      <c r="F36" s="107" t="s">
        <v>30</v>
      </c>
      <c r="H36" s="100">
        <f t="shared" ref="H36:I38" si="10">D36/D$39</f>
        <v>5.3722834831837016E-3</v>
      </c>
      <c r="I36" s="100">
        <f t="shared" si="10"/>
        <v>8.8353634348183729E-3</v>
      </c>
      <c r="J36" s="100" t="s">
        <v>30</v>
      </c>
      <c r="M36" s="148">
        <f t="shared" si="3"/>
        <v>1.0965770171149145</v>
      </c>
      <c r="N36" s="149"/>
      <c r="O36" s="150">
        <f t="shared" si="4"/>
        <v>2691</v>
      </c>
      <c r="P36" s="151"/>
    </row>
    <row r="37" spans="3:16" x14ac:dyDescent="0.25">
      <c r="C37" s="14" t="s">
        <v>27</v>
      </c>
      <c r="D37" s="19">
        <v>12339</v>
      </c>
      <c r="E37" s="95">
        <v>21389</v>
      </c>
      <c r="F37" s="105">
        <v>10206</v>
      </c>
      <c r="H37" s="100">
        <f t="shared" si="10"/>
        <v>2.7012471841484798E-2</v>
      </c>
      <c r="I37" s="100">
        <f t="shared" si="10"/>
        <v>3.6730726629218696E-2</v>
      </c>
      <c r="J37" s="100">
        <f>F37/F$39</f>
        <v>1.4614050738220053E-2</v>
      </c>
      <c r="M37" s="148">
        <f t="shared" si="3"/>
        <v>0.73344679471594132</v>
      </c>
      <c r="N37" s="149">
        <f t="shared" si="3"/>
        <v>-0.52283884239562395</v>
      </c>
      <c r="O37" s="150">
        <f t="shared" si="4"/>
        <v>9050</v>
      </c>
      <c r="P37" s="151">
        <f t="shared" si="4"/>
        <v>-11183</v>
      </c>
    </row>
    <row r="38" spans="3:16" x14ac:dyDescent="0.25">
      <c r="C38" s="16" t="s">
        <v>29</v>
      </c>
      <c r="D38" s="22">
        <v>89405</v>
      </c>
      <c r="E38" s="98">
        <v>115411</v>
      </c>
      <c r="F38" s="108">
        <v>96187</v>
      </c>
      <c r="H38" s="100">
        <f t="shared" si="10"/>
        <v>0.19572494083701666</v>
      </c>
      <c r="I38" s="100">
        <f t="shared" si="10"/>
        <v>0.19819205624408615</v>
      </c>
      <c r="J38" s="100">
        <f>F38/F$39</f>
        <v>0.13773091302735374</v>
      </c>
      <c r="M38" s="148">
        <f t="shared" si="3"/>
        <v>0.29087858620882501</v>
      </c>
      <c r="N38" s="149">
        <f t="shared" si="3"/>
        <v>-0.16656991101368154</v>
      </c>
      <c r="O38" s="150">
        <f t="shared" si="4"/>
        <v>26006</v>
      </c>
      <c r="P38" s="151">
        <f t="shared" si="4"/>
        <v>-19224</v>
      </c>
    </row>
    <row r="39" spans="3:16" ht="15.75" thickBot="1" x14ac:dyDescent="0.3">
      <c r="C39" s="15" t="s">
        <v>28</v>
      </c>
      <c r="D39" s="13">
        <v>456789</v>
      </c>
      <c r="E39" s="99">
        <v>582319</v>
      </c>
      <c r="F39" s="109">
        <v>698369</v>
      </c>
      <c r="H39" s="100">
        <f>D39/D$39</f>
        <v>1</v>
      </c>
      <c r="I39" s="100">
        <f t="shared" ref="I39:J39" si="11">E39/E$39</f>
        <v>1</v>
      </c>
      <c r="J39" s="100">
        <f t="shared" si="11"/>
        <v>1</v>
      </c>
      <c r="M39" s="152">
        <f t="shared" si="3"/>
        <v>0.27480959480197642</v>
      </c>
      <c r="N39" s="153">
        <f t="shared" si="3"/>
        <v>0.19928939292724435</v>
      </c>
      <c r="O39" s="154">
        <f>E39-D39</f>
        <v>125530</v>
      </c>
      <c r="P39" s="155">
        <f t="shared" si="4"/>
        <v>116050</v>
      </c>
    </row>
  </sheetData>
  <mergeCells count="5">
    <mergeCell ref="H3:J3"/>
    <mergeCell ref="H2:J2"/>
    <mergeCell ref="M2:P2"/>
    <mergeCell ref="M3:N3"/>
    <mergeCell ref="O3:P3"/>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FFD786-4AA3-4642-A1EF-35C0DC79E2BB}">
  <dimension ref="D3:X32"/>
  <sheetViews>
    <sheetView topLeftCell="B5" zoomScaleNormal="100" workbookViewId="0">
      <selection activeCell="I7" sqref="I7"/>
    </sheetView>
  </sheetViews>
  <sheetFormatPr defaultRowHeight="15" x14ac:dyDescent="0.25"/>
  <cols>
    <col min="21" max="24" width="28.85546875" customWidth="1"/>
  </cols>
  <sheetData>
    <row r="3" spans="4:24" ht="15.75" thickBot="1" x14ac:dyDescent="0.3"/>
    <row r="4" spans="4:24" ht="15.75" thickBot="1" x14ac:dyDescent="0.3">
      <c r="U4" s="228" t="s">
        <v>168</v>
      </c>
      <c r="V4" s="229"/>
      <c r="W4" s="229"/>
      <c r="X4" s="230"/>
    </row>
    <row r="5" spans="4:24" ht="15.75" thickBot="1" x14ac:dyDescent="0.3">
      <c r="D5" s="27"/>
      <c r="E5" s="27"/>
      <c r="F5" s="27"/>
      <c r="G5" s="27"/>
      <c r="H5" s="27"/>
      <c r="I5" s="27"/>
      <c r="J5" s="27"/>
      <c r="K5" s="27"/>
      <c r="P5" s="226" t="s">
        <v>173</v>
      </c>
      <c r="Q5" s="227"/>
      <c r="R5" s="225"/>
      <c r="U5" s="222" t="s">
        <v>169</v>
      </c>
      <c r="V5" s="223"/>
      <c r="W5" s="222" t="s">
        <v>170</v>
      </c>
      <c r="X5" s="223"/>
    </row>
    <row r="6" spans="4:24" ht="15.75" thickBot="1" x14ac:dyDescent="0.3">
      <c r="D6" s="236" t="s">
        <v>51</v>
      </c>
      <c r="E6" s="237"/>
      <c r="F6" s="237"/>
      <c r="G6" s="237"/>
      <c r="H6" s="237"/>
      <c r="I6" s="37">
        <v>2021</v>
      </c>
      <c r="J6" s="37">
        <v>2022</v>
      </c>
      <c r="K6" s="38">
        <v>2023</v>
      </c>
      <c r="P6" s="156">
        <v>2021</v>
      </c>
      <c r="Q6" s="157">
        <v>2022</v>
      </c>
      <c r="R6" s="158">
        <v>2023</v>
      </c>
      <c r="U6" s="142" t="s">
        <v>171</v>
      </c>
      <c r="V6" s="136" t="s">
        <v>172</v>
      </c>
      <c r="W6" s="143" t="s">
        <v>171</v>
      </c>
      <c r="X6" s="136" t="s">
        <v>172</v>
      </c>
    </row>
    <row r="7" spans="4:24" x14ac:dyDescent="0.25">
      <c r="D7" s="238" t="s">
        <v>42</v>
      </c>
      <c r="E7" s="235"/>
      <c r="F7" s="235"/>
      <c r="G7" s="235"/>
      <c r="H7" s="235"/>
      <c r="I7" s="30">
        <v>655117</v>
      </c>
      <c r="J7" s="30">
        <v>882837</v>
      </c>
      <c r="K7" s="33">
        <v>737005</v>
      </c>
      <c r="P7" s="144">
        <f>I7/$I$7</f>
        <v>1</v>
      </c>
      <c r="Q7" s="159">
        <f>J7/$J$7</f>
        <v>1</v>
      </c>
      <c r="R7" s="160">
        <f>K7/$K$7</f>
        <v>1</v>
      </c>
      <c r="U7" s="144">
        <f>(J7-I7)/I7</f>
        <v>0.34760203139286572</v>
      </c>
      <c r="V7" s="160">
        <f>(K7-J7)/J7</f>
        <v>-0.16518564582136908</v>
      </c>
      <c r="W7" s="76">
        <f>J7-I7</f>
        <v>227720</v>
      </c>
      <c r="X7" s="78">
        <f>K7-J7</f>
        <v>-145832</v>
      </c>
    </row>
    <row r="8" spans="4:24" x14ac:dyDescent="0.25">
      <c r="D8" s="238" t="s">
        <v>43</v>
      </c>
      <c r="E8" s="235"/>
      <c r="F8" s="235"/>
      <c r="G8" s="235"/>
      <c r="H8" s="235"/>
      <c r="I8" s="30">
        <v>543151</v>
      </c>
      <c r="J8" s="30">
        <v>716174</v>
      </c>
      <c r="K8" s="33">
        <v>582218</v>
      </c>
      <c r="P8" s="148">
        <f t="shared" ref="P8:P19" si="0">I8/$I$7</f>
        <v>0.8290900709338942</v>
      </c>
      <c r="Q8" s="161">
        <f t="shared" ref="Q8:Q19" si="1">J8/$J$7</f>
        <v>0.811218832015423</v>
      </c>
      <c r="R8" s="162">
        <f t="shared" ref="R8:R19" si="2">K8/$K$7</f>
        <v>0.78997835835577779</v>
      </c>
      <c r="U8" s="148">
        <f t="shared" ref="U8:V19" si="3">(J8-I8)/I8</f>
        <v>0.3185541405612804</v>
      </c>
      <c r="V8" s="162">
        <f t="shared" si="3"/>
        <v>-0.18704393066489428</v>
      </c>
      <c r="W8" s="165">
        <f t="shared" ref="W8:X19" si="4">J8-I8</f>
        <v>173023</v>
      </c>
      <c r="X8" s="166">
        <f t="shared" si="4"/>
        <v>-133956</v>
      </c>
    </row>
    <row r="9" spans="4:24" x14ac:dyDescent="0.25">
      <c r="D9" s="234" t="s">
        <v>44</v>
      </c>
      <c r="E9" s="235"/>
      <c r="F9" s="235"/>
      <c r="G9" s="235"/>
      <c r="H9" s="235"/>
      <c r="I9" s="31">
        <v>111966</v>
      </c>
      <c r="J9" s="31">
        <v>166663</v>
      </c>
      <c r="K9" s="39">
        <v>154787</v>
      </c>
      <c r="P9" s="148">
        <f t="shared" si="0"/>
        <v>0.17090992906610575</v>
      </c>
      <c r="Q9" s="161">
        <f t="shared" si="1"/>
        <v>0.188781167984577</v>
      </c>
      <c r="R9" s="162">
        <f t="shared" si="2"/>
        <v>0.21002164164422221</v>
      </c>
      <c r="U9" s="148">
        <f t="shared" si="3"/>
        <v>0.48851437043388174</v>
      </c>
      <c r="V9" s="162">
        <f t="shared" si="3"/>
        <v>-7.1257567666488664E-2</v>
      </c>
      <c r="W9" s="165">
        <f t="shared" si="4"/>
        <v>54697</v>
      </c>
      <c r="X9" s="166">
        <f t="shared" si="4"/>
        <v>-11876</v>
      </c>
    </row>
    <row r="10" spans="4:24" x14ac:dyDescent="0.25">
      <c r="D10" s="238" t="s">
        <v>33</v>
      </c>
      <c r="E10" s="235"/>
      <c r="F10" s="235"/>
      <c r="G10" s="235"/>
      <c r="H10" s="235"/>
      <c r="I10" s="30">
        <v>2775</v>
      </c>
      <c r="J10" s="30">
        <v>4159</v>
      </c>
      <c r="K10" s="33">
        <v>3865</v>
      </c>
      <c r="P10" s="148">
        <f t="shared" si="0"/>
        <v>4.2358845824486315E-3</v>
      </c>
      <c r="Q10" s="161">
        <f t="shared" si="1"/>
        <v>4.7109489067630834E-3</v>
      </c>
      <c r="R10" s="162">
        <f t="shared" si="2"/>
        <v>5.2441978005576626E-3</v>
      </c>
      <c r="U10" s="148">
        <f t="shared" si="3"/>
        <v>0.49873873873873875</v>
      </c>
      <c r="V10" s="162">
        <f t="shared" si="3"/>
        <v>-7.0690069728300067E-2</v>
      </c>
      <c r="W10" s="165">
        <f t="shared" si="4"/>
        <v>1384</v>
      </c>
      <c r="X10" s="166">
        <f t="shared" si="4"/>
        <v>-294</v>
      </c>
    </row>
    <row r="11" spans="4:24" x14ac:dyDescent="0.25">
      <c r="D11" s="238" t="s">
        <v>34</v>
      </c>
      <c r="E11" s="235"/>
      <c r="F11" s="235"/>
      <c r="G11" s="235"/>
      <c r="H11" s="235"/>
      <c r="I11" s="30">
        <v>22352</v>
      </c>
      <c r="J11" s="30">
        <v>23901</v>
      </c>
      <c r="K11" s="33">
        <v>33393</v>
      </c>
      <c r="P11" s="148">
        <f t="shared" si="0"/>
        <v>3.4119096283564618E-2</v>
      </c>
      <c r="Q11" s="161">
        <f t="shared" si="1"/>
        <v>2.7072947780847428E-2</v>
      </c>
      <c r="R11" s="162">
        <f t="shared" si="2"/>
        <v>4.5309054891079434E-2</v>
      </c>
      <c r="U11" s="148">
        <f t="shared" si="3"/>
        <v>6.9300286327845378E-2</v>
      </c>
      <c r="V11" s="162">
        <f t="shared" si="3"/>
        <v>0.39713819505460024</v>
      </c>
      <c r="W11" s="165">
        <f t="shared" si="4"/>
        <v>1549</v>
      </c>
      <c r="X11" s="166">
        <f t="shared" si="4"/>
        <v>9492</v>
      </c>
    </row>
    <row r="12" spans="4:24" x14ac:dyDescent="0.25">
      <c r="D12" s="234" t="s">
        <v>45</v>
      </c>
      <c r="E12" s="235"/>
      <c r="F12" s="235"/>
      <c r="G12" s="235"/>
      <c r="H12" s="235"/>
      <c r="I12" s="31">
        <v>86839</v>
      </c>
      <c r="J12" s="31">
        <v>138603</v>
      </c>
      <c r="K12" s="39">
        <v>117529</v>
      </c>
      <c r="P12" s="148">
        <f t="shared" si="0"/>
        <v>0.1325549482000925</v>
      </c>
      <c r="Q12" s="161">
        <f t="shared" si="1"/>
        <v>0.15699727129696647</v>
      </c>
      <c r="R12" s="162">
        <f t="shared" si="2"/>
        <v>0.15946838895258514</v>
      </c>
      <c r="U12" s="148">
        <f t="shared" si="3"/>
        <v>0.59609161782148579</v>
      </c>
      <c r="V12" s="162">
        <f t="shared" si="3"/>
        <v>-0.1520457710150574</v>
      </c>
      <c r="W12" s="165">
        <f t="shared" si="4"/>
        <v>51764</v>
      </c>
      <c r="X12" s="166">
        <f t="shared" si="4"/>
        <v>-21074</v>
      </c>
    </row>
    <row r="13" spans="4:24" x14ac:dyDescent="0.25">
      <c r="D13" s="238" t="s">
        <v>35</v>
      </c>
      <c r="E13" s="239"/>
      <c r="F13" s="239"/>
      <c r="G13" s="239"/>
      <c r="H13" s="239"/>
      <c r="I13" s="30">
        <v>1684</v>
      </c>
      <c r="J13" s="30">
        <v>888</v>
      </c>
      <c r="K13" s="33">
        <v>3298</v>
      </c>
      <c r="P13" s="148">
        <f t="shared" si="0"/>
        <v>2.5705332024661244E-3</v>
      </c>
      <c r="Q13" s="161">
        <f t="shared" si="1"/>
        <v>1.0058481916820432E-3</v>
      </c>
      <c r="R13" s="162">
        <f t="shared" si="2"/>
        <v>4.4748678774228128E-3</v>
      </c>
      <c r="U13" s="148">
        <f t="shared" si="3"/>
        <v>-0.47268408551068886</v>
      </c>
      <c r="V13" s="162">
        <f t="shared" si="3"/>
        <v>2.7139639639639639</v>
      </c>
      <c r="W13" s="165">
        <f t="shared" si="4"/>
        <v>-796</v>
      </c>
      <c r="X13" s="166">
        <f t="shared" si="4"/>
        <v>2410</v>
      </c>
    </row>
    <row r="14" spans="4:24" x14ac:dyDescent="0.25">
      <c r="D14" s="238" t="s">
        <v>36</v>
      </c>
      <c r="E14" s="235"/>
      <c r="F14" s="235"/>
      <c r="G14" s="235"/>
      <c r="H14" s="235"/>
      <c r="I14" s="30">
        <v>2058</v>
      </c>
      <c r="J14" s="30">
        <v>13405</v>
      </c>
      <c r="K14" s="33">
        <v>2646</v>
      </c>
      <c r="P14" s="148">
        <f t="shared" si="0"/>
        <v>3.1414235930375795E-3</v>
      </c>
      <c r="Q14" s="161">
        <f t="shared" si="1"/>
        <v>1.5184003389074087E-2</v>
      </c>
      <c r="R14" s="162">
        <f t="shared" si="2"/>
        <v>3.5902063079626327E-3</v>
      </c>
      <c r="U14" s="148">
        <f t="shared" si="3"/>
        <v>5.5136054421768703</v>
      </c>
      <c r="V14" s="162">
        <f t="shared" si="3"/>
        <v>-0.8026109660574412</v>
      </c>
      <c r="W14" s="165">
        <f t="shared" si="4"/>
        <v>11347</v>
      </c>
      <c r="X14" s="166">
        <f t="shared" si="4"/>
        <v>-10759</v>
      </c>
    </row>
    <row r="15" spans="4:24" x14ac:dyDescent="0.25">
      <c r="D15" s="238" t="s">
        <v>37</v>
      </c>
      <c r="E15" s="239"/>
      <c r="F15" s="239"/>
      <c r="G15" s="239"/>
      <c r="H15" s="239"/>
      <c r="I15" s="30">
        <v>395</v>
      </c>
      <c r="J15" s="30">
        <v>6988</v>
      </c>
      <c r="K15" s="33">
        <v>34943</v>
      </c>
      <c r="P15" s="148">
        <f t="shared" si="0"/>
        <v>6.0294573335755287E-4</v>
      </c>
      <c r="Q15" s="161">
        <f t="shared" si="1"/>
        <v>7.9153909498582403E-3</v>
      </c>
      <c r="R15" s="162">
        <f t="shared" si="2"/>
        <v>4.741216138289428E-2</v>
      </c>
      <c r="U15" s="148">
        <f t="shared" si="3"/>
        <v>16.691139240506327</v>
      </c>
      <c r="V15" s="162">
        <f t="shared" si="3"/>
        <v>4.0004293073840866</v>
      </c>
      <c r="W15" s="165">
        <f t="shared" si="4"/>
        <v>6593</v>
      </c>
      <c r="X15" s="166">
        <f t="shared" si="4"/>
        <v>27955</v>
      </c>
    </row>
    <row r="16" spans="4:24" x14ac:dyDescent="0.25">
      <c r="D16" s="238" t="s">
        <v>38</v>
      </c>
      <c r="E16" s="235"/>
      <c r="F16" s="235"/>
      <c r="G16" s="235"/>
      <c r="H16" s="235"/>
      <c r="I16" s="30">
        <v>1439</v>
      </c>
      <c r="J16" s="30">
        <v>3492</v>
      </c>
      <c r="K16" s="33">
        <v>1555</v>
      </c>
      <c r="P16" s="148">
        <f t="shared" si="0"/>
        <v>2.196554203294984E-3</v>
      </c>
      <c r="Q16" s="161">
        <f t="shared" si="1"/>
        <v>3.9554300510739812E-3</v>
      </c>
      <c r="R16" s="162">
        <f t="shared" si="2"/>
        <v>2.1098907063045705E-3</v>
      </c>
      <c r="U16" s="148">
        <f t="shared" si="3"/>
        <v>1.4266851980542044</v>
      </c>
      <c r="V16" s="162">
        <f t="shared" si="3"/>
        <v>-0.55469644902634596</v>
      </c>
      <c r="W16" s="165">
        <f t="shared" si="4"/>
        <v>2053</v>
      </c>
      <c r="X16" s="166">
        <f t="shared" si="4"/>
        <v>-1937</v>
      </c>
    </row>
    <row r="17" spans="4:24" x14ac:dyDescent="0.25">
      <c r="D17" s="234" t="s">
        <v>46</v>
      </c>
      <c r="E17" s="235"/>
      <c r="F17" s="235"/>
      <c r="G17" s="235"/>
      <c r="H17" s="235"/>
      <c r="I17" s="31">
        <v>85421</v>
      </c>
      <c r="J17" s="31">
        <v>129582</v>
      </c>
      <c r="K17" s="39">
        <v>151569</v>
      </c>
      <c r="P17" s="148">
        <f t="shared" si="0"/>
        <v>0.1303904493395836</v>
      </c>
      <c r="Q17" s="161">
        <f t="shared" si="1"/>
        <v>0.14677907699835871</v>
      </c>
      <c r="R17" s="162">
        <f t="shared" si="2"/>
        <v>0.20565532119863503</v>
      </c>
      <c r="U17" s="148">
        <f t="shared" si="3"/>
        <v>0.51698060195970541</v>
      </c>
      <c r="V17" s="162">
        <f t="shared" si="3"/>
        <v>0.16967634393665787</v>
      </c>
      <c r="W17" s="165">
        <f t="shared" si="4"/>
        <v>44161</v>
      </c>
      <c r="X17" s="166">
        <f t="shared" si="4"/>
        <v>21987</v>
      </c>
    </row>
    <row r="18" spans="4:24" x14ac:dyDescent="0.25">
      <c r="D18" s="238" t="s">
        <v>39</v>
      </c>
      <c r="E18" s="235"/>
      <c r="F18" s="235"/>
      <c r="G18" s="235"/>
      <c r="H18" s="235"/>
      <c r="I18" s="30">
        <v>19235</v>
      </c>
      <c r="J18" s="30">
        <v>28290</v>
      </c>
      <c r="K18" s="33">
        <v>27007</v>
      </c>
      <c r="P18" s="148">
        <f t="shared" si="0"/>
        <v>2.9361167547170962E-2</v>
      </c>
      <c r="Q18" s="161">
        <f t="shared" si="1"/>
        <v>3.2044420430951577E-2</v>
      </c>
      <c r="R18" s="162">
        <f t="shared" si="2"/>
        <v>3.6644256144802274E-2</v>
      </c>
      <c r="U18" s="148">
        <f t="shared" si="3"/>
        <v>0.47075643358461139</v>
      </c>
      <c r="V18" s="162">
        <f t="shared" si="3"/>
        <v>-4.5351714386709083E-2</v>
      </c>
      <c r="W18" s="165">
        <f t="shared" si="4"/>
        <v>9055</v>
      </c>
      <c r="X18" s="166">
        <f t="shared" si="4"/>
        <v>-1283</v>
      </c>
    </row>
    <row r="19" spans="4:24" ht="15.75" thickBot="1" x14ac:dyDescent="0.3">
      <c r="D19" s="243" t="s">
        <v>47</v>
      </c>
      <c r="E19" s="244"/>
      <c r="F19" s="244"/>
      <c r="G19" s="244"/>
      <c r="H19" s="244"/>
      <c r="I19" s="40">
        <v>66186</v>
      </c>
      <c r="J19" s="40">
        <v>101292</v>
      </c>
      <c r="K19" s="41">
        <v>124562</v>
      </c>
      <c r="P19" s="152">
        <f t="shared" si="0"/>
        <v>0.10102928179241265</v>
      </c>
      <c r="Q19" s="163">
        <f t="shared" si="1"/>
        <v>0.11473465656740713</v>
      </c>
      <c r="R19" s="164">
        <f t="shared" si="2"/>
        <v>0.16901106505383273</v>
      </c>
      <c r="U19" s="152">
        <f t="shared" si="3"/>
        <v>0.53041428700933735</v>
      </c>
      <c r="V19" s="164">
        <f t="shared" si="3"/>
        <v>0.22973186431307507</v>
      </c>
      <c r="W19" s="79">
        <f t="shared" si="4"/>
        <v>35106</v>
      </c>
      <c r="X19" s="81">
        <f t="shared" si="4"/>
        <v>23270</v>
      </c>
    </row>
    <row r="20" spans="4:24" ht="15.75" thickBot="1" x14ac:dyDescent="0.3">
      <c r="D20" s="245"/>
      <c r="E20" s="246"/>
      <c r="F20" s="246"/>
      <c r="G20" s="246"/>
      <c r="H20" s="246"/>
      <c r="I20" s="246"/>
      <c r="J20" s="246"/>
      <c r="K20" s="247"/>
    </row>
    <row r="21" spans="4:24" x14ac:dyDescent="0.25">
      <c r="D21" s="248" t="s">
        <v>50</v>
      </c>
      <c r="E21" s="249"/>
      <c r="F21" s="249"/>
      <c r="G21" s="249"/>
      <c r="H21" s="249"/>
      <c r="I21" s="35"/>
      <c r="J21" s="35"/>
      <c r="K21" s="36"/>
    </row>
    <row r="22" spans="4:24" x14ac:dyDescent="0.25">
      <c r="D22" s="250" t="s">
        <v>48</v>
      </c>
      <c r="E22" s="251"/>
      <c r="F22" s="251"/>
      <c r="G22" s="251"/>
      <c r="H22" s="251"/>
      <c r="I22" s="32">
        <v>3.97</v>
      </c>
      <c r="J22" s="32">
        <v>6.08</v>
      </c>
      <c r="K22" s="42">
        <v>7.48</v>
      </c>
    </row>
    <row r="23" spans="4:24" ht="15.75" thickBot="1" x14ac:dyDescent="0.3">
      <c r="D23" s="252" t="s">
        <v>49</v>
      </c>
      <c r="E23" s="253"/>
      <c r="F23" s="253"/>
      <c r="G23" s="253"/>
      <c r="H23" s="253"/>
      <c r="I23" s="34">
        <v>3.97</v>
      </c>
      <c r="J23" s="34">
        <v>6.08</v>
      </c>
      <c r="K23" s="43">
        <v>7.48</v>
      </c>
    </row>
    <row r="24" spans="4:24" x14ac:dyDescent="0.25">
      <c r="D24" s="29"/>
      <c r="E24" s="27"/>
      <c r="F24" s="27"/>
      <c r="G24" s="27"/>
      <c r="H24" s="27"/>
      <c r="I24" s="28"/>
      <c r="J24" s="28"/>
      <c r="K24" s="28"/>
    </row>
    <row r="25" spans="4:24" ht="15.75" thickBot="1" x14ac:dyDescent="0.3"/>
    <row r="26" spans="4:24" x14ac:dyDescent="0.25">
      <c r="D26" s="231" t="s">
        <v>40</v>
      </c>
      <c r="E26" s="232"/>
      <c r="F26" s="232"/>
      <c r="G26" s="232"/>
      <c r="H26" s="233"/>
      <c r="I26" s="76">
        <f>I15+I7+I13</f>
        <v>657196</v>
      </c>
      <c r="J26" s="77">
        <f>J7+J13+J15</f>
        <v>890713</v>
      </c>
      <c r="K26" s="78">
        <f>K7+K13+K15</f>
        <v>775246</v>
      </c>
    </row>
    <row r="27" spans="4:24" ht="15.75" thickBot="1" x14ac:dyDescent="0.3">
      <c r="D27" s="240" t="s">
        <v>41</v>
      </c>
      <c r="E27" s="241"/>
      <c r="F27" s="241"/>
      <c r="G27" s="241"/>
      <c r="H27" s="242"/>
      <c r="I27" s="79">
        <f>I18+I16+I14+I11+I10+I8</f>
        <v>591010</v>
      </c>
      <c r="J27" s="80">
        <f t="shared" ref="J27:K27" si="5">J18+J16+J14+J11+J10+J8</f>
        <v>789421</v>
      </c>
      <c r="K27" s="81">
        <f t="shared" si="5"/>
        <v>650684</v>
      </c>
    </row>
    <row r="31" spans="4:24" x14ac:dyDescent="0.25">
      <c r="D31" s="83"/>
      <c r="E31" s="84"/>
      <c r="F31" s="84"/>
      <c r="G31" s="84"/>
      <c r="H31" s="84"/>
    </row>
    <row r="32" spans="4:24" x14ac:dyDescent="0.25">
      <c r="I32" s="82"/>
      <c r="J32" s="82"/>
      <c r="K32" s="82"/>
    </row>
  </sheetData>
  <mergeCells count="24">
    <mergeCell ref="D16:H16"/>
    <mergeCell ref="D27:H27"/>
    <mergeCell ref="D18:H18"/>
    <mergeCell ref="D19:H19"/>
    <mergeCell ref="D20:K20"/>
    <mergeCell ref="D21:H21"/>
    <mergeCell ref="D22:H22"/>
    <mergeCell ref="D23:H23"/>
    <mergeCell ref="P5:R5"/>
    <mergeCell ref="U4:X4"/>
    <mergeCell ref="U5:V5"/>
    <mergeCell ref="W5:X5"/>
    <mergeCell ref="D26:H26"/>
    <mergeCell ref="D17:H17"/>
    <mergeCell ref="D6:H6"/>
    <mergeCell ref="D7:H7"/>
    <mergeCell ref="D8:H8"/>
    <mergeCell ref="D9:H9"/>
    <mergeCell ref="D10:H10"/>
    <mergeCell ref="D11:H11"/>
    <mergeCell ref="D12:H12"/>
    <mergeCell ref="D13:H13"/>
    <mergeCell ref="D14:H14"/>
    <mergeCell ref="D15:H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FE447-0A6E-449B-949A-905C6CA8E57D}">
  <dimension ref="C2:R37"/>
  <sheetViews>
    <sheetView zoomScale="70" zoomScaleNormal="130" workbookViewId="0">
      <selection activeCell="D5" sqref="D5"/>
    </sheetView>
  </sheetViews>
  <sheetFormatPr defaultRowHeight="15" x14ac:dyDescent="0.25"/>
  <cols>
    <col min="3" max="3" width="70" bestFit="1" customWidth="1"/>
    <col min="4" max="4" width="9.7109375" bestFit="1" customWidth="1"/>
    <col min="5" max="5" width="10.28515625" bestFit="1" customWidth="1"/>
    <col min="6" max="6" width="10.85546875" bestFit="1" customWidth="1"/>
    <col min="7" max="7" width="17.140625" customWidth="1"/>
    <col min="8" max="8" width="10.7109375" bestFit="1" customWidth="1"/>
    <col min="9" max="9" width="22.42578125" bestFit="1" customWidth="1"/>
    <col min="10" max="10" width="14.5703125" customWidth="1"/>
    <col min="11" max="11" width="8.140625" bestFit="1" customWidth="1"/>
    <col min="14" max="14" width="10.7109375" bestFit="1" customWidth="1"/>
    <col min="15" max="15" width="11.85546875" bestFit="1" customWidth="1"/>
    <col min="16" max="16" width="27.5703125" customWidth="1"/>
  </cols>
  <sheetData>
    <row r="2" spans="3:18" ht="15.75" thickBot="1" x14ac:dyDescent="0.3"/>
    <row r="3" spans="3:18" ht="15.75" thickBot="1" x14ac:dyDescent="0.3">
      <c r="C3" s="46" t="s">
        <v>54</v>
      </c>
      <c r="D3" s="56">
        <v>2021</v>
      </c>
      <c r="E3" s="57">
        <v>2022</v>
      </c>
      <c r="F3" s="58">
        <v>2023</v>
      </c>
      <c r="H3" s="255">
        <v>2021</v>
      </c>
      <c r="I3" s="256"/>
      <c r="J3" s="256"/>
      <c r="K3" s="256"/>
      <c r="L3" s="257"/>
      <c r="N3" s="255">
        <v>2021</v>
      </c>
      <c r="O3" s="256"/>
      <c r="P3" s="256"/>
      <c r="Q3" s="256"/>
      <c r="R3" s="257"/>
    </row>
    <row r="4" spans="3:18" x14ac:dyDescent="0.25">
      <c r="C4" s="47" t="s">
        <v>55</v>
      </c>
      <c r="D4" s="44"/>
      <c r="E4" s="45"/>
      <c r="F4" s="51"/>
      <c r="H4" s="68" t="s">
        <v>87</v>
      </c>
      <c r="I4" s="69" t="s">
        <v>86</v>
      </c>
      <c r="J4" s="69" t="s">
        <v>85</v>
      </c>
      <c r="K4" s="232" t="s">
        <v>84</v>
      </c>
      <c r="L4" s="258"/>
      <c r="N4" s="68" t="s">
        <v>87</v>
      </c>
      <c r="O4" s="69" t="s">
        <v>86</v>
      </c>
      <c r="P4" s="69" t="s">
        <v>85</v>
      </c>
      <c r="Q4" s="232" t="s">
        <v>84</v>
      </c>
      <c r="R4" s="258"/>
    </row>
    <row r="5" spans="3:18" ht="15.75" thickBot="1" x14ac:dyDescent="0.3">
      <c r="C5" s="48" t="s">
        <v>56</v>
      </c>
      <c r="D5" s="44">
        <v>85421</v>
      </c>
      <c r="E5" s="44">
        <v>129582</v>
      </c>
      <c r="F5" s="49">
        <v>151569</v>
      </c>
      <c r="H5" s="72">
        <f>D17</f>
        <v>2751</v>
      </c>
      <c r="I5" s="73">
        <f>D27</f>
        <v>-3283</v>
      </c>
      <c r="J5" s="73">
        <f>D34</f>
        <v>-4544</v>
      </c>
      <c r="K5" s="259" t="s">
        <v>90</v>
      </c>
      <c r="L5" s="260"/>
      <c r="N5" s="75" t="s">
        <v>89</v>
      </c>
      <c r="O5" s="70" t="s">
        <v>30</v>
      </c>
      <c r="P5" s="70" t="s">
        <v>30</v>
      </c>
      <c r="Q5" s="259" t="s">
        <v>90</v>
      </c>
      <c r="R5" s="260"/>
    </row>
    <row r="6" spans="3:18" x14ac:dyDescent="0.25">
      <c r="C6" s="50" t="s">
        <v>57</v>
      </c>
      <c r="D6" s="44">
        <v>-82670</v>
      </c>
      <c r="E6" s="45">
        <v>-28442</v>
      </c>
      <c r="F6" s="51">
        <v>-64386</v>
      </c>
      <c r="H6" s="231" t="s">
        <v>88</v>
      </c>
      <c r="I6" s="232"/>
      <c r="J6" s="232" t="s">
        <v>91</v>
      </c>
      <c r="K6" s="232"/>
      <c r="L6" s="71" t="s">
        <v>84</v>
      </c>
      <c r="N6" s="231" t="s">
        <v>88</v>
      </c>
      <c r="O6" s="232"/>
      <c r="P6" s="232" t="s">
        <v>92</v>
      </c>
      <c r="Q6" s="232"/>
      <c r="R6" s="71" t="s">
        <v>84</v>
      </c>
    </row>
    <row r="7" spans="3:18" ht="15.75" thickBot="1" x14ac:dyDescent="0.3">
      <c r="C7" s="50" t="s">
        <v>58</v>
      </c>
      <c r="D7" s="44">
        <v>8943</v>
      </c>
      <c r="E7" s="45">
        <v>9532</v>
      </c>
      <c r="F7" s="51">
        <v>10424</v>
      </c>
      <c r="H7" s="240">
        <v>66186</v>
      </c>
      <c r="I7" s="241"/>
      <c r="J7" s="254">
        <f>SUM(H5:J5)</f>
        <v>-5076</v>
      </c>
      <c r="K7" s="241"/>
      <c r="L7" s="74" t="s">
        <v>93</v>
      </c>
      <c r="N7" s="240" t="s">
        <v>89</v>
      </c>
      <c r="O7" s="241"/>
      <c r="P7" s="241" t="s">
        <v>30</v>
      </c>
      <c r="Q7" s="241"/>
      <c r="R7" s="74" t="s">
        <v>93</v>
      </c>
    </row>
    <row r="8" spans="3:18" x14ac:dyDescent="0.25">
      <c r="C8" s="50" t="s">
        <v>59</v>
      </c>
      <c r="D8" s="44" t="s">
        <v>30</v>
      </c>
      <c r="E8" s="45" t="s">
        <v>30</v>
      </c>
      <c r="F8" s="51" t="s">
        <v>30</v>
      </c>
    </row>
    <row r="9" spans="3:18" ht="15.75" thickBot="1" x14ac:dyDescent="0.3">
      <c r="C9" s="50" t="s">
        <v>60</v>
      </c>
      <c r="D9" s="44">
        <v>348</v>
      </c>
      <c r="E9" s="45">
        <v>-2640</v>
      </c>
      <c r="F9" s="51">
        <v>-30846</v>
      </c>
    </row>
    <row r="10" spans="3:18" ht="15.75" thickBot="1" x14ac:dyDescent="0.3">
      <c r="C10" s="50" t="s">
        <v>61</v>
      </c>
      <c r="D10" s="44">
        <v>80</v>
      </c>
      <c r="E10" s="45">
        <v>-5</v>
      </c>
      <c r="F10" s="51">
        <v>-4789</v>
      </c>
      <c r="H10" s="255">
        <v>2022</v>
      </c>
      <c r="I10" s="256"/>
      <c r="J10" s="256"/>
      <c r="K10" s="256"/>
      <c r="L10" s="257"/>
      <c r="N10" s="255">
        <v>2022</v>
      </c>
      <c r="O10" s="256"/>
      <c r="P10" s="256"/>
      <c r="Q10" s="256"/>
      <c r="R10" s="257"/>
    </row>
    <row r="11" spans="3:18" x14ac:dyDescent="0.25">
      <c r="C11" s="50" t="s">
        <v>62</v>
      </c>
      <c r="D11" s="44">
        <v>1716</v>
      </c>
      <c r="E11" s="45">
        <v>9297</v>
      </c>
      <c r="F11" s="51">
        <v>1860</v>
      </c>
      <c r="H11" s="68" t="s">
        <v>87</v>
      </c>
      <c r="I11" s="69" t="s">
        <v>86</v>
      </c>
      <c r="J11" s="69" t="s">
        <v>85</v>
      </c>
      <c r="K11" s="232" t="s">
        <v>84</v>
      </c>
      <c r="L11" s="258"/>
      <c r="N11" s="68" t="s">
        <v>87</v>
      </c>
      <c r="O11" s="69" t="s">
        <v>86</v>
      </c>
      <c r="P11" s="69" t="s">
        <v>85</v>
      </c>
      <c r="Q11" s="232" t="s">
        <v>84</v>
      </c>
      <c r="R11" s="258"/>
    </row>
    <row r="12" spans="3:18" ht="15.75" thickBot="1" x14ac:dyDescent="0.3">
      <c r="C12" s="50" t="s">
        <v>63</v>
      </c>
      <c r="D12" s="44">
        <v>-190</v>
      </c>
      <c r="E12" s="45">
        <v>-2166</v>
      </c>
      <c r="F12" s="51">
        <v>-37651</v>
      </c>
      <c r="H12" s="72">
        <f>E17</f>
        <v>101140</v>
      </c>
      <c r="I12" s="73">
        <f>E27</f>
        <v>-9650</v>
      </c>
      <c r="J12" s="73">
        <f>E34</f>
        <v>-1829</v>
      </c>
      <c r="K12" s="259" t="s">
        <v>90</v>
      </c>
      <c r="L12" s="260"/>
      <c r="N12" s="75" t="s">
        <v>89</v>
      </c>
      <c r="O12" s="70" t="s">
        <v>30</v>
      </c>
      <c r="P12" s="70" t="s">
        <v>30</v>
      </c>
      <c r="Q12" s="259" t="s">
        <v>90</v>
      </c>
      <c r="R12" s="260"/>
    </row>
    <row r="13" spans="3:18" x14ac:dyDescent="0.25">
      <c r="C13" s="50" t="s">
        <v>64</v>
      </c>
      <c r="D13" s="44">
        <v>-74734</v>
      </c>
      <c r="E13" s="45">
        <v>-34208</v>
      </c>
      <c r="F13" s="51">
        <v>39522</v>
      </c>
      <c r="H13" s="231" t="s">
        <v>88</v>
      </c>
      <c r="I13" s="232"/>
      <c r="J13" s="232" t="s">
        <v>92</v>
      </c>
      <c r="K13" s="232"/>
      <c r="L13" s="71" t="s">
        <v>84</v>
      </c>
      <c r="N13" s="231" t="s">
        <v>88</v>
      </c>
      <c r="O13" s="232"/>
      <c r="P13" s="232" t="s">
        <v>92</v>
      </c>
      <c r="Q13" s="232"/>
      <c r="R13" s="71" t="s">
        <v>84</v>
      </c>
    </row>
    <row r="14" spans="3:18" ht="15.75" thickBot="1" x14ac:dyDescent="0.3">
      <c r="C14" s="50" t="s">
        <v>65</v>
      </c>
      <c r="D14" s="44">
        <v>-10175</v>
      </c>
      <c r="E14" s="45">
        <v>10593</v>
      </c>
      <c r="F14" s="51">
        <v>-8777</v>
      </c>
      <c r="H14" s="240">
        <v>101292</v>
      </c>
      <c r="I14" s="241"/>
      <c r="J14" s="254">
        <f>SUM(H12:J12)</f>
        <v>89661</v>
      </c>
      <c r="K14" s="241"/>
      <c r="L14" s="74" t="s">
        <v>94</v>
      </c>
      <c r="N14" s="240" t="s">
        <v>89</v>
      </c>
      <c r="O14" s="241"/>
      <c r="P14" s="241" t="s">
        <v>89</v>
      </c>
      <c r="Q14" s="241"/>
      <c r="R14" s="74" t="s">
        <v>94</v>
      </c>
    </row>
    <row r="15" spans="3:18" x14ac:dyDescent="0.25">
      <c r="C15" s="50" t="s">
        <v>53</v>
      </c>
      <c r="D15" s="44">
        <v>-8658</v>
      </c>
      <c r="E15" s="45">
        <v>-18845</v>
      </c>
      <c r="F15" s="51">
        <v>-34129</v>
      </c>
    </row>
    <row r="16" spans="3:18" ht="15.75" thickBot="1" x14ac:dyDescent="0.3">
      <c r="C16" s="50" t="s">
        <v>66</v>
      </c>
      <c r="D16" s="44" t="s">
        <v>30</v>
      </c>
      <c r="E16" s="45" t="s">
        <v>30</v>
      </c>
      <c r="F16" s="51" t="s">
        <v>30</v>
      </c>
    </row>
    <row r="17" spans="3:18" ht="15.75" thickBot="1" x14ac:dyDescent="0.3">
      <c r="C17" s="52" t="s">
        <v>67</v>
      </c>
      <c r="D17" s="59">
        <v>2751</v>
      </c>
      <c r="E17" s="60">
        <v>101140</v>
      </c>
      <c r="F17" s="61">
        <v>87183</v>
      </c>
      <c r="H17" s="255">
        <v>2023</v>
      </c>
      <c r="I17" s="256"/>
      <c r="J17" s="256"/>
      <c r="K17" s="256"/>
      <c r="L17" s="257"/>
      <c r="N17" s="255">
        <v>2023</v>
      </c>
      <c r="O17" s="256"/>
      <c r="P17" s="256"/>
      <c r="Q17" s="256"/>
      <c r="R17" s="257"/>
    </row>
    <row r="18" spans="3:18" x14ac:dyDescent="0.25">
      <c r="C18" s="47" t="s">
        <v>68</v>
      </c>
      <c r="D18" s="44"/>
      <c r="E18" s="44"/>
      <c r="F18" s="49"/>
      <c r="H18" s="68" t="s">
        <v>87</v>
      </c>
      <c r="I18" s="69" t="s">
        <v>86</v>
      </c>
      <c r="J18" s="69" t="s">
        <v>85</v>
      </c>
      <c r="K18" s="232" t="s">
        <v>84</v>
      </c>
      <c r="L18" s="258"/>
      <c r="N18" s="68" t="s">
        <v>87</v>
      </c>
      <c r="O18" s="69" t="s">
        <v>86</v>
      </c>
      <c r="P18" s="69" t="s">
        <v>85</v>
      </c>
      <c r="Q18" s="232" t="s">
        <v>84</v>
      </c>
      <c r="R18" s="258"/>
    </row>
    <row r="19" spans="3:18" ht="15.75" thickBot="1" x14ac:dyDescent="0.3">
      <c r="C19" s="48" t="s">
        <v>69</v>
      </c>
      <c r="D19" s="44">
        <v>584</v>
      </c>
      <c r="E19" s="44">
        <v>5</v>
      </c>
      <c r="F19" s="49" t="s">
        <v>30</v>
      </c>
      <c r="H19" s="72">
        <f>F17</f>
        <v>87183</v>
      </c>
      <c r="I19" s="73">
        <f>F27</f>
        <v>-116772</v>
      </c>
      <c r="J19" s="73">
        <f>F34</f>
        <v>-2434</v>
      </c>
      <c r="K19" s="259" t="s">
        <v>90</v>
      </c>
      <c r="L19" s="260"/>
      <c r="N19" s="75" t="s">
        <v>89</v>
      </c>
      <c r="O19" s="70" t="s">
        <v>30</v>
      </c>
      <c r="P19" s="70" t="s">
        <v>30</v>
      </c>
      <c r="Q19" s="259" t="s">
        <v>90</v>
      </c>
      <c r="R19" s="260"/>
    </row>
    <row r="20" spans="3:18" x14ac:dyDescent="0.25">
      <c r="C20" s="48" t="s">
        <v>82</v>
      </c>
      <c r="D20" s="44" t="s">
        <v>30</v>
      </c>
      <c r="E20" s="44">
        <v>14693</v>
      </c>
      <c r="F20" s="49">
        <v>22668</v>
      </c>
      <c r="H20" s="231" t="s">
        <v>88</v>
      </c>
      <c r="I20" s="232"/>
      <c r="J20" s="232" t="s">
        <v>91</v>
      </c>
      <c r="K20" s="232"/>
      <c r="L20" s="71" t="s">
        <v>84</v>
      </c>
      <c r="N20" s="231" t="s">
        <v>88</v>
      </c>
      <c r="O20" s="232"/>
      <c r="P20" s="232" t="s">
        <v>92</v>
      </c>
      <c r="Q20" s="232"/>
      <c r="R20" s="71" t="s">
        <v>84</v>
      </c>
    </row>
    <row r="21" spans="3:18" ht="15.75" thickBot="1" x14ac:dyDescent="0.3">
      <c r="C21" s="48" t="s">
        <v>70</v>
      </c>
      <c r="D21" s="44">
        <v>10</v>
      </c>
      <c r="E21" s="44">
        <v>3026</v>
      </c>
      <c r="F21" s="49">
        <v>9760</v>
      </c>
      <c r="H21" s="240">
        <v>124562</v>
      </c>
      <c r="I21" s="241"/>
      <c r="J21" s="254">
        <f>SUM(H19:J19)</f>
        <v>-32023</v>
      </c>
      <c r="K21" s="241"/>
      <c r="L21" s="74" t="s">
        <v>93</v>
      </c>
      <c r="N21" s="240" t="s">
        <v>89</v>
      </c>
      <c r="O21" s="241"/>
      <c r="P21" s="241" t="s">
        <v>30</v>
      </c>
      <c r="Q21" s="241"/>
      <c r="R21" s="74" t="s">
        <v>93</v>
      </c>
    </row>
    <row r="22" spans="3:18" x14ac:dyDescent="0.25">
      <c r="C22" s="48" t="s">
        <v>71</v>
      </c>
      <c r="D22" s="44">
        <v>10000</v>
      </c>
      <c r="E22" s="44">
        <v>6004</v>
      </c>
      <c r="F22" s="49">
        <v>3500</v>
      </c>
      <c r="L22" s="67"/>
    </row>
    <row r="23" spans="3:18" x14ac:dyDescent="0.25">
      <c r="C23" s="48" t="s">
        <v>72</v>
      </c>
      <c r="D23" s="44">
        <v>-4367</v>
      </c>
      <c r="E23" s="44">
        <v>-15741</v>
      </c>
      <c r="F23" s="49">
        <v>-4183</v>
      </c>
    </row>
    <row r="24" spans="3:18" x14ac:dyDescent="0.25">
      <c r="C24" s="48" t="s">
        <v>73</v>
      </c>
      <c r="D24" s="44">
        <v>-10</v>
      </c>
      <c r="E24" s="44">
        <v>-17637</v>
      </c>
      <c r="F24" s="49">
        <v>-148515</v>
      </c>
    </row>
    <row r="25" spans="3:18" ht="15.75" thickBot="1" x14ac:dyDescent="0.3">
      <c r="C25" s="48" t="s">
        <v>31</v>
      </c>
      <c r="D25" s="44">
        <v>-9500</v>
      </c>
      <c r="E25" s="44" t="s">
        <v>30</v>
      </c>
      <c r="F25" s="49" t="s">
        <v>30</v>
      </c>
    </row>
    <row r="26" spans="3:18" x14ac:dyDescent="0.25">
      <c r="C26" s="48" t="s">
        <v>66</v>
      </c>
      <c r="D26" s="44" t="s">
        <v>30</v>
      </c>
      <c r="E26" s="44" t="s">
        <v>30</v>
      </c>
      <c r="F26" s="49">
        <v>-2</v>
      </c>
      <c r="I26" s="68"/>
      <c r="J26" s="167">
        <v>2021</v>
      </c>
      <c r="K26" s="167">
        <v>2022</v>
      </c>
      <c r="L26" s="168">
        <v>2023</v>
      </c>
    </row>
    <row r="27" spans="3:18" x14ac:dyDescent="0.25">
      <c r="C27" s="52" t="s">
        <v>74</v>
      </c>
      <c r="D27" s="59">
        <v>-3283</v>
      </c>
      <c r="E27" s="59">
        <v>-9650</v>
      </c>
      <c r="F27" s="62">
        <v>-116772</v>
      </c>
      <c r="I27" s="169" t="s">
        <v>87</v>
      </c>
      <c r="J27" s="17">
        <v>2751</v>
      </c>
      <c r="K27" s="17">
        <v>101140</v>
      </c>
      <c r="L27" s="170">
        <v>87183</v>
      </c>
    </row>
    <row r="28" spans="3:18" x14ac:dyDescent="0.25">
      <c r="C28" s="55" t="s">
        <v>81</v>
      </c>
      <c r="D28" s="44"/>
      <c r="E28" s="44"/>
      <c r="F28" s="49"/>
      <c r="I28" s="169" t="s">
        <v>86</v>
      </c>
      <c r="J28" s="17">
        <v>-3283</v>
      </c>
      <c r="K28" s="17">
        <v>-9650</v>
      </c>
      <c r="L28" s="170">
        <v>-116772</v>
      </c>
    </row>
    <row r="29" spans="3:18" x14ac:dyDescent="0.25">
      <c r="C29" s="48" t="s">
        <v>75</v>
      </c>
      <c r="D29" s="44">
        <v>15014</v>
      </c>
      <c r="E29" s="44" t="s">
        <v>30</v>
      </c>
      <c r="F29" s="49">
        <v>105</v>
      </c>
      <c r="I29" s="169" t="s">
        <v>85</v>
      </c>
      <c r="J29" s="17">
        <v>-4544</v>
      </c>
      <c r="K29" s="17">
        <v>-1829</v>
      </c>
      <c r="L29" s="170">
        <v>-2434</v>
      </c>
    </row>
    <row r="30" spans="3:18" x14ac:dyDescent="0.25">
      <c r="C30" s="48" t="s">
        <v>76</v>
      </c>
      <c r="D30" s="44">
        <v>-17084</v>
      </c>
      <c r="E30" s="44" t="s">
        <v>30</v>
      </c>
      <c r="F30" s="49">
        <v>-105</v>
      </c>
      <c r="I30" s="169" t="s">
        <v>88</v>
      </c>
      <c r="J30" s="17">
        <v>66186</v>
      </c>
      <c r="K30" s="17">
        <v>101292</v>
      </c>
      <c r="L30" s="170">
        <v>124562</v>
      </c>
    </row>
    <row r="31" spans="3:18" ht="15.75" thickBot="1" x14ac:dyDescent="0.3">
      <c r="C31" s="48" t="s">
        <v>52</v>
      </c>
      <c r="D31" s="44">
        <v>-69</v>
      </c>
      <c r="E31" s="44">
        <v>-124</v>
      </c>
      <c r="F31" s="49">
        <v>-209</v>
      </c>
      <c r="I31" s="171" t="s">
        <v>91</v>
      </c>
      <c r="J31" s="172">
        <v>-5076</v>
      </c>
      <c r="K31" s="172">
        <v>89661</v>
      </c>
      <c r="L31" s="173">
        <v>-32023</v>
      </c>
    </row>
    <row r="32" spans="3:18" x14ac:dyDescent="0.25">
      <c r="C32" s="48" t="s">
        <v>83</v>
      </c>
      <c r="D32" s="44">
        <v>-2405</v>
      </c>
      <c r="E32" s="44">
        <v>-1705</v>
      </c>
      <c r="F32" s="49">
        <v>-2225</v>
      </c>
    </row>
    <row r="33" spans="3:6" x14ac:dyDescent="0.25">
      <c r="C33" s="48" t="s">
        <v>66</v>
      </c>
      <c r="D33" s="44" t="s">
        <v>30</v>
      </c>
      <c r="E33" s="44" t="s">
        <v>30</v>
      </c>
      <c r="F33" s="49" t="s">
        <v>30</v>
      </c>
    </row>
    <row r="34" spans="3:6" x14ac:dyDescent="0.25">
      <c r="C34" s="52" t="s">
        <v>77</v>
      </c>
      <c r="D34" s="59">
        <v>-4544</v>
      </c>
      <c r="E34" s="59">
        <v>-1829</v>
      </c>
      <c r="F34" s="62">
        <v>-2434</v>
      </c>
    </row>
    <row r="35" spans="3:6" x14ac:dyDescent="0.25">
      <c r="C35" s="53" t="s">
        <v>78</v>
      </c>
      <c r="D35" s="59">
        <v>-5076</v>
      </c>
      <c r="E35" s="59">
        <v>89661</v>
      </c>
      <c r="F35" s="62">
        <v>-32023</v>
      </c>
    </row>
    <row r="36" spans="3:6" x14ac:dyDescent="0.25">
      <c r="C36" s="53" t="s">
        <v>79</v>
      </c>
      <c r="D36" s="63">
        <v>25602</v>
      </c>
      <c r="E36" s="63">
        <v>20526</v>
      </c>
      <c r="F36" s="64">
        <v>110187</v>
      </c>
    </row>
    <row r="37" spans="3:6" ht="15.75" thickBot="1" x14ac:dyDescent="0.3">
      <c r="C37" s="54" t="s">
        <v>80</v>
      </c>
      <c r="D37" s="65">
        <v>20526</v>
      </c>
      <c r="E37" s="65">
        <v>110187</v>
      </c>
      <c r="F37" s="66">
        <v>78164</v>
      </c>
    </row>
  </sheetData>
  <mergeCells count="42">
    <mergeCell ref="H7:I7"/>
    <mergeCell ref="J7:K7"/>
    <mergeCell ref="N3:R3"/>
    <mergeCell ref="Q4:R4"/>
    <mergeCell ref="Q5:R5"/>
    <mergeCell ref="N6:O6"/>
    <mergeCell ref="P6:Q6"/>
    <mergeCell ref="N7:O7"/>
    <mergeCell ref="P7:Q7"/>
    <mergeCell ref="H3:L3"/>
    <mergeCell ref="H6:I6"/>
    <mergeCell ref="K4:L4"/>
    <mergeCell ref="J6:K6"/>
    <mergeCell ref="K5:L5"/>
    <mergeCell ref="H10:L10"/>
    <mergeCell ref="N10:R10"/>
    <mergeCell ref="K11:L11"/>
    <mergeCell ref="Q11:R11"/>
    <mergeCell ref="K12:L12"/>
    <mergeCell ref="Q12:R12"/>
    <mergeCell ref="H13:I13"/>
    <mergeCell ref="J13:K13"/>
    <mergeCell ref="N13:O13"/>
    <mergeCell ref="P13:Q13"/>
    <mergeCell ref="H14:I14"/>
    <mergeCell ref="J14:K14"/>
    <mergeCell ref="N14:O14"/>
    <mergeCell ref="P14:Q14"/>
    <mergeCell ref="H17:L17"/>
    <mergeCell ref="N17:R17"/>
    <mergeCell ref="K18:L18"/>
    <mergeCell ref="Q18:R18"/>
    <mergeCell ref="K19:L19"/>
    <mergeCell ref="Q19:R19"/>
    <mergeCell ref="H20:I20"/>
    <mergeCell ref="J20:K20"/>
    <mergeCell ref="N20:O20"/>
    <mergeCell ref="P20:Q20"/>
    <mergeCell ref="H21:I21"/>
    <mergeCell ref="J21:K21"/>
    <mergeCell ref="N21:O21"/>
    <mergeCell ref="P21:Q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E02575-35A6-4AFE-B184-6C19F3CD152F}">
  <dimension ref="C1:J87"/>
  <sheetViews>
    <sheetView tabSelected="1" topLeftCell="B1" zoomScaleNormal="100" workbookViewId="0">
      <selection activeCell="X15" sqref="X15"/>
    </sheetView>
  </sheetViews>
  <sheetFormatPr defaultRowHeight="15" x14ac:dyDescent="0.25"/>
  <cols>
    <col min="3" max="3" width="71" customWidth="1"/>
    <col min="4" max="4" width="9.140625" customWidth="1"/>
    <col min="5" max="6" width="9.5703125" bestFit="1" customWidth="1"/>
  </cols>
  <sheetData>
    <row r="1" spans="3:10" ht="15.75" thickBot="1" x14ac:dyDescent="0.3">
      <c r="H1" s="135"/>
    </row>
    <row r="2" spans="3:10" ht="16.5" thickBot="1" x14ac:dyDescent="0.3">
      <c r="C2" s="112" t="s">
        <v>163</v>
      </c>
      <c r="D2" s="113">
        <v>2021</v>
      </c>
      <c r="E2" s="113">
        <v>2022</v>
      </c>
      <c r="F2" s="114">
        <v>2023</v>
      </c>
      <c r="H2" s="261" t="s">
        <v>166</v>
      </c>
      <c r="I2" s="261"/>
      <c r="J2" s="261"/>
    </row>
    <row r="3" spans="3:10" ht="15.75" x14ac:dyDescent="0.25">
      <c r="C3" s="137" t="s">
        <v>95</v>
      </c>
      <c r="D3" s="115"/>
      <c r="E3" s="115"/>
      <c r="F3" s="116"/>
    </row>
    <row r="4" spans="3:10" ht="15.75" x14ac:dyDescent="0.25">
      <c r="C4" s="138" t="s">
        <v>96</v>
      </c>
      <c r="D4" s="117">
        <f>Bilans!D5/Bilans!D19</f>
        <v>0.29935703355378523</v>
      </c>
      <c r="E4" s="117">
        <f>Bilans!E5/Bilans!E19</f>
        <v>0.22456248207597554</v>
      </c>
      <c r="F4" s="190">
        <f>Bilans!F5/Bilans!F19</f>
        <v>0.18170050503387178</v>
      </c>
      <c r="H4" t="s">
        <v>174</v>
      </c>
    </row>
    <row r="5" spans="3:10" ht="15.75" x14ac:dyDescent="0.25">
      <c r="C5" s="138" t="s">
        <v>97</v>
      </c>
      <c r="D5" s="117">
        <f>Bilans!D11/Bilans!D19</f>
        <v>0.70064296644621482</v>
      </c>
      <c r="E5" s="117">
        <f>Bilans!E11/Bilans!E19</f>
        <v>0.77543751792402449</v>
      </c>
      <c r="F5" s="190">
        <f>Bilans!F11/Bilans!F19</f>
        <v>0.81829949496612819</v>
      </c>
      <c r="H5" t="s">
        <v>175</v>
      </c>
    </row>
    <row r="6" spans="3:10" ht="16.5" thickBot="1" x14ac:dyDescent="0.3">
      <c r="C6" s="139" t="s">
        <v>98</v>
      </c>
      <c r="D6" s="118">
        <f>Bilans!D5/Bilans!D11</f>
        <v>0.42726045630940551</v>
      </c>
      <c r="E6" s="118">
        <f>Bilans!E5/Bilans!E11</f>
        <v>0.28959455389412514</v>
      </c>
      <c r="F6" s="191">
        <f>Bilans!F5/Bilans!F11</f>
        <v>0.22204645872522857</v>
      </c>
      <c r="H6" t="s">
        <v>176</v>
      </c>
    </row>
    <row r="7" spans="3:10" ht="15.75" thickBot="1" x14ac:dyDescent="0.3">
      <c r="C7" s="67"/>
    </row>
    <row r="8" spans="3:10" ht="16.5" thickBot="1" x14ac:dyDescent="0.3">
      <c r="C8" s="112" t="s">
        <v>163</v>
      </c>
      <c r="D8" s="113">
        <v>2021</v>
      </c>
      <c r="E8" s="113">
        <v>2022</v>
      </c>
      <c r="F8" s="114">
        <v>2023</v>
      </c>
    </row>
    <row r="9" spans="3:10" ht="15.75" x14ac:dyDescent="0.25">
      <c r="C9" s="137" t="s">
        <v>99</v>
      </c>
      <c r="D9" s="119"/>
      <c r="E9" s="119" t="s">
        <v>100</v>
      </c>
      <c r="F9" s="120"/>
    </row>
    <row r="10" spans="3:10" ht="15.75" x14ac:dyDescent="0.25">
      <c r="C10" s="138" t="s">
        <v>151</v>
      </c>
      <c r="D10" s="121">
        <f>'Rachunek zysków i strat'!I19/Bilans!D19</f>
        <v>0.14489403203667339</v>
      </c>
      <c r="E10" s="121">
        <f>'Rachunek zysków i strat'!J19/((Bilans!D19+Bilans!E19)/2)</f>
        <v>0.19495952297547511</v>
      </c>
      <c r="F10" s="195">
        <f>'Rachunek zysków i strat'!K19/(Bilans!F19 +Bilans!E19)/2</f>
        <v>4.863089214547181E-2</v>
      </c>
      <c r="H10" t="s">
        <v>165</v>
      </c>
    </row>
    <row r="11" spans="3:10" ht="15.75" x14ac:dyDescent="0.25">
      <c r="C11" s="138" t="s">
        <v>153</v>
      </c>
      <c r="D11" s="121">
        <f>'Rachunek zysków i strat'!I19/Bilans!D22</f>
        <v>0.18015482437994035</v>
      </c>
      <c r="E11" s="121">
        <f>'Rachunek zysków i strat'!J19/((Bilans!E22+Bilans!D22)/2)</f>
        <v>0.24282145819449305</v>
      </c>
      <c r="F11" s="195">
        <f>'Rachunek zysków i strat'!K19/((Bilans!F22+Bilans!E22)/2)</f>
        <v>0.23302434780981957</v>
      </c>
      <c r="H11" t="s">
        <v>210</v>
      </c>
    </row>
    <row r="12" spans="3:10" ht="16.5" thickBot="1" x14ac:dyDescent="0.3">
      <c r="C12" s="139" t="s">
        <v>152</v>
      </c>
      <c r="D12" s="132">
        <f>'Rachunek zysków i strat'!I19/'Rachunek zysków i strat'!I7</f>
        <v>0.10102928179241265</v>
      </c>
      <c r="E12" s="132">
        <f>'Rachunek zysków i strat'!J19/'Rachunek zysków i strat'!J7</f>
        <v>0.11473465656740713</v>
      </c>
      <c r="F12" s="194">
        <f>'Rachunek zysków i strat'!K19/'Rachunek zysków i strat'!K7</f>
        <v>0.16901106505383273</v>
      </c>
      <c r="H12" s="134" t="s">
        <v>242</v>
      </c>
    </row>
    <row r="13" spans="3:10" ht="15.75" thickBot="1" x14ac:dyDescent="0.3">
      <c r="C13" s="67"/>
    </row>
    <row r="14" spans="3:10" ht="16.5" thickBot="1" x14ac:dyDescent="0.3">
      <c r="C14" s="112" t="s">
        <v>163</v>
      </c>
      <c r="D14" s="113">
        <v>2021</v>
      </c>
      <c r="E14" s="113">
        <v>2022</v>
      </c>
      <c r="F14" s="114">
        <v>2023</v>
      </c>
    </row>
    <row r="15" spans="3:10" ht="15.75" x14ac:dyDescent="0.25">
      <c r="C15" s="137" t="s">
        <v>101</v>
      </c>
      <c r="D15" s="115"/>
      <c r="E15" s="115"/>
      <c r="F15" s="116"/>
    </row>
    <row r="16" spans="3:10" ht="15.75" x14ac:dyDescent="0.25">
      <c r="C16" s="138" t="s">
        <v>102</v>
      </c>
      <c r="D16" s="131">
        <f>Bilans!D16/Bilans!D31</f>
        <v>0.3763614360629286</v>
      </c>
      <c r="E16" s="131">
        <f>Bilans!E16/Bilans!E31</f>
        <v>1.3318707618667731</v>
      </c>
      <c r="F16" s="193">
        <f>Bilans!F16/Bilans!F31</f>
        <v>1.3136585939732106</v>
      </c>
      <c r="H16" t="s">
        <v>177</v>
      </c>
    </row>
    <row r="17" spans="3:8" ht="15.75" x14ac:dyDescent="0.25">
      <c r="C17" s="138" t="s">
        <v>103</v>
      </c>
      <c r="D17" s="131">
        <f>(Bilans!D11-Bilans!D12-Bilans!D13)/Bilans!D31</f>
        <v>0.55108364809857346</v>
      </c>
      <c r="E17" s="131">
        <f>(Bilans!E11-Bilans!E12-Bilans!E13)/Bilans!E31</f>
        <v>1.5412481415672481</v>
      </c>
      <c r="F17" s="193">
        <f>(Bilans!F11-Bilans!F12-Bilans!F13)/Bilans!F31</f>
        <v>4.0358649434463283</v>
      </c>
      <c r="H17" t="s">
        <v>178</v>
      </c>
    </row>
    <row r="18" spans="3:8" ht="16.5" thickBot="1" x14ac:dyDescent="0.3">
      <c r="C18" s="139" t="s">
        <v>104</v>
      </c>
      <c r="D18" s="132">
        <f>Bilans!D11/Bilans!D31</f>
        <v>5.8683120026403612</v>
      </c>
      <c r="E18" s="132">
        <f>Bilans!E11/Bilans!E31</f>
        <v>5.4580749658531866</v>
      </c>
      <c r="F18" s="194">
        <f>Bilans!F11/Bilans!F31</f>
        <v>9.6044604292364841</v>
      </c>
      <c r="H18" t="s">
        <v>179</v>
      </c>
    </row>
    <row r="19" spans="3:8" ht="15.75" thickBot="1" x14ac:dyDescent="0.3">
      <c r="C19" s="67"/>
    </row>
    <row r="20" spans="3:8" ht="16.5" thickBot="1" x14ac:dyDescent="0.3">
      <c r="C20" s="112" t="s">
        <v>163</v>
      </c>
      <c r="D20" s="113">
        <v>2021</v>
      </c>
      <c r="E20" s="113">
        <v>2022</v>
      </c>
      <c r="F20" s="114">
        <v>2023</v>
      </c>
    </row>
    <row r="21" spans="3:8" ht="15.75" x14ac:dyDescent="0.25">
      <c r="C21" s="137" t="s">
        <v>105</v>
      </c>
      <c r="D21" s="119"/>
      <c r="E21" s="119"/>
      <c r="F21" s="120"/>
    </row>
    <row r="22" spans="3:8" ht="15.75" x14ac:dyDescent="0.25">
      <c r="C22" s="138" t="s">
        <v>106</v>
      </c>
      <c r="D22" s="122">
        <f>Bilans!D11/Bilans!D31</f>
        <v>5.8683120026403612</v>
      </c>
      <c r="E22" s="122">
        <f>Bilans!E11/Bilans!E31</f>
        <v>5.4580749658531866</v>
      </c>
      <c r="F22" s="192">
        <f>Bilans!F11/Bilans!F31</f>
        <v>9.6044604292364841</v>
      </c>
      <c r="H22" t="s">
        <v>186</v>
      </c>
    </row>
    <row r="23" spans="3:8" ht="15.75" x14ac:dyDescent="0.25">
      <c r="C23" s="138" t="s">
        <v>107</v>
      </c>
      <c r="D23" s="122">
        <f>(Bilans!D11-Bilans!D12)/Bilans!D31</f>
        <v>3.7208185118632882</v>
      </c>
      <c r="E23" s="122">
        <f>(Bilans!E11-Bilans!E12)/Bilans!E31</f>
        <v>4.0162091598070857</v>
      </c>
      <c r="F23" s="192">
        <f>(Bilans!F11-Bilans!F12)/Bilans!F31</f>
        <v>6.9668913127510459</v>
      </c>
      <c r="H23" t="s">
        <v>187</v>
      </c>
    </row>
    <row r="24" spans="3:8" ht="15.75" x14ac:dyDescent="0.25">
      <c r="C24" s="138" t="s">
        <v>167</v>
      </c>
      <c r="D24" s="123">
        <f>Bilans!D16/Bilans!D31</f>
        <v>0.3763614360629286</v>
      </c>
      <c r="E24" s="123">
        <f>Bilans!E16/Bilans!E31</f>
        <v>1.3318707618667731</v>
      </c>
      <c r="F24" s="183">
        <f>Bilans!F16/Bilans!F31</f>
        <v>1.3136585939732106</v>
      </c>
      <c r="G24" s="196"/>
      <c r="H24" t="s">
        <v>219</v>
      </c>
    </row>
    <row r="25" spans="3:8" ht="15.75" x14ac:dyDescent="0.25">
      <c r="C25" s="138" t="s">
        <v>108</v>
      </c>
      <c r="D25" s="124">
        <f>(Bilans!D13+Bilans!D15+Bilans!D16+Bilans!D17)/(Bilans!D31/365)</f>
        <v>1358.0987568301</v>
      </c>
      <c r="E25" s="124">
        <f>(Bilans!E13+Bilans!E15+Bilans!E16+Bilans!E17)/(Bilans!E31/365)</f>
        <v>1450.4129649103722</v>
      </c>
      <c r="F25" s="186">
        <f>(Bilans!F13+Bilans!F15+Bilans!F16+Bilans!F17)/(Bilans!F31/365)</f>
        <v>2542.8294482445676</v>
      </c>
      <c r="H25" t="s">
        <v>188</v>
      </c>
    </row>
    <row r="26" spans="3:8" ht="15.75" thickBot="1" x14ac:dyDescent="0.3">
      <c r="C26" s="67"/>
    </row>
    <row r="27" spans="3:8" ht="16.5" thickBot="1" x14ac:dyDescent="0.3">
      <c r="C27" s="112" t="s">
        <v>163</v>
      </c>
      <c r="D27" s="113">
        <v>2021</v>
      </c>
      <c r="E27" s="113">
        <v>2022</v>
      </c>
      <c r="F27" s="114">
        <v>2023</v>
      </c>
    </row>
    <row r="28" spans="3:8" ht="15.75" x14ac:dyDescent="0.25">
      <c r="C28" s="137" t="s">
        <v>109</v>
      </c>
      <c r="D28" s="125"/>
      <c r="E28" s="115"/>
      <c r="F28" s="120"/>
    </row>
    <row r="29" spans="3:8" ht="15.75" x14ac:dyDescent="0.25">
      <c r="C29" s="138" t="s">
        <v>110</v>
      </c>
      <c r="D29" s="117">
        <f>'Rachunek przepływów pieniężnych'!D17/'Rachunek zysków i strat'!I7</f>
        <v>4.199249904978805E-3</v>
      </c>
      <c r="E29" s="117">
        <f>'Rachunek przepływów pieniężnych'!E17/'Rachunek zysków i strat'!J7</f>
        <v>0.1145624843544165</v>
      </c>
      <c r="F29" s="190">
        <f>'Rachunek przepływów pieniężnych'!F17/'Rachunek zysków i strat'!K7</f>
        <v>0.11829363437154429</v>
      </c>
      <c r="H29" t="s">
        <v>189</v>
      </c>
    </row>
    <row r="30" spans="3:8" ht="15.75" x14ac:dyDescent="0.25">
      <c r="C30" s="140" t="s">
        <v>111</v>
      </c>
      <c r="D30" s="117">
        <f>'Rachunek przepływów pieniężnych'!D17/Bilans!D19</f>
        <v>6.0224742714907759E-3</v>
      </c>
      <c r="E30" s="117">
        <f>'Rachunek przepływów pieniężnych'!E17/Bilans!E19</f>
        <v>0.17368487032021968</v>
      </c>
      <c r="F30" s="190">
        <f>'Rachunek przepływów pieniężnych'!F17/Bilans!F19</f>
        <v>0.12483801543310198</v>
      </c>
      <c r="G30" s="196"/>
      <c r="H30" t="s">
        <v>243</v>
      </c>
    </row>
    <row r="31" spans="3:8" ht="16.5" thickBot="1" x14ac:dyDescent="0.3">
      <c r="C31" s="139" t="s">
        <v>112</v>
      </c>
      <c r="D31" s="118">
        <f>'Rachunek przepływów pieniężnych'!D17/'Rachunek zysków i strat'!I19</f>
        <v>4.1564681352551897E-2</v>
      </c>
      <c r="E31" s="118">
        <f>'Rachunek przepływów pieniężnych'!E17/'Rachunek zysków i strat'!J19</f>
        <v>0.99849938790822568</v>
      </c>
      <c r="F31" s="191">
        <f>'Rachunek przepływów pieniężnych'!F17/'Rachunek zysków i strat'!K19</f>
        <v>0.69991650744207701</v>
      </c>
      <c r="G31" s="196"/>
      <c r="H31" t="s">
        <v>244</v>
      </c>
    </row>
    <row r="32" spans="3:8" ht="15.75" thickBot="1" x14ac:dyDescent="0.3">
      <c r="C32" s="67"/>
    </row>
    <row r="33" spans="3:8" ht="16.5" thickBot="1" x14ac:dyDescent="0.3">
      <c r="C33" s="112" t="s">
        <v>163</v>
      </c>
      <c r="D33" s="113">
        <v>2021</v>
      </c>
      <c r="E33" s="113">
        <v>2022</v>
      </c>
      <c r="F33" s="114">
        <v>2023</v>
      </c>
    </row>
    <row r="34" spans="3:8" ht="15.75" x14ac:dyDescent="0.25">
      <c r="C34" s="137" t="s">
        <v>164</v>
      </c>
      <c r="D34" s="115"/>
      <c r="E34" s="115"/>
      <c r="F34" s="120"/>
    </row>
    <row r="35" spans="3:8" ht="15.75" x14ac:dyDescent="0.25">
      <c r="C35" s="138" t="s">
        <v>113</v>
      </c>
      <c r="D35" s="130">
        <f>Bilans!D5/Bilans!D19</f>
        <v>0.29935703355378523</v>
      </c>
      <c r="E35" s="130">
        <f>Bilans!E5/Bilans!E19</f>
        <v>0.22456248207597554</v>
      </c>
      <c r="F35" s="188">
        <f>Bilans!F5/Bilans!F19</f>
        <v>0.18170050503387178</v>
      </c>
      <c r="H35" t="s">
        <v>174</v>
      </c>
    </row>
    <row r="36" spans="3:8" ht="15.75" x14ac:dyDescent="0.25">
      <c r="C36" s="138" t="s">
        <v>114</v>
      </c>
      <c r="D36" s="130">
        <f>Bilans!D11/Bilans!D19</f>
        <v>0.70064296644621482</v>
      </c>
      <c r="E36" s="130">
        <f>Bilans!E11/Bilans!E19</f>
        <v>0.77543751792402449</v>
      </c>
      <c r="F36" s="188">
        <f>Bilans!F11/Bilans!F19</f>
        <v>0.81829949496612819</v>
      </c>
      <c r="H36" t="s">
        <v>175</v>
      </c>
    </row>
    <row r="37" spans="3:8" ht="15.75" x14ac:dyDescent="0.25">
      <c r="C37" s="138" t="s">
        <v>115</v>
      </c>
      <c r="D37" s="130">
        <f>Bilans!D9/Bilans!D19</f>
        <v>3.3122513895912555E-3</v>
      </c>
      <c r="E37" s="130">
        <f>Bilans!E9/Bilans!E19</f>
        <v>2.2753851411339834E-3</v>
      </c>
      <c r="F37" s="188">
        <f>Bilans!F9/Bilans!F19</f>
        <v>1.5908495365630491E-3</v>
      </c>
      <c r="H37" t="s">
        <v>190</v>
      </c>
    </row>
    <row r="38" spans="3:8" ht="15.75" x14ac:dyDescent="0.25">
      <c r="C38" s="138" t="s">
        <v>116</v>
      </c>
      <c r="D38" s="130">
        <f>Bilans!D6/Bilans!D19</f>
        <v>0.24863996287126003</v>
      </c>
      <c r="E38" s="130">
        <f>Bilans!E6/Bilans!E19</f>
        <v>0.20214006412292918</v>
      </c>
      <c r="F38" s="188">
        <f>Bilans!F6/Bilans!F19</f>
        <v>0.16272199940146256</v>
      </c>
      <c r="H38" t="s">
        <v>191</v>
      </c>
    </row>
    <row r="39" spans="3:8" ht="15.75" x14ac:dyDescent="0.25">
      <c r="C39" s="138" t="s">
        <v>117</v>
      </c>
      <c r="D39" s="130">
        <f>Bilans!D12/Bilans!D19</f>
        <v>0.25639846843947645</v>
      </c>
      <c r="E39" s="130">
        <f>Bilans!E12/Bilans!E19</f>
        <v>0.20484820175882978</v>
      </c>
      <c r="F39" s="188">
        <f>Bilans!F12/Bilans!F19</f>
        <v>0.22472074218643726</v>
      </c>
      <c r="H39" t="s">
        <v>192</v>
      </c>
    </row>
    <row r="40" spans="3:8" ht="16.5" thickBot="1" x14ac:dyDescent="0.3">
      <c r="C40" s="139" t="s">
        <v>118</v>
      </c>
      <c r="D40" s="133">
        <f>Bilans!D13/Bilans!D19</f>
        <v>0.37844825510246527</v>
      </c>
      <c r="E40" s="133">
        <f>Bilans!E13/Bilans!E19</f>
        <v>0.35162170562870182</v>
      </c>
      <c r="F40" s="189">
        <f>Bilans!F13/Bilans!F19</f>
        <v>0.24972328382273554</v>
      </c>
      <c r="H40" t="s">
        <v>193</v>
      </c>
    </row>
    <row r="41" spans="3:8" ht="15.75" thickBot="1" x14ac:dyDescent="0.3">
      <c r="C41" s="67"/>
    </row>
    <row r="42" spans="3:8" ht="16.5" thickBot="1" x14ac:dyDescent="0.3">
      <c r="C42" s="112" t="s">
        <v>163</v>
      </c>
      <c r="D42" s="113">
        <v>2021</v>
      </c>
      <c r="E42" s="113">
        <v>2022</v>
      </c>
      <c r="F42" s="114">
        <v>2023</v>
      </c>
    </row>
    <row r="43" spans="3:8" ht="15.75" x14ac:dyDescent="0.25">
      <c r="C43" s="137" t="s">
        <v>119</v>
      </c>
      <c r="D43" s="119"/>
      <c r="E43" s="119"/>
      <c r="F43" s="120"/>
    </row>
    <row r="44" spans="3:8" ht="15.75" x14ac:dyDescent="0.25">
      <c r="C44" s="138" t="s">
        <v>120</v>
      </c>
      <c r="D44" s="130">
        <f>Bilans!D22/Bilans!D39</f>
        <v>0.80427505916298336</v>
      </c>
      <c r="E44" s="130">
        <f>Bilans!E22/Bilans!E39</f>
        <v>0.80180794375591391</v>
      </c>
      <c r="F44" s="188">
        <f>Bilans!F22/Bilans!F39</f>
        <v>0.86226908697264626</v>
      </c>
      <c r="H44" t="s">
        <v>184</v>
      </c>
    </row>
    <row r="45" spans="3:8" ht="15.75" x14ac:dyDescent="0.25">
      <c r="C45" s="138" t="s">
        <v>121</v>
      </c>
      <c r="D45" s="130">
        <f>Bilans!D26/Bilans!D39</f>
        <v>7.6330647191591744E-2</v>
      </c>
      <c r="E45" s="130">
        <f>Bilans!E26/Bilans!E39</f>
        <v>5.6120442575289489E-2</v>
      </c>
      <c r="F45" s="188">
        <f>Bilans!F26/Bilans!F39</f>
        <v>5.253096858537535E-2</v>
      </c>
      <c r="H45" t="s">
        <v>185</v>
      </c>
    </row>
    <row r="46" spans="3:8" ht="15.75" x14ac:dyDescent="0.25">
      <c r="C46" s="138" t="s">
        <v>122</v>
      </c>
      <c r="D46" s="130">
        <f>(Bilans!D22+Bilans!D26)/Bilans!D39</f>
        <v>0.88060570635457514</v>
      </c>
      <c r="E46" s="130">
        <f>(Bilans!E22+Bilans!E26)/Bilans!E39</f>
        <v>0.85792838633120339</v>
      </c>
      <c r="F46" s="188">
        <f>(Bilans!F22+Bilans!F26)/Bilans!F39</f>
        <v>0.91480005555802157</v>
      </c>
      <c r="H46" t="s">
        <v>194</v>
      </c>
    </row>
    <row r="47" spans="3:8" ht="15.75" x14ac:dyDescent="0.25">
      <c r="C47" s="138" t="s">
        <v>123</v>
      </c>
      <c r="D47" s="130">
        <f>Bilans!D27/Bilans!D39</f>
        <v>3.8247418392299289E-2</v>
      </c>
      <c r="E47" s="130">
        <f>Bilans!E27/Bilans!E39</f>
        <v>3.0285805546444475E-2</v>
      </c>
      <c r="F47" s="188">
        <f>Bilans!F27/Bilans!F39</f>
        <v>2.6216799428382415E-2</v>
      </c>
      <c r="H47" t="s">
        <v>220</v>
      </c>
    </row>
    <row r="48" spans="3:8" ht="15.75" x14ac:dyDescent="0.25">
      <c r="C48" s="138" t="s">
        <v>124</v>
      </c>
      <c r="D48" s="130">
        <f>Bilans!D26/Bilans!D39</f>
        <v>7.6330647191591744E-2</v>
      </c>
      <c r="E48" s="130">
        <f>Bilans!E26/Bilans!E39</f>
        <v>5.6120442575289489E-2</v>
      </c>
      <c r="F48" s="188">
        <f>Bilans!F26/Bilans!F39</f>
        <v>5.253096858537535E-2</v>
      </c>
      <c r="H48" t="s">
        <v>195</v>
      </c>
    </row>
    <row r="49" spans="3:8" ht="16.5" thickBot="1" x14ac:dyDescent="0.3">
      <c r="C49" s="139" t="s">
        <v>125</v>
      </c>
      <c r="D49" s="133">
        <f>Bilans!D31/Bilans!D39</f>
        <v>0.11939429364542491</v>
      </c>
      <c r="E49" s="133">
        <f>Bilans!E31/Bilans!E39</f>
        <v>0.14207161366879664</v>
      </c>
      <c r="F49" s="189">
        <f>Bilans!F31/Bilans!F39</f>
        <v>8.5199944441978384E-2</v>
      </c>
      <c r="H49" t="s">
        <v>196</v>
      </c>
    </row>
    <row r="50" spans="3:8" ht="15.75" thickBot="1" x14ac:dyDescent="0.3">
      <c r="C50" s="67"/>
    </row>
    <row r="51" spans="3:8" ht="16.5" thickBot="1" x14ac:dyDescent="0.3">
      <c r="C51" s="112" t="s">
        <v>163</v>
      </c>
      <c r="D51" s="113">
        <v>2021</v>
      </c>
      <c r="E51" s="113">
        <v>2022</v>
      </c>
      <c r="F51" s="114">
        <v>2023</v>
      </c>
    </row>
    <row r="52" spans="3:8" ht="15.75" x14ac:dyDescent="0.25">
      <c r="C52" s="137" t="s">
        <v>126</v>
      </c>
      <c r="D52" s="119"/>
      <c r="E52" s="119"/>
      <c r="F52" s="120"/>
    </row>
    <row r="53" spans="3:8" ht="15.75" x14ac:dyDescent="0.25">
      <c r="C53" s="138" t="s">
        <v>127</v>
      </c>
      <c r="D53" s="130">
        <f>Bilans!D22/Bilans!D5</f>
        <v>2.6866750034736695</v>
      </c>
      <c r="E53" s="130">
        <f>Bilans!E22/Bilans!E5</f>
        <v>3.5705338502833284</v>
      </c>
      <c r="F53" s="188">
        <f>Bilans!F22/Bilans!F5</f>
        <v>4.7455514051097767</v>
      </c>
      <c r="H53" t="s">
        <v>183</v>
      </c>
    </row>
    <row r="54" spans="3:8" ht="15.75" x14ac:dyDescent="0.25">
      <c r="C54" s="138" t="s">
        <v>128</v>
      </c>
      <c r="D54" s="130">
        <f>(Bilans!D22+Bilans!D26)/Bilans!D5</f>
        <v>2.9416569769567729</v>
      </c>
      <c r="E54" s="130">
        <f>(Bilans!E22+Bilans!E26)/Bilans!E5</f>
        <v>3.8204439958093404</v>
      </c>
      <c r="F54" s="188">
        <f>(Bilans!F22+Bilans!F26)/Bilans!F5</f>
        <v>5.0346588491181619</v>
      </c>
      <c r="H54" t="s">
        <v>197</v>
      </c>
    </row>
    <row r="55" spans="3:8" ht="16.5" thickBot="1" x14ac:dyDescent="0.3">
      <c r="C55" s="139" t="s">
        <v>129</v>
      </c>
      <c r="D55" s="133">
        <f>Bilans!D31/Bilans!D11</f>
        <v>0.17040675402910832</v>
      </c>
      <c r="E55" s="133">
        <f>Bilans!E31/Bilans!E11</f>
        <v>0.1832147792502303</v>
      </c>
      <c r="F55" s="189">
        <f>Bilans!F31/Bilans!F11</f>
        <v>0.1041182903889059</v>
      </c>
      <c r="G55" s="196"/>
      <c r="H55" t="s">
        <v>247</v>
      </c>
    </row>
    <row r="56" spans="3:8" ht="15.75" thickBot="1" x14ac:dyDescent="0.3">
      <c r="C56" s="67"/>
    </row>
    <row r="57" spans="3:8" ht="16.5" thickBot="1" x14ac:dyDescent="0.3">
      <c r="C57" s="112" t="s">
        <v>163</v>
      </c>
      <c r="D57" s="113">
        <v>2021</v>
      </c>
      <c r="E57" s="113">
        <v>2022</v>
      </c>
      <c r="F57" s="114">
        <v>2023</v>
      </c>
    </row>
    <row r="58" spans="3:8" ht="15.75" x14ac:dyDescent="0.25">
      <c r="C58" s="137" t="s">
        <v>130</v>
      </c>
      <c r="D58" s="115"/>
      <c r="E58" s="115"/>
      <c r="F58" s="116"/>
    </row>
    <row r="59" spans="3:8" ht="15.75" x14ac:dyDescent="0.25">
      <c r="C59" s="138" t="s">
        <v>131</v>
      </c>
      <c r="D59" s="125">
        <f>Bilans!D38/Bilans!D19</f>
        <v>0.19572494083701666</v>
      </c>
      <c r="E59" s="125">
        <f>Bilans!E38/Bilans!E19</f>
        <v>0.19819205624408615</v>
      </c>
      <c r="F59" s="184">
        <f>Bilans!F38/Bilans!F19</f>
        <v>0.13773091302735374</v>
      </c>
      <c r="H59" t="s">
        <v>198</v>
      </c>
    </row>
    <row r="60" spans="3:8" ht="15.75" x14ac:dyDescent="0.25">
      <c r="C60" s="138" t="s">
        <v>132</v>
      </c>
      <c r="D60" s="125">
        <f>Bilans!D22/Bilans!D19</f>
        <v>0.80427505916298336</v>
      </c>
      <c r="E60" s="125">
        <f>Bilans!E22/Bilans!E19</f>
        <v>0.80180794375591391</v>
      </c>
      <c r="F60" s="184">
        <f>Bilans!F22/Bilans!F19</f>
        <v>0.86226908697264626</v>
      </c>
      <c r="H60" t="s">
        <v>199</v>
      </c>
    </row>
    <row r="61" spans="3:8" ht="15.75" x14ac:dyDescent="0.25">
      <c r="C61" s="138" t="s">
        <v>133</v>
      </c>
      <c r="D61" s="124">
        <f>Bilans!D19/Bilans!D22</f>
        <v>1.243355725888988</v>
      </c>
      <c r="E61" s="124">
        <f>Bilans!E19/Bilans!E22</f>
        <v>1.2471814575890754</v>
      </c>
      <c r="F61" s="186">
        <f>Bilans!F19/Bilans!F22</f>
        <v>1.1597307790667937</v>
      </c>
      <c r="H61" t="s">
        <v>200</v>
      </c>
    </row>
    <row r="62" spans="3:8" ht="15.75" x14ac:dyDescent="0.25">
      <c r="C62" s="138" t="s">
        <v>134</v>
      </c>
      <c r="D62" s="123">
        <f>Bilans!D26/Bilans!D19</f>
        <v>7.6330647191591744E-2</v>
      </c>
      <c r="E62" s="123">
        <f>Bilans!E26/Bilans!E19</f>
        <v>5.6120442575289489E-2</v>
      </c>
      <c r="F62" s="183">
        <f>Bilans!F26/Bilans!F19</f>
        <v>5.253096858537535E-2</v>
      </c>
      <c r="H62" t="s">
        <v>201</v>
      </c>
    </row>
    <row r="63" spans="3:8" ht="15.75" x14ac:dyDescent="0.25">
      <c r="C63" s="138" t="s">
        <v>135</v>
      </c>
      <c r="D63" s="124">
        <f>Bilans!D26/Bilans!D38</f>
        <v>0.38998937419607405</v>
      </c>
      <c r="E63" s="124">
        <f>Bilans!E26/Bilans!E38</f>
        <v>0.28316191697498505</v>
      </c>
      <c r="F63" s="186">
        <f>Bilans!F26/Bilans!F38</f>
        <v>0.38140289228274094</v>
      </c>
      <c r="G63" s="196"/>
      <c r="H63" t="s">
        <v>221</v>
      </c>
    </row>
    <row r="64" spans="3:8" ht="15.75" x14ac:dyDescent="0.25">
      <c r="C64" s="138" t="s">
        <v>136</v>
      </c>
      <c r="D64" s="124">
        <f>Bilans!D31/Bilans!D38</f>
        <v>0.61001062580392595</v>
      </c>
      <c r="E64" s="124">
        <f>Bilans!E31/Bilans!E38</f>
        <v>0.71683808302501495</v>
      </c>
      <c r="F64" s="186">
        <f>Bilans!F31/Bilans!F38</f>
        <v>0.61859710771725906</v>
      </c>
      <c r="G64" s="196"/>
      <c r="H64" t="s">
        <v>222</v>
      </c>
    </row>
    <row r="65" spans="3:8" ht="15.75" x14ac:dyDescent="0.25">
      <c r="C65" s="138" t="s">
        <v>137</v>
      </c>
      <c r="D65" s="124">
        <f>Bilans!D26/Bilans!D5</f>
        <v>0.25498197348310336</v>
      </c>
      <c r="E65" s="124">
        <f>Bilans!E26/Bilans!E5</f>
        <v>0.2499101455260119</v>
      </c>
      <c r="F65" s="186">
        <f>Bilans!F26/Bilans!F5</f>
        <v>0.28910744400838495</v>
      </c>
      <c r="H65" t="s">
        <v>202</v>
      </c>
    </row>
    <row r="66" spans="3:8" ht="15.75" x14ac:dyDescent="0.25">
      <c r="C66" s="138" t="s">
        <v>138</v>
      </c>
      <c r="D66" s="124">
        <f>Bilans!D5/Bilans!D26</f>
        <v>3.921845871454384</v>
      </c>
      <c r="E66" s="124">
        <f>Bilans!E5/Bilans!E26</f>
        <v>4.0014381884944923</v>
      </c>
      <c r="F66" s="186">
        <f>Bilans!F5/Bilans!F26</f>
        <v>3.4589216594886332</v>
      </c>
      <c r="H66" t="s">
        <v>203</v>
      </c>
    </row>
    <row r="67" spans="3:8" ht="15.75" x14ac:dyDescent="0.25">
      <c r="C67" s="138" t="s">
        <v>139</v>
      </c>
      <c r="D67" s="123">
        <f>Bilans!D38/Bilans!D22</f>
        <v>0.2433557258889881</v>
      </c>
      <c r="E67" s="123">
        <f>Bilans!E38/Bilans!E22</f>
        <v>0.24718145758907537</v>
      </c>
      <c r="F67" s="183">
        <f>Bilans!F38/Bilans!F22</f>
        <v>0.15973077906679375</v>
      </c>
      <c r="H67" t="s">
        <v>204</v>
      </c>
    </row>
    <row r="68" spans="3:8" ht="16.5" thickBot="1" x14ac:dyDescent="0.3">
      <c r="C68" s="139" t="s">
        <v>140</v>
      </c>
      <c r="D68" s="126">
        <f>Bilans!D22/Bilans!D38</f>
        <v>4.1092108942452885</v>
      </c>
      <c r="E68" s="126">
        <f>Bilans!E22/Bilans!E38</f>
        <v>4.0456109036400347</v>
      </c>
      <c r="F68" s="187">
        <f>Bilans!F22/Bilans!F38</f>
        <v>6.2605341678189363</v>
      </c>
      <c r="G68" s="196"/>
      <c r="H68" t="s">
        <v>245</v>
      </c>
    </row>
    <row r="69" spans="3:8" ht="15.75" thickBot="1" x14ac:dyDescent="0.3">
      <c r="C69" s="67"/>
    </row>
    <row r="70" spans="3:8" ht="16.5" thickBot="1" x14ac:dyDescent="0.3">
      <c r="C70" s="112" t="s">
        <v>163</v>
      </c>
      <c r="D70" s="113">
        <v>2021</v>
      </c>
      <c r="E70" s="113">
        <v>2022</v>
      </c>
      <c r="F70" s="114">
        <v>2023</v>
      </c>
    </row>
    <row r="71" spans="3:8" ht="15.75" x14ac:dyDescent="0.25">
      <c r="C71" s="137" t="s">
        <v>141</v>
      </c>
      <c r="D71" s="115"/>
      <c r="E71" s="115"/>
      <c r="F71" s="116"/>
    </row>
    <row r="72" spans="3:8" ht="18" x14ac:dyDescent="0.4">
      <c r="C72" s="138" t="s">
        <v>142</v>
      </c>
      <c r="D72" s="127">
        <f>'Rachunek zysków i strat'!I7/Bilans!D19</f>
        <v>1.4341785813581325</v>
      </c>
      <c r="E72" s="127">
        <f>'Rachunek zysków i strat'!J7/Bilans!E19</f>
        <v>1.5160710881836243</v>
      </c>
      <c r="F72" s="181">
        <f>'Rachunek zysków i strat'!K7/Bilans!F19</f>
        <v>1.0553231887440593</v>
      </c>
      <c r="H72" t="s">
        <v>180</v>
      </c>
    </row>
    <row r="73" spans="3:8" ht="15.75" x14ac:dyDescent="0.25">
      <c r="C73" s="141" t="s">
        <v>143</v>
      </c>
      <c r="D73" s="197">
        <f>'Rachunek zysków i strat'!I7/Bilans!D5</f>
        <v>4.7908631520443459</v>
      </c>
      <c r="E73" s="197">
        <f>'Rachunek zysków i strat'!J7/Bilans!E5</f>
        <v>6.7512216384867738</v>
      </c>
      <c r="F73" s="198">
        <f>'Rachunek zysków i strat'!K7/Bilans!F5</f>
        <v>5.8080366289974306</v>
      </c>
      <c r="H73" t="s">
        <v>205</v>
      </c>
    </row>
    <row r="74" spans="3:8" ht="15.75" x14ac:dyDescent="0.25">
      <c r="C74" s="138" t="s">
        <v>144</v>
      </c>
      <c r="D74" s="128">
        <f>'Rachunek zysków i strat'!I7/Bilans!D11</f>
        <v>2.0469463764583842</v>
      </c>
      <c r="E74" s="128">
        <f>'Rachunek zysków i strat'!J7/Bilans!E11</f>
        <v>1.9551170186379421</v>
      </c>
      <c r="F74" s="182">
        <f>'Rachunek zysków i strat'!K7/Bilans!F11</f>
        <v>1.2896539656152937</v>
      </c>
      <c r="H74" t="s">
        <v>206</v>
      </c>
    </row>
    <row r="75" spans="3:8" ht="15.75" x14ac:dyDescent="0.25">
      <c r="C75" s="138" t="s">
        <v>145</v>
      </c>
      <c r="D75" s="123">
        <f>'Rachunek zysków i strat'!I7/(Bilans!D12)</f>
        <v>5.5935536202185796</v>
      </c>
      <c r="E75" s="123">
        <f>'Rachunek zysków i strat'!J7/((Bilans!D12+Bilans!E12)/2)</f>
        <v>7.4687889952497173</v>
      </c>
      <c r="F75" s="183">
        <f>'Rachunek zysków i strat'!K7/((Bilans!E12+Bilans!F12)/2)</f>
        <v>5.3362657254050143</v>
      </c>
      <c r="H75" t="s">
        <v>181</v>
      </c>
    </row>
    <row r="76" spans="3:8" ht="15.75" x14ac:dyDescent="0.25">
      <c r="C76" s="138" t="s">
        <v>146</v>
      </c>
      <c r="D76" s="123">
        <f>(Bilans!D12)*365/'Rachunek zysków i strat'!I7</f>
        <v>65.253687509254078</v>
      </c>
      <c r="E76" s="123">
        <f>((Bilans!D12+Bilans!E12)/2)*365/'Rachunek zysków i strat'!J7</f>
        <v>48.870037730634309</v>
      </c>
      <c r="F76" s="183">
        <f>((Bilans!E12+Bilans!F12)/2)*365/'Rachunek zysków i strat'!K7</f>
        <v>68.399892130989613</v>
      </c>
      <c r="H76" t="s">
        <v>209</v>
      </c>
    </row>
    <row r="77" spans="3:8" ht="15.75" x14ac:dyDescent="0.25">
      <c r="C77" s="138" t="s">
        <v>147</v>
      </c>
      <c r="D77" s="125">
        <f>'Rachunek zysków i strat'!I7/(Bilans!D13)</f>
        <v>3.7896292611253477</v>
      </c>
      <c r="E77" s="125">
        <f>'Rachunek zysków i strat'!J7/((Bilans!D13+Bilans!E13)/2)</f>
        <v>4.6757090991904713</v>
      </c>
      <c r="F77" s="184">
        <f>'Rachunek zysków i strat'!K7/((Bilans!E13+Bilans!F13)/2)</f>
        <v>3.8876185201302897</v>
      </c>
      <c r="G77" s="196"/>
      <c r="H77" t="s">
        <v>246</v>
      </c>
    </row>
    <row r="78" spans="3:8" ht="15.75" x14ac:dyDescent="0.25">
      <c r="C78" s="138" t="s">
        <v>148</v>
      </c>
      <c r="D78" s="125">
        <f>(Bilans!D13*365)/'Rachunek zysków i strat'!I7</f>
        <v>96.315490210145668</v>
      </c>
      <c r="E78" s="125">
        <f>((Bilans!D13+Bilans!E13)/2*365)/'Rachunek zysków i strat'!J7</f>
        <v>78.063025790717873</v>
      </c>
      <c r="F78" s="184">
        <f>((Bilans!E13+Bilans!F13)/2*365)/'Rachunek zysków i strat'!K7</f>
        <v>93.887812837090664</v>
      </c>
      <c r="H78" t="s">
        <v>182</v>
      </c>
    </row>
    <row r="79" spans="3:8" ht="15.75" x14ac:dyDescent="0.25">
      <c r="C79" s="138" t="s">
        <v>149</v>
      </c>
      <c r="D79" s="123">
        <f>'Rachunek zysków i strat'!I7/Bilans!D31</f>
        <v>12.01211998973193</v>
      </c>
      <c r="E79" s="123">
        <f>'Rachunek zysków i strat'!J7/(Bilans!D31+Bilans!E31)/2</f>
        <v>3.2157187711719324</v>
      </c>
      <c r="F79" s="183">
        <f>'Rachunek zysków i strat'!K7/(Bilans!E31+Bilans!F31)/2</f>
        <v>2.5908550818381237</v>
      </c>
      <c r="H79" t="s">
        <v>208</v>
      </c>
    </row>
    <row r="80" spans="3:8" ht="16.5" thickBot="1" x14ac:dyDescent="0.3">
      <c r="C80" s="139" t="s">
        <v>150</v>
      </c>
      <c r="D80" s="129">
        <f>(Bilans!D31*365)/'Rachunek zysków i strat'!I7</f>
        <v>30.385976856042507</v>
      </c>
      <c r="E80" s="129">
        <f>((Bilans!D31+Bilans!E31)/2*365)/'Rachunek zysków i strat'!J7</f>
        <v>28.376237629369861</v>
      </c>
      <c r="F80" s="185">
        <f>((Bilans!E31+Bilans!F31)/2*365)/'Rachunek zysków i strat'!K7</f>
        <v>35.22003242854526</v>
      </c>
      <c r="H80" t="s">
        <v>207</v>
      </c>
    </row>
    <row r="82" spans="3:8" ht="15.75" thickBot="1" x14ac:dyDescent="0.3"/>
    <row r="83" spans="3:8" ht="15.75" x14ac:dyDescent="0.25">
      <c r="C83" s="179" t="s">
        <v>163</v>
      </c>
      <c r="D83" s="174">
        <v>2021</v>
      </c>
      <c r="E83" s="174">
        <v>2022</v>
      </c>
      <c r="F83" s="175">
        <v>2023</v>
      </c>
    </row>
    <row r="84" spans="3:8" ht="15.75" x14ac:dyDescent="0.25">
      <c r="C84" s="180" t="s">
        <v>211</v>
      </c>
      <c r="D84" s="199">
        <f>Bilans!D22/Bilans!D38</f>
        <v>4.1092108942452885</v>
      </c>
      <c r="E84" s="199">
        <f>Bilans!E22/Bilans!E38</f>
        <v>4.0456109036400347</v>
      </c>
      <c r="F84" s="200">
        <f>Bilans!F22/Bilans!F38</f>
        <v>6.2605341678189363</v>
      </c>
      <c r="H84" t="s">
        <v>216</v>
      </c>
    </row>
    <row r="85" spans="3:8" ht="15.75" x14ac:dyDescent="0.25">
      <c r="C85" s="176" t="s">
        <v>212</v>
      </c>
      <c r="D85" s="199">
        <f>(Bilans!D22+Bilans!D26)/Bilans!D38</f>
        <v>4.4992002684413626</v>
      </c>
      <c r="E85" s="199">
        <f>(Bilans!E22+Bilans!E26)/Bilans!E38</f>
        <v>4.3287728206150193</v>
      </c>
      <c r="F85" s="200">
        <f>(Bilans!F22+Bilans!F26)/Bilans!F38</f>
        <v>6.6419370601016769</v>
      </c>
      <c r="H85" t="s">
        <v>217</v>
      </c>
    </row>
    <row r="86" spans="3:8" ht="15.75" x14ac:dyDescent="0.25">
      <c r="C86" s="177" t="s">
        <v>213</v>
      </c>
      <c r="D86" s="199">
        <f>Bilans!D22/Bilans!D5</f>
        <v>2.6866750034736695</v>
      </c>
      <c r="E86" s="199">
        <f>Bilans!E22/Bilans!E5</f>
        <v>3.5705338502833284</v>
      </c>
      <c r="F86" s="200">
        <f>Bilans!F22/Bilans!F5</f>
        <v>4.7455514051097767</v>
      </c>
      <c r="H86" t="s">
        <v>215</v>
      </c>
    </row>
    <row r="87" spans="3:8" ht="16.5" thickBot="1" x14ac:dyDescent="0.3">
      <c r="C87" s="178" t="s">
        <v>214</v>
      </c>
      <c r="D87" s="201">
        <f>(Bilans!D22+Bilans!D26)/Bilans!D5</f>
        <v>2.9416569769567729</v>
      </c>
      <c r="E87" s="201">
        <f>(Bilans!E22+Bilans!E26)/Bilans!E5</f>
        <v>3.8204439958093404</v>
      </c>
      <c r="F87" s="202">
        <f>(Bilans!F22+Bilans!F26)/Bilans!F5</f>
        <v>5.0346588491181619</v>
      </c>
      <c r="H87" t="s">
        <v>218</v>
      </c>
    </row>
  </sheetData>
  <mergeCells count="1">
    <mergeCell ref="H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260244-654C-42B0-8B64-D138A8E6FDAF}">
  <dimension ref="C2:I16"/>
  <sheetViews>
    <sheetView zoomScale="115" zoomScaleNormal="115" workbookViewId="0">
      <selection activeCell="C31" sqref="C31"/>
    </sheetView>
  </sheetViews>
  <sheetFormatPr defaultRowHeight="15" x14ac:dyDescent="0.25"/>
  <cols>
    <col min="3" max="3" width="75.7109375" bestFit="1" customWidth="1"/>
    <col min="6" max="6" width="15.85546875" customWidth="1"/>
    <col min="7" max="7" width="19" customWidth="1"/>
    <col min="8" max="8" width="9.140625" bestFit="1" customWidth="1"/>
    <col min="9" max="9" width="138.28515625" bestFit="1" customWidth="1"/>
  </cols>
  <sheetData>
    <row r="2" spans="3:9" x14ac:dyDescent="0.25">
      <c r="F2" s="262" t="s">
        <v>224</v>
      </c>
      <c r="G2" s="262"/>
    </row>
    <row r="3" spans="3:9" x14ac:dyDescent="0.25">
      <c r="C3" s="209" t="s">
        <v>241</v>
      </c>
      <c r="D3" s="210">
        <v>2021</v>
      </c>
      <c r="E3" s="210">
        <v>2022</v>
      </c>
      <c r="F3" s="210">
        <v>2021</v>
      </c>
      <c r="G3" s="210">
        <v>2022</v>
      </c>
    </row>
    <row r="4" spans="3:9" x14ac:dyDescent="0.25">
      <c r="C4" s="208" t="s">
        <v>151</v>
      </c>
      <c r="D4" s="203">
        <v>0.14489403203667339</v>
      </c>
      <c r="E4" s="203">
        <v>0.19495952297547511</v>
      </c>
      <c r="F4" s="204">
        <v>0.1943</v>
      </c>
      <c r="G4" s="161">
        <v>0.1583</v>
      </c>
      <c r="I4" t="s">
        <v>228</v>
      </c>
    </row>
    <row r="5" spans="3:9" x14ac:dyDescent="0.25">
      <c r="C5" s="208" t="s">
        <v>153</v>
      </c>
      <c r="D5" s="203">
        <v>0.18015482437994035</v>
      </c>
      <c r="E5" s="203">
        <v>0.24282145819449305</v>
      </c>
      <c r="F5" s="204">
        <v>0.32340000000000002</v>
      </c>
      <c r="G5" s="161">
        <v>0.25109999999999999</v>
      </c>
      <c r="I5" t="s">
        <v>229</v>
      </c>
    </row>
    <row r="6" spans="3:9" x14ac:dyDescent="0.25">
      <c r="C6" s="208" t="s">
        <v>225</v>
      </c>
      <c r="D6" s="205">
        <f>'Rachunek zysków i strat'!I19*100/'Rachunek zysków i strat'!I26</f>
        <v>10.070968173878112</v>
      </c>
      <c r="E6" s="205">
        <f>'Rachunek zysków i strat'!J19*100/'Rachunek zysków i strat'!J26</f>
        <v>11.372013207396771</v>
      </c>
      <c r="F6" s="17">
        <v>9.68</v>
      </c>
      <c r="G6" s="205">
        <v>8.76</v>
      </c>
      <c r="I6" t="s">
        <v>230</v>
      </c>
    </row>
    <row r="7" spans="3:9" x14ac:dyDescent="0.25">
      <c r="C7" s="208" t="s">
        <v>152</v>
      </c>
      <c r="D7" s="203">
        <v>0.10102928179241299</v>
      </c>
      <c r="E7" s="203">
        <v>0.11473465656740713</v>
      </c>
      <c r="F7" s="204">
        <v>0.1019</v>
      </c>
      <c r="G7" s="161">
        <v>9.4600000000000004E-2</v>
      </c>
      <c r="I7" t="s">
        <v>231</v>
      </c>
    </row>
    <row r="8" spans="3:9" x14ac:dyDescent="0.25">
      <c r="C8" s="208" t="s">
        <v>226</v>
      </c>
      <c r="D8" s="205">
        <f>('Rachunek przepływów pieniężnych'!D5+'Rachunek przepływów pieniężnych'!D7)*100/('Rachunek zysków i strat'!I13+'Rachunek zysków i strat'!I7)</f>
        <v>14.367213204608397</v>
      </c>
      <c r="E8" s="205">
        <f>('Rachunek przepływów pieniężnych'!E5+'Rachunek przepływów pieniężnych'!E7)*100/('Rachunek zysków i strat'!J13+'Rachunek zysków i strat'!J7)</f>
        <v>15.741774873405188</v>
      </c>
      <c r="F8" s="17">
        <v>15.82</v>
      </c>
      <c r="G8" s="205">
        <v>14.55</v>
      </c>
      <c r="I8" t="s">
        <v>232</v>
      </c>
    </row>
    <row r="9" spans="3:9" x14ac:dyDescent="0.25">
      <c r="C9" s="208" t="s">
        <v>102</v>
      </c>
      <c r="D9" s="203">
        <v>0.3763614360629286</v>
      </c>
      <c r="E9" s="203">
        <v>1.3318707618667731</v>
      </c>
      <c r="F9" s="206">
        <v>2.44</v>
      </c>
      <c r="G9" s="203">
        <v>2.96</v>
      </c>
      <c r="I9" t="s">
        <v>233</v>
      </c>
    </row>
    <row r="10" spans="3:9" x14ac:dyDescent="0.25">
      <c r="C10" s="208" t="s">
        <v>103</v>
      </c>
      <c r="D10" s="203">
        <v>0.55108364809857346</v>
      </c>
      <c r="E10" s="203">
        <v>1.5412481415672481</v>
      </c>
      <c r="F10" s="203">
        <v>2.12</v>
      </c>
      <c r="G10" s="203">
        <v>2.5099999999999998</v>
      </c>
      <c r="I10" t="s">
        <v>235</v>
      </c>
    </row>
    <row r="11" spans="3:9" x14ac:dyDescent="0.25">
      <c r="C11" s="208" t="s">
        <v>104</v>
      </c>
      <c r="D11" s="203">
        <v>5.8683120026403612</v>
      </c>
      <c r="E11" s="203">
        <v>5.4580749658531866</v>
      </c>
      <c r="F11" s="203">
        <v>1.1100000000000001</v>
      </c>
      <c r="G11" s="203">
        <v>1.22</v>
      </c>
      <c r="I11" t="s">
        <v>234</v>
      </c>
    </row>
    <row r="12" spans="3:9" x14ac:dyDescent="0.25">
      <c r="C12" s="208" t="s">
        <v>148</v>
      </c>
      <c r="D12" s="17">
        <v>96.315490210145668</v>
      </c>
      <c r="E12" s="17">
        <v>78.063025790717873</v>
      </c>
      <c r="F12" s="17">
        <v>39.61</v>
      </c>
      <c r="G12" s="207">
        <v>41.97</v>
      </c>
      <c r="I12" t="s">
        <v>236</v>
      </c>
    </row>
    <row r="13" spans="3:9" x14ac:dyDescent="0.25">
      <c r="C13" s="208" t="s">
        <v>227</v>
      </c>
      <c r="D13" s="17">
        <f>Bilans!D35*365/'Rachunek zysków i strat'!I7</f>
        <v>20.51657948122244</v>
      </c>
      <c r="E13" s="17">
        <f>Bilans!E35*365/'Rachunek zysków i strat'!J7</f>
        <v>18.441898108031268</v>
      </c>
      <c r="F13" s="17">
        <v>24.25</v>
      </c>
      <c r="G13" s="207">
        <v>26.24</v>
      </c>
      <c r="I13" t="s">
        <v>237</v>
      </c>
    </row>
    <row r="14" spans="3:9" x14ac:dyDescent="0.25">
      <c r="C14" s="208" t="s">
        <v>146</v>
      </c>
      <c r="D14" s="17">
        <v>65.253687509254078</v>
      </c>
      <c r="E14" s="17">
        <v>48.870037730634309</v>
      </c>
      <c r="F14" s="17">
        <v>7.75</v>
      </c>
      <c r="G14" s="207">
        <v>14.27</v>
      </c>
      <c r="I14" t="s">
        <v>238</v>
      </c>
    </row>
    <row r="15" spans="3:9" x14ac:dyDescent="0.25">
      <c r="C15" s="208" t="s">
        <v>132</v>
      </c>
      <c r="D15" s="17">
        <v>0.80427505916298336</v>
      </c>
      <c r="E15" s="17">
        <v>0.80180794375591391</v>
      </c>
      <c r="F15" s="17">
        <v>0.69</v>
      </c>
      <c r="G15" s="207">
        <v>0.7</v>
      </c>
      <c r="I15" t="s">
        <v>239</v>
      </c>
    </row>
    <row r="16" spans="3:9" x14ac:dyDescent="0.25">
      <c r="C16" s="208" t="s">
        <v>131</v>
      </c>
      <c r="D16" s="17">
        <f>0.195724940837017*100</f>
        <v>19.572494083701699</v>
      </c>
      <c r="E16" s="17">
        <f>0.198192056244086*100</f>
        <v>19.8192056244086</v>
      </c>
      <c r="F16" s="17">
        <v>41.73</v>
      </c>
      <c r="G16" s="207">
        <v>40.1</v>
      </c>
      <c r="I16" t="s">
        <v>240</v>
      </c>
    </row>
  </sheetData>
  <mergeCells count="1">
    <mergeCell ref="F2:G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D77CAB-EE36-4136-9725-34AE1758B164}">
  <dimension ref="A6:J30"/>
  <sheetViews>
    <sheetView workbookViewId="0">
      <selection activeCell="A31" sqref="A31"/>
    </sheetView>
  </sheetViews>
  <sheetFormatPr defaultRowHeight="15" x14ac:dyDescent="0.25"/>
  <sheetData>
    <row r="6" spans="1:10" x14ac:dyDescent="0.25">
      <c r="A6" s="264" t="s">
        <v>223</v>
      </c>
      <c r="B6" s="264"/>
      <c r="C6" s="264"/>
      <c r="D6" s="264"/>
      <c r="E6" s="264"/>
      <c r="F6" s="264"/>
      <c r="G6" s="264"/>
      <c r="H6" s="264"/>
      <c r="I6" s="264"/>
      <c r="J6" s="264"/>
    </row>
    <row r="7" spans="1:10" x14ac:dyDescent="0.25">
      <c r="A7" s="264"/>
      <c r="B7" s="264"/>
      <c r="C7" s="264"/>
      <c r="D7" s="264"/>
      <c r="E7" s="264"/>
      <c r="F7" s="264"/>
      <c r="G7" s="264"/>
      <c r="H7" s="264"/>
      <c r="I7" s="264"/>
      <c r="J7" s="264"/>
    </row>
    <row r="8" spans="1:10" x14ac:dyDescent="0.25">
      <c r="A8" s="264"/>
      <c r="B8" s="264"/>
      <c r="C8" s="264"/>
      <c r="D8" s="264"/>
      <c r="E8" s="264"/>
      <c r="F8" s="264"/>
      <c r="G8" s="264"/>
      <c r="H8" s="264"/>
      <c r="I8" s="264"/>
      <c r="J8" s="264"/>
    </row>
    <row r="9" spans="1:10" x14ac:dyDescent="0.25">
      <c r="A9" s="264"/>
      <c r="B9" s="264"/>
      <c r="C9" s="264"/>
      <c r="D9" s="264"/>
      <c r="E9" s="264"/>
      <c r="F9" s="264"/>
      <c r="G9" s="264"/>
      <c r="H9" s="264"/>
      <c r="I9" s="264"/>
      <c r="J9" s="264"/>
    </row>
    <row r="10" spans="1:10" x14ac:dyDescent="0.25">
      <c r="A10" s="263" t="s">
        <v>248</v>
      </c>
      <c r="B10" s="263"/>
      <c r="C10" s="263"/>
      <c r="D10" s="263"/>
      <c r="E10" s="263"/>
      <c r="F10" s="263"/>
      <c r="G10" s="263"/>
      <c r="H10" s="263"/>
      <c r="I10" s="263"/>
      <c r="J10" s="263"/>
    </row>
    <row r="11" spans="1:10" x14ac:dyDescent="0.25">
      <c r="A11" s="263"/>
      <c r="B11" s="263"/>
      <c r="C11" s="263"/>
      <c r="D11" s="263"/>
      <c r="E11" s="263"/>
      <c r="F11" s="263"/>
      <c r="G11" s="263"/>
      <c r="H11" s="263"/>
      <c r="I11" s="263"/>
      <c r="J11" s="263"/>
    </row>
    <row r="12" spans="1:10" x14ac:dyDescent="0.25">
      <c r="A12" s="263"/>
      <c r="B12" s="263"/>
      <c r="C12" s="263"/>
      <c r="D12" s="263"/>
      <c r="E12" s="263"/>
      <c r="F12" s="263"/>
      <c r="G12" s="263"/>
      <c r="H12" s="263"/>
      <c r="I12" s="263"/>
      <c r="J12" s="263"/>
    </row>
    <row r="13" spans="1:10" x14ac:dyDescent="0.25">
      <c r="A13" s="263"/>
      <c r="B13" s="263"/>
      <c r="C13" s="263"/>
      <c r="D13" s="263"/>
      <c r="E13" s="263"/>
      <c r="F13" s="263"/>
      <c r="G13" s="263"/>
      <c r="H13" s="263"/>
      <c r="I13" s="263"/>
      <c r="J13" s="263"/>
    </row>
    <row r="14" spans="1:10" x14ac:dyDescent="0.25">
      <c r="A14" s="263"/>
      <c r="B14" s="263"/>
      <c r="C14" s="263"/>
      <c r="D14" s="263"/>
      <c r="E14" s="263"/>
      <c r="F14" s="263"/>
      <c r="G14" s="263"/>
      <c r="H14" s="263"/>
      <c r="I14" s="263"/>
      <c r="J14" s="263"/>
    </row>
    <row r="15" spans="1:10" x14ac:dyDescent="0.25">
      <c r="A15" s="263"/>
      <c r="B15" s="263"/>
      <c r="C15" s="263"/>
      <c r="D15" s="263"/>
      <c r="E15" s="263"/>
      <c r="F15" s="263"/>
      <c r="G15" s="263"/>
      <c r="H15" s="263"/>
      <c r="I15" s="263"/>
      <c r="J15" s="263"/>
    </row>
    <row r="16" spans="1:10" x14ac:dyDescent="0.25">
      <c r="A16" s="263"/>
      <c r="B16" s="263"/>
      <c r="C16" s="263"/>
      <c r="D16" s="263"/>
      <c r="E16" s="263"/>
      <c r="F16" s="263"/>
      <c r="G16" s="263"/>
      <c r="H16" s="263"/>
      <c r="I16" s="263"/>
      <c r="J16" s="263"/>
    </row>
    <row r="17" spans="1:10" x14ac:dyDescent="0.25">
      <c r="A17" s="263"/>
      <c r="B17" s="263"/>
      <c r="C17" s="263"/>
      <c r="D17" s="263"/>
      <c r="E17" s="263"/>
      <c r="F17" s="263"/>
      <c r="G17" s="263"/>
      <c r="H17" s="263"/>
      <c r="I17" s="263"/>
      <c r="J17" s="263"/>
    </row>
    <row r="18" spans="1:10" x14ac:dyDescent="0.25">
      <c r="A18" s="263"/>
      <c r="B18" s="263"/>
      <c r="C18" s="263"/>
      <c r="D18" s="263"/>
      <c r="E18" s="263"/>
      <c r="F18" s="263"/>
      <c r="G18" s="263"/>
      <c r="H18" s="263"/>
      <c r="I18" s="263"/>
      <c r="J18" s="263"/>
    </row>
    <row r="19" spans="1:10" x14ac:dyDescent="0.25">
      <c r="A19" s="263"/>
      <c r="B19" s="263"/>
      <c r="C19" s="263"/>
      <c r="D19" s="263"/>
      <c r="E19" s="263"/>
      <c r="F19" s="263"/>
      <c r="G19" s="263"/>
      <c r="H19" s="263"/>
      <c r="I19" s="263"/>
      <c r="J19" s="263"/>
    </row>
    <row r="20" spans="1:10" x14ac:dyDescent="0.25">
      <c r="A20" s="263"/>
      <c r="B20" s="263"/>
      <c r="C20" s="263"/>
      <c r="D20" s="263"/>
      <c r="E20" s="263"/>
      <c r="F20" s="263"/>
      <c r="G20" s="263"/>
      <c r="H20" s="263"/>
      <c r="I20" s="263"/>
      <c r="J20" s="263"/>
    </row>
    <row r="21" spans="1:10" x14ac:dyDescent="0.25">
      <c r="A21" s="263"/>
      <c r="B21" s="263"/>
      <c r="C21" s="263"/>
      <c r="D21" s="263"/>
      <c r="E21" s="263"/>
      <c r="F21" s="263"/>
      <c r="G21" s="263"/>
      <c r="H21" s="263"/>
      <c r="I21" s="263"/>
      <c r="J21" s="263"/>
    </row>
    <row r="22" spans="1:10" x14ac:dyDescent="0.25">
      <c r="A22" s="263"/>
      <c r="B22" s="263"/>
      <c r="C22" s="263"/>
      <c r="D22" s="263"/>
      <c r="E22" s="263"/>
      <c r="F22" s="263"/>
      <c r="G22" s="263"/>
      <c r="H22" s="263"/>
      <c r="I22" s="263"/>
      <c r="J22" s="263"/>
    </row>
    <row r="23" spans="1:10" x14ac:dyDescent="0.25">
      <c r="A23" s="263"/>
      <c r="B23" s="263"/>
      <c r="C23" s="263"/>
      <c r="D23" s="263"/>
      <c r="E23" s="263"/>
      <c r="F23" s="263"/>
      <c r="G23" s="263"/>
      <c r="H23" s="263"/>
      <c r="I23" s="263"/>
      <c r="J23" s="263"/>
    </row>
    <row r="24" spans="1:10" x14ac:dyDescent="0.25">
      <c r="A24" s="263"/>
      <c r="B24" s="263"/>
      <c r="C24" s="263"/>
      <c r="D24" s="263"/>
      <c r="E24" s="263"/>
      <c r="F24" s="263"/>
      <c r="G24" s="263"/>
      <c r="H24" s="263"/>
      <c r="I24" s="263"/>
      <c r="J24" s="263"/>
    </row>
    <row r="25" spans="1:10" x14ac:dyDescent="0.25">
      <c r="A25" s="263"/>
      <c r="B25" s="263"/>
      <c r="C25" s="263"/>
      <c r="D25" s="263"/>
      <c r="E25" s="263"/>
      <c r="F25" s="263"/>
      <c r="G25" s="263"/>
      <c r="H25" s="263"/>
      <c r="I25" s="263"/>
      <c r="J25" s="263"/>
    </row>
    <row r="26" spans="1:10" x14ac:dyDescent="0.25">
      <c r="A26" s="263"/>
      <c r="B26" s="263"/>
      <c r="C26" s="263"/>
      <c r="D26" s="263"/>
      <c r="E26" s="263"/>
      <c r="F26" s="263"/>
      <c r="G26" s="263"/>
      <c r="H26" s="263"/>
      <c r="I26" s="263"/>
      <c r="J26" s="263"/>
    </row>
    <row r="27" spans="1:10" x14ac:dyDescent="0.25">
      <c r="A27" s="263"/>
      <c r="B27" s="263"/>
      <c r="C27" s="263"/>
      <c r="D27" s="263"/>
      <c r="E27" s="263"/>
      <c r="F27" s="263"/>
      <c r="G27" s="263"/>
      <c r="H27" s="263"/>
      <c r="I27" s="263"/>
      <c r="J27" s="263"/>
    </row>
    <row r="28" spans="1:10" x14ac:dyDescent="0.25">
      <c r="A28" s="263"/>
      <c r="B28" s="263"/>
      <c r="C28" s="263"/>
      <c r="D28" s="263"/>
      <c r="E28" s="263"/>
      <c r="F28" s="263"/>
      <c r="G28" s="263"/>
      <c r="H28" s="263"/>
      <c r="I28" s="263"/>
      <c r="J28" s="263"/>
    </row>
    <row r="29" spans="1:10" x14ac:dyDescent="0.25">
      <c r="A29" s="263"/>
      <c r="B29" s="263"/>
      <c r="C29" s="263"/>
      <c r="D29" s="263"/>
      <c r="E29" s="263"/>
      <c r="F29" s="263"/>
      <c r="G29" s="263"/>
      <c r="H29" s="263"/>
      <c r="I29" s="263"/>
      <c r="J29" s="263"/>
    </row>
    <row r="30" spans="1:10" x14ac:dyDescent="0.25">
      <c r="A30" s="263"/>
      <c r="B30" s="263"/>
      <c r="C30" s="263"/>
      <c r="D30" s="263"/>
      <c r="E30" s="263"/>
      <c r="F30" s="263"/>
      <c r="G30" s="263"/>
      <c r="H30" s="263"/>
      <c r="I30" s="263"/>
      <c r="J30" s="263"/>
    </row>
  </sheetData>
  <mergeCells count="2">
    <mergeCell ref="A10:J30"/>
    <mergeCell ref="A6:J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7</vt:i4>
      </vt:variant>
    </vt:vector>
  </HeadingPairs>
  <TitlesOfParts>
    <vt:vector size="7" baseType="lpstr">
      <vt:lpstr>Podstawowe dane</vt:lpstr>
      <vt:lpstr>Bilans</vt:lpstr>
      <vt:lpstr>Rachunek zysków i strat</vt:lpstr>
      <vt:lpstr>Rachunek przepływów pieniężnych</vt:lpstr>
      <vt:lpstr>Wskaźniki</vt:lpstr>
      <vt:lpstr>Wskaźniki sektorowe</vt:lpstr>
      <vt:lpstr>Wnioski ogólne</vt:lpstr>
    </vt:vector>
  </TitlesOfParts>
  <Company>HP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Kacper Urbański</dc:creator>
  <cp:lastModifiedBy>Bartosz T</cp:lastModifiedBy>
  <dcterms:created xsi:type="dcterms:W3CDTF">2025-01-03T16:17:21Z</dcterms:created>
  <dcterms:modified xsi:type="dcterms:W3CDTF">2025-01-14T10:11:47Z</dcterms:modified>
</cp:coreProperties>
</file>