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vin\Documents\"/>
    </mc:Choice>
  </mc:AlternateContent>
  <xr:revisionPtr revIDLastSave="0" documentId="13_ncr:1_{FFDB5AA9-556A-425B-B9CB-E279D09E9355}" xr6:coauthVersionLast="46" xr6:coauthVersionMax="46" xr10:uidLastSave="{00000000-0000-0000-0000-000000000000}"/>
  <bookViews>
    <workbookView xWindow="9830" yWindow="600" windowWidth="8720" windowHeight="9840" tabRatio="884" firstSheet="5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</workbook>
</file>

<file path=xl/calcChain.xml><?xml version="1.0" encoding="utf-8"?>
<calcChain xmlns="http://schemas.openxmlformats.org/spreadsheetml/2006/main">
  <c r="G31" i="31" l="1"/>
  <c r="H31" i="31"/>
  <c r="H35" i="31" s="1"/>
  <c r="I31" i="31"/>
  <c r="J31" i="31"/>
  <c r="J46" i="31" s="1"/>
  <c r="K31" i="31"/>
  <c r="L31" i="31"/>
  <c r="M31" i="31"/>
  <c r="N31" i="31"/>
  <c r="N46" i="31" s="1"/>
  <c r="O31" i="31"/>
  <c r="P31" i="31"/>
  <c r="Q31" i="31"/>
  <c r="R31" i="31"/>
  <c r="R46" i="31" s="1"/>
  <c r="S31" i="31"/>
  <c r="F31" i="31"/>
  <c r="F35" i="31" s="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F27" i="31"/>
  <c r="G58" i="31"/>
  <c r="H58" i="31"/>
  <c r="J58" i="31"/>
  <c r="L58" i="31"/>
  <c r="M58" i="31"/>
  <c r="N58" i="31"/>
  <c r="F58" i="31"/>
  <c r="M53" i="45"/>
  <c r="N53" i="45"/>
  <c r="K58" i="31" s="1"/>
  <c r="O53" i="45"/>
  <c r="P53" i="45"/>
  <c r="L53" i="45"/>
  <c r="I58" i="31" s="1"/>
  <c r="K46" i="31"/>
  <c r="L46" i="31"/>
  <c r="M46" i="31"/>
  <c r="O46" i="31"/>
  <c r="P46" i="31"/>
  <c r="Q46" i="31"/>
  <c r="S46" i="31"/>
  <c r="G35" i="31"/>
  <c r="M16" i="45"/>
  <c r="N16" i="45"/>
  <c r="O16" i="45"/>
  <c r="P16" i="45"/>
  <c r="L16" i="45"/>
  <c r="G59" i="31" l="1"/>
  <c r="H59" i="31"/>
  <c r="I59" i="31"/>
  <c r="J59" i="31"/>
  <c r="K59" i="31"/>
  <c r="L59" i="31"/>
  <c r="M59" i="31"/>
  <c r="N59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G53" i="31"/>
  <c r="H53" i="31"/>
  <c r="I53" i="31"/>
  <c r="J53" i="31"/>
  <c r="K53" i="31"/>
  <c r="L53" i="31"/>
  <c r="M53" i="31"/>
  <c r="N53" i="31"/>
  <c r="O53" i="31"/>
  <c r="P53" i="31"/>
  <c r="Q53" i="31"/>
  <c r="R53" i="31"/>
  <c r="S53" i="31"/>
  <c r="F59" i="31"/>
  <c r="F56" i="31"/>
  <c r="F53" i="31"/>
  <c r="J50" i="31"/>
  <c r="K50" i="31"/>
  <c r="L50" i="31"/>
  <c r="M50" i="31"/>
  <c r="N50" i="31"/>
  <c r="O50" i="31"/>
  <c r="P50" i="31"/>
  <c r="Q50" i="31"/>
  <c r="R50" i="31"/>
  <c r="S50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F49" i="31"/>
  <c r="F32" i="31"/>
  <c r="F42" i="45"/>
  <c r="F55" i="45"/>
  <c r="H29" i="31"/>
  <c r="G29" i="31"/>
  <c r="F36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F47" i="45"/>
  <c r="F51" i="45"/>
  <c r="F33" i="31"/>
  <c r="G28" i="31"/>
  <c r="H28" i="31"/>
  <c r="F28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G25" i="31"/>
  <c r="F45" i="45"/>
  <c r="H45" i="45"/>
  <c r="P22" i="45"/>
  <c r="L22" i="45"/>
  <c r="M22" i="45"/>
  <c r="N22" i="45"/>
  <c r="O22" i="45"/>
  <c r="M18" i="45"/>
  <c r="D24" i="12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O78" i="45"/>
  <c r="P78" i="45"/>
  <c r="L54" i="45"/>
  <c r="R76" i="45"/>
  <c r="M76" i="45"/>
  <c r="N76" i="45"/>
  <c r="Q50" i="45"/>
  <c r="K55" i="45"/>
  <c r="J55" i="45"/>
  <c r="I55" i="45"/>
  <c r="H55" i="45"/>
  <c r="G55" i="45"/>
  <c r="K54" i="45"/>
  <c r="J54" i="45"/>
  <c r="I54" i="45"/>
  <c r="H54" i="45"/>
  <c r="G54" i="45"/>
  <c r="F54" i="45"/>
  <c r="K51" i="45"/>
  <c r="J51" i="45"/>
  <c r="I51" i="45"/>
  <c r="H51" i="45"/>
  <c r="G51" i="45"/>
  <c r="K50" i="45"/>
  <c r="J50" i="45"/>
  <c r="I50" i="45"/>
  <c r="H50" i="45"/>
  <c r="G50" i="45"/>
  <c r="F50" i="45"/>
  <c r="R54" i="45" l="1"/>
  <c r="O58" i="31"/>
  <c r="O59" i="31" s="1"/>
  <c r="G125" i="3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O76" i="45"/>
  <c r="L78" i="45"/>
  <c r="H125" i="31"/>
  <c r="P50" i="45"/>
  <c r="N50" i="45"/>
  <c r="O54" i="45"/>
  <c r="O50" i="45"/>
  <c r="Q54" i="45"/>
  <c r="M54" i="45"/>
  <c r="N54" i="45"/>
  <c r="L50" i="45"/>
  <c r="M50" i="45"/>
  <c r="S54" i="45" l="1"/>
  <c r="P58" i="31"/>
  <c r="P59" i="31" s="1"/>
  <c r="T50" i="45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58" i="31" s="1"/>
  <c r="Q59" i="31" s="1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R58" i="31" s="1"/>
  <c r="R59" i="31" s="1"/>
  <c r="P24" i="40" l="1"/>
  <c r="R24" i="40"/>
  <c r="M124" i="31"/>
  <c r="M26" i="40"/>
  <c r="U78" i="45"/>
  <c r="V53" i="45"/>
  <c r="S58" i="31" s="1"/>
  <c r="S59" i="31" s="1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K60" i="45"/>
  <c r="J60" i="45"/>
  <c r="I60" i="45"/>
  <c r="H60" i="45"/>
  <c r="H77" i="45" s="1"/>
  <c r="G60" i="45"/>
  <c r="F60" i="45"/>
  <c r="F79" i="45" s="1"/>
  <c r="F58" i="45"/>
  <c r="M46" i="45"/>
  <c r="K45" i="45"/>
  <c r="K74" i="45" s="1"/>
  <c r="K75" i="45" s="1"/>
  <c r="J45" i="45"/>
  <c r="J47" i="45" s="1"/>
  <c r="I45" i="45"/>
  <c r="I74" i="45" s="1"/>
  <c r="I75" i="45" s="1"/>
  <c r="G45" i="45"/>
  <c r="F74" i="45"/>
  <c r="K42" i="45"/>
  <c r="J42" i="45"/>
  <c r="I42" i="45"/>
  <c r="H42" i="45"/>
  <c r="G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G74" i="45" l="1"/>
  <c r="G75" i="45" s="1"/>
  <c r="F63" i="45"/>
  <c r="F64" i="45"/>
  <c r="G63" i="45"/>
  <c r="H64" i="45"/>
  <c r="K23" i="45"/>
  <c r="L21" i="45"/>
  <c r="K22" i="45"/>
  <c r="F75" i="45"/>
  <c r="G61" i="45"/>
  <c r="G65" i="45"/>
  <c r="K65" i="45"/>
  <c r="K67" i="45" s="1"/>
  <c r="H69" i="45"/>
  <c r="H61" i="45"/>
  <c r="H79" i="45"/>
  <c r="I77" i="45"/>
  <c r="I79" i="45"/>
  <c r="F61" i="45"/>
  <c r="F77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K70" i="45"/>
  <c r="G70" i="45"/>
  <c r="J73" i="45"/>
  <c r="J70" i="45"/>
  <c r="N13" i="45"/>
  <c r="O13" i="45"/>
  <c r="M13" i="45"/>
  <c r="M41" i="45"/>
  <c r="M72" i="45"/>
  <c r="L13" i="45"/>
  <c r="N72" i="45"/>
  <c r="N41" i="45"/>
  <c r="L41" i="45"/>
  <c r="L72" i="45"/>
  <c r="J21" i="45"/>
  <c r="J23" i="45"/>
  <c r="J22" i="45"/>
  <c r="K21" i="45"/>
  <c r="H65" i="45"/>
  <c r="H70" i="45"/>
  <c r="F70" i="45"/>
  <c r="H58" i="45"/>
  <c r="I9" i="45"/>
  <c r="F23" i="45"/>
  <c r="F22" i="45"/>
  <c r="F21" i="45"/>
  <c r="H74" i="45"/>
  <c r="H75" i="45" s="1"/>
  <c r="J63" i="45"/>
  <c r="J65" i="45"/>
  <c r="J64" i="45"/>
  <c r="K63" i="45"/>
  <c r="F46" i="45"/>
  <c r="G46" i="45"/>
  <c r="N46" i="45"/>
  <c r="N74" i="45"/>
  <c r="G58" i="45"/>
  <c r="I22" i="45"/>
  <c r="G64" i="45"/>
  <c r="I70" i="45"/>
  <c r="I69" i="45"/>
  <c r="K64" i="45"/>
  <c r="K73" i="45"/>
  <c r="J74" i="45"/>
  <c r="J75" i="45" s="1"/>
  <c r="G21" i="45"/>
  <c r="R47" i="45"/>
  <c r="I65" i="45"/>
  <c r="F65" i="45"/>
  <c r="F67" i="45" s="1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L11" i="45"/>
  <c r="L60" i="45" s="1"/>
  <c r="M32" i="45"/>
  <c r="K66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47" i="45" l="1"/>
  <c r="L55" i="45"/>
  <c r="M11" i="45"/>
  <c r="M51" i="45" s="1"/>
  <c r="L42" i="45"/>
  <c r="L33" i="45"/>
  <c r="L73" i="45"/>
  <c r="L79" i="45"/>
  <c r="L77" i="45"/>
  <c r="B31" i="44"/>
  <c r="L18" i="45"/>
  <c r="L15" i="45" s="1"/>
  <c r="C31" i="44"/>
  <c r="C32" i="44" s="1"/>
  <c r="F31" i="44"/>
  <c r="F32" i="44" s="1"/>
  <c r="P18" i="45"/>
  <c r="D31" i="44"/>
  <c r="D32" i="44" s="1"/>
  <c r="N18" i="45"/>
  <c r="E31" i="44"/>
  <c r="E32" i="44" s="1"/>
  <c r="O18" i="45"/>
  <c r="L75" i="45"/>
  <c r="M60" i="45"/>
  <c r="L61" i="45"/>
  <c r="K9" i="45"/>
  <c r="J58" i="45"/>
  <c r="G22" i="31" s="1"/>
  <c r="T47" i="45"/>
  <c r="I35" i="31" l="1"/>
  <c r="I28" i="31"/>
  <c r="I29" i="31"/>
  <c r="M47" i="45"/>
  <c r="M42" i="45"/>
  <c r="M15" i="45"/>
  <c r="M17" i="45"/>
  <c r="N11" i="45"/>
  <c r="N47" i="45" s="1"/>
  <c r="M33" i="45"/>
  <c r="M55" i="45"/>
  <c r="M77" i="45"/>
  <c r="M79" i="45"/>
  <c r="L25" i="45"/>
  <c r="L17" i="45"/>
  <c r="L71" i="45"/>
  <c r="L43" i="45"/>
  <c r="L62" i="45"/>
  <c r="B35" i="44"/>
  <c r="B32" i="44"/>
  <c r="M43" i="45"/>
  <c r="M61" i="45"/>
  <c r="M75" i="45"/>
  <c r="M73" i="45"/>
  <c r="U47" i="45"/>
  <c r="K58" i="45"/>
  <c r="H22" i="31" s="1"/>
  <c r="L9" i="45"/>
  <c r="L23" i="45"/>
  <c r="M62" i="45"/>
  <c r="M71" i="45"/>
  <c r="N60" i="45"/>
  <c r="N51" i="45" l="1"/>
  <c r="N15" i="45"/>
  <c r="N42" i="45"/>
  <c r="N55" i="45"/>
  <c r="J35" i="31"/>
  <c r="J39" i="31" s="1"/>
  <c r="J28" i="31"/>
  <c r="J29" i="31"/>
  <c r="M25" i="45"/>
  <c r="M26" i="45" s="1"/>
  <c r="O11" i="45"/>
  <c r="N33" i="45"/>
  <c r="O15" i="45"/>
  <c r="D19" i="12"/>
  <c r="N77" i="45"/>
  <c r="N79" i="45"/>
  <c r="N25" i="45"/>
  <c r="M68" i="45"/>
  <c r="M70" i="45" s="1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L35" i="31" l="1"/>
  <c r="L29" i="31"/>
  <c r="L28" i="31"/>
  <c r="M27" i="45"/>
  <c r="K35" i="31"/>
  <c r="K29" i="31"/>
  <c r="K28" i="31"/>
  <c r="P11" i="45"/>
  <c r="P60" i="45" s="1"/>
  <c r="O33" i="45"/>
  <c r="L67" i="45"/>
  <c r="I46" i="31"/>
  <c r="I50" i="31" s="1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P33" i="45" l="1"/>
  <c r="Q11" i="45"/>
  <c r="P15" i="45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M35" i="31" l="1"/>
  <c r="M28" i="31"/>
  <c r="M29" i="31"/>
  <c r="Q60" i="45"/>
  <c r="Q45" i="45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112" i="31" l="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116" i="31"/>
  <c r="F117" i="31" s="1"/>
  <c r="I123" i="31"/>
  <c r="F103" i="31"/>
  <c r="L37" i="40" s="1"/>
  <c r="M37" i="40"/>
  <c r="F121" i="31"/>
  <c r="L29" i="40"/>
  <c r="K123" i="31" l="1"/>
  <c r="K23" i="40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6" i="31"/>
  <c r="G37" i="31"/>
  <c r="H37" i="31"/>
  <c r="G118" i="31"/>
  <c r="H118" i="31"/>
  <c r="H17" i="31"/>
  <c r="H18" i="31" s="1"/>
  <c r="G17" i="31"/>
  <c r="G18" i="31" s="1"/>
  <c r="N29" i="40"/>
  <c r="H120" i="31" l="1"/>
  <c r="H127" i="31" s="1"/>
  <c r="I9" i="40"/>
  <c r="I11" i="40"/>
  <c r="F120" i="31"/>
  <c r="F127" i="31" s="1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I12" i="40"/>
  <c r="J121" i="31"/>
  <c r="J112" i="31"/>
  <c r="J113" i="31" s="1"/>
  <c r="J17" i="31"/>
  <c r="J18" i="31" s="1"/>
  <c r="K11" i="40"/>
  <c r="K13" i="40" s="1"/>
  <c r="J13" i="40"/>
  <c r="J66" i="31"/>
  <c r="I67" i="31"/>
  <c r="P29" i="40"/>
  <c r="I37" i="31" l="1"/>
  <c r="I39" i="31"/>
  <c r="I42" i="31" s="1"/>
  <c r="I36" i="31"/>
  <c r="I116" i="31"/>
  <c r="I117" i="31" s="1"/>
  <c r="J22" i="40"/>
  <c r="J27" i="40"/>
  <c r="J25" i="40"/>
  <c r="J10" i="40"/>
  <c r="J12" i="40"/>
  <c r="J14" i="40"/>
  <c r="K112" i="31"/>
  <c r="K113" i="31" s="1"/>
  <c r="K9" i="40"/>
  <c r="K17" i="31"/>
  <c r="K18" i="31" s="1"/>
  <c r="J114" i="31"/>
  <c r="J115" i="31" s="1"/>
  <c r="K14" i="40"/>
  <c r="K16" i="40" s="1"/>
  <c r="J67" i="31"/>
  <c r="K66" i="31"/>
  <c r="Q29" i="40"/>
  <c r="I43" i="31" l="1"/>
  <c r="I61" i="31"/>
  <c r="J42" i="31"/>
  <c r="J61" i="31" s="1"/>
  <c r="J37" i="31"/>
  <c r="J36" i="31"/>
  <c r="J15" i="40"/>
  <c r="J16" i="40"/>
  <c r="K10" i="40"/>
  <c r="K27" i="40"/>
  <c r="K25" i="40"/>
  <c r="J17" i="40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K116" i="31" l="1"/>
  <c r="K117" i="31" s="1"/>
  <c r="K36" i="31"/>
  <c r="K39" i="31"/>
  <c r="K42" i="31" s="1"/>
  <c r="K37" i="31"/>
  <c r="J44" i="31"/>
  <c r="J43" i="31"/>
  <c r="J18" i="40"/>
  <c r="K19" i="40"/>
  <c r="K28" i="40" s="1"/>
  <c r="I120" i="31"/>
  <c r="I127" i="31" s="1"/>
  <c r="I63" i="31"/>
  <c r="I64" i="31" s="1"/>
  <c r="J19" i="40"/>
  <c r="J28" i="40" s="1"/>
  <c r="K18" i="40"/>
  <c r="M17" i="31"/>
  <c r="M18" i="31" s="1"/>
  <c r="M66" i="31"/>
  <c r="L67" i="31"/>
  <c r="L30" i="40" s="1"/>
  <c r="S29" i="40"/>
  <c r="K44" i="31" l="1"/>
  <c r="K43" i="31"/>
  <c r="K61" i="31"/>
  <c r="K63" i="31" s="1"/>
  <c r="K64" i="31" s="1"/>
  <c r="J31" i="40"/>
  <c r="K120" i="31"/>
  <c r="K127" i="31" s="1"/>
  <c r="K118" i="31"/>
  <c r="K31" i="40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L116" i="31" l="1"/>
  <c r="L117" i="31" s="1"/>
  <c r="L36" i="31"/>
  <c r="L39" i="31"/>
  <c r="L118" i="31" s="1"/>
  <c r="L37" i="31"/>
  <c r="M39" i="31"/>
  <c r="M42" i="31" s="1"/>
  <c r="M37" i="31"/>
  <c r="M36" i="31"/>
  <c r="N27" i="40"/>
  <c r="N10" i="40"/>
  <c r="N25" i="40"/>
  <c r="M16" i="40"/>
  <c r="M15" i="40"/>
  <c r="M116" i="31"/>
  <c r="M117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118" i="31" l="1"/>
  <c r="M43" i="31"/>
  <c r="L42" i="31"/>
  <c r="M28" i="40"/>
  <c r="M31" i="40" s="1"/>
  <c r="L18" i="40"/>
  <c r="L19" i="40"/>
  <c r="L43" i="31" l="1"/>
  <c r="L44" i="31"/>
  <c r="M44" i="31"/>
  <c r="L28" i="40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O123" i="31"/>
  <c r="O9" i="40"/>
  <c r="O10" i="40" s="1"/>
  <c r="O23" i="40"/>
  <c r="R60" i="45" l="1"/>
  <c r="R45" i="45"/>
  <c r="R55" i="45"/>
  <c r="R61" i="45"/>
  <c r="R73" i="45"/>
  <c r="R51" i="45"/>
  <c r="R42" i="45"/>
  <c r="O25" i="40"/>
  <c r="O22" i="40"/>
  <c r="O27" i="40"/>
  <c r="R77" i="45"/>
  <c r="R79" i="45"/>
  <c r="S11" i="45"/>
  <c r="S45" i="45" s="1"/>
  <c r="R74" i="45" l="1"/>
  <c r="R75" i="45" s="1"/>
  <c r="R46" i="45"/>
  <c r="S42" i="45"/>
  <c r="S55" i="45"/>
  <c r="T11" i="45"/>
  <c r="U11" i="45" s="1"/>
  <c r="S51" i="45"/>
  <c r="S60" i="45"/>
  <c r="S73" i="45" l="1"/>
  <c r="S79" i="45"/>
  <c r="S61" i="45"/>
  <c r="S77" i="45"/>
  <c r="S46" i="45"/>
  <c r="S74" i="45"/>
  <c r="T60" i="45"/>
  <c r="T42" i="45"/>
  <c r="T55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S35" i="31" l="1"/>
  <c r="S28" i="31"/>
  <c r="U75" i="45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6" i="31" l="1"/>
  <c r="S42" i="31"/>
  <c r="S16" i="40"/>
  <c r="S15" i="40"/>
  <c r="S17" i="40"/>
  <c r="S116" i="31"/>
  <c r="S117" i="31" s="1"/>
  <c r="S118" i="31"/>
  <c r="S119" i="31" l="1"/>
  <c r="S20" i="40"/>
  <c r="S19" i="40" s="1"/>
  <c r="S28" i="40" s="1"/>
  <c r="S43" i="31"/>
  <c r="S18" i="40"/>
  <c r="T28" i="40" l="1"/>
  <c r="T31" i="40" s="1"/>
  <c r="F38" i="40" s="1"/>
  <c r="S31" i="40"/>
  <c r="S120" i="31"/>
  <c r="S127" i="31" s="1"/>
  <c r="S61" i="31"/>
  <c r="S63" i="31" s="1"/>
  <c r="S64" i="31" s="1"/>
  <c r="Q15" i="45"/>
  <c r="R15" i="45"/>
  <c r="S15" i="45"/>
  <c r="T15" i="45"/>
  <c r="U15" i="45"/>
  <c r="P35" i="31" l="1"/>
  <c r="P28" i="31"/>
  <c r="T62" i="45"/>
  <c r="T64" i="45" s="1"/>
  <c r="R71" i="45"/>
  <c r="U62" i="45"/>
  <c r="U63" i="45" s="1"/>
  <c r="Q17" i="45"/>
  <c r="T71" i="45"/>
  <c r="T43" i="45"/>
  <c r="Q71" i="45"/>
  <c r="Q62" i="45"/>
  <c r="Q63" i="45" s="1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Q112" i="31"/>
  <c r="Q113" i="31" s="1"/>
  <c r="Q11" i="40"/>
  <c r="R17" i="45"/>
  <c r="R62" i="45"/>
  <c r="N112" i="31"/>
  <c r="N113" i="31" s="1"/>
  <c r="U64" i="45"/>
  <c r="R43" i="45"/>
  <c r="N35" i="31" l="1"/>
  <c r="N29" i="31"/>
  <c r="N28" i="31"/>
  <c r="N11" i="40"/>
  <c r="O35" i="31"/>
  <c r="O28" i="31"/>
  <c r="O29" i="31"/>
  <c r="P29" i="31"/>
  <c r="V63" i="45"/>
  <c r="R35" i="31"/>
  <c r="R28" i="31"/>
  <c r="R29" i="31"/>
  <c r="S29" i="31"/>
  <c r="Q35" i="31"/>
  <c r="Q28" i="31"/>
  <c r="Q29" i="31"/>
  <c r="Q64" i="45"/>
  <c r="R112" i="31"/>
  <c r="R113" i="31" s="1"/>
  <c r="R11" i="40"/>
  <c r="R63" i="45"/>
  <c r="R64" i="45"/>
  <c r="S64" i="45"/>
  <c r="S63" i="45"/>
  <c r="T63" i="45"/>
  <c r="Q12" i="40"/>
  <c r="N12" i="40" l="1"/>
  <c r="N13" i="40"/>
  <c r="O11" i="40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 l="1"/>
  <c r="T27" i="45" s="1"/>
  <c r="Q23" i="45"/>
  <c r="V21" i="45"/>
  <c r="U21" i="45"/>
  <c r="T68" i="45"/>
  <c r="T70" i="45" s="1"/>
  <c r="Q25" i="45"/>
  <c r="Q68" i="45" s="1"/>
  <c r="U25" i="45"/>
  <c r="R23" i="45"/>
  <c r="R21" i="45"/>
  <c r="S23" i="45"/>
  <c r="S21" i="45"/>
  <c r="T21" i="45"/>
  <c r="R27" i="45"/>
  <c r="R68" i="45"/>
  <c r="S25" i="45"/>
  <c r="T26" i="45" s="1"/>
  <c r="R26" i="45" l="1"/>
  <c r="T65" i="45"/>
  <c r="T67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U65" i="45" l="1"/>
  <c r="V69" i="45"/>
  <c r="U70" i="45"/>
  <c r="U69" i="45"/>
  <c r="T66" i="45"/>
  <c r="Q114" i="31"/>
  <c r="Q115" i="31" s="1"/>
  <c r="R67" i="45"/>
  <c r="R66" i="45"/>
  <c r="S70" i="45"/>
  <c r="S69" i="45"/>
  <c r="S65" i="45"/>
  <c r="T69" i="45"/>
  <c r="Q66" i="45"/>
  <c r="Q67" i="45"/>
  <c r="Q42" i="31" l="1"/>
  <c r="Q36" i="31"/>
  <c r="Q14" i="40"/>
  <c r="Q15" i="40" s="1"/>
  <c r="U66" i="45"/>
  <c r="U67" i="45"/>
  <c r="Q121" i="31"/>
  <c r="O114" i="31"/>
  <c r="O115" i="31" s="1"/>
  <c r="O121" i="31"/>
  <c r="O14" i="40"/>
  <c r="S67" i="45"/>
  <c r="S66" i="45"/>
  <c r="Q116" i="31"/>
  <c r="Q117" i="31" s="1"/>
  <c r="Q118" i="31"/>
  <c r="N114" i="31"/>
  <c r="N115" i="31" s="1"/>
  <c r="N121" i="31"/>
  <c r="N14" i="40"/>
  <c r="Q20" i="40" l="1"/>
  <c r="Q119" i="31"/>
  <c r="N39" i="31"/>
  <c r="N42" i="31" s="1"/>
  <c r="N37" i="31"/>
  <c r="N36" i="31"/>
  <c r="O36" i="31"/>
  <c r="O42" i="31"/>
  <c r="O37" i="31"/>
  <c r="Q43" i="31"/>
  <c r="Q16" i="40"/>
  <c r="Q17" i="40"/>
  <c r="Q18" i="40" s="1"/>
  <c r="R114" i="31"/>
  <c r="R115" i="31" s="1"/>
  <c r="R121" i="31"/>
  <c r="R14" i="40"/>
  <c r="O116" i="31"/>
  <c r="O117" i="31" s="1"/>
  <c r="O118" i="31"/>
  <c r="O15" i="40"/>
  <c r="O17" i="40"/>
  <c r="O16" i="40"/>
  <c r="N116" i="31"/>
  <c r="N117" i="31" s="1"/>
  <c r="P114" i="31"/>
  <c r="P115" i="31" s="1"/>
  <c r="P121" i="31"/>
  <c r="P14" i="40"/>
  <c r="N17" i="40"/>
  <c r="N15" i="40"/>
  <c r="N16" i="40"/>
  <c r="Q19" i="40" l="1"/>
  <c r="Q28" i="40" s="1"/>
  <c r="Q31" i="40" s="1"/>
  <c r="N118" i="31"/>
  <c r="N43" i="31"/>
  <c r="N44" i="31"/>
  <c r="O119" i="31"/>
  <c r="O20" i="40"/>
  <c r="O19" i="40" s="1"/>
  <c r="O28" i="40" s="1"/>
  <c r="O31" i="40" s="1"/>
  <c r="R42" i="31"/>
  <c r="R37" i="31"/>
  <c r="R36" i="31"/>
  <c r="S37" i="31"/>
  <c r="P36" i="31"/>
  <c r="P42" i="31"/>
  <c r="P37" i="31"/>
  <c r="Q37" i="31"/>
  <c r="O44" i="31"/>
  <c r="O43" i="31"/>
  <c r="R17" i="40"/>
  <c r="R16" i="40"/>
  <c r="R15" i="40"/>
  <c r="R118" i="31"/>
  <c r="R116" i="31"/>
  <c r="R117" i="31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P43" i="31" l="1"/>
  <c r="P44" i="31"/>
  <c r="Q44" i="31"/>
  <c r="R20" i="40"/>
  <c r="R19" i="40" s="1"/>
  <c r="R28" i="40" s="1"/>
  <c r="R31" i="40" s="1"/>
  <c r="R119" i="31"/>
  <c r="P119" i="31"/>
  <c r="P20" i="40"/>
  <c r="P19" i="40" s="1"/>
  <c r="P28" i="40" s="1"/>
  <c r="P31" i="40" s="1"/>
  <c r="R43" i="31"/>
  <c r="R44" i="31"/>
  <c r="S44" i="3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<sst xmlns="http://schemas.openxmlformats.org/spreadsheetml/2006/main" count="281" uniqueCount="170">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</sst>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0" fontId="4" fillId="3" borderId="95"/>
    <xf numFmtId="180" fontId="60" fillId="3" borderId="95"/>
    <xf numFmtId="247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0" fontId="6" fillId="3" borderId="93" applyProtection="0">
      <alignment horizontal="right"/>
    </xf>
    <xf numFmtId="172" fontId="149" fillId="3" borderId="94">
      <alignment horizontal="right"/>
    </xf>
    <xf numFmtId="172" fontId="149" fillId="3" borderId="94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4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4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4"/>
    <xf numFmtId="172" fontId="8" fillId="3" borderId="95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427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72" fontId="8" fillId="0" borderId="0" xfId="0" applyNumberFormat="1" applyFont="1" applyFill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172" fontId="14" fillId="0" borderId="0" xfId="0" applyNumberFormat="1" applyFont="1" applyAlignme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 applyAlignment="1"/>
    <xf numFmtId="172" fontId="0" fillId="0" borderId="0" xfId="0" applyNumberFormat="1" applyFont="1"/>
    <xf numFmtId="0" fontId="0" fillId="0" borderId="0" xfId="0"/>
    <xf numFmtId="0" fontId="21" fillId="0" borderId="0" xfId="0" applyFont="1"/>
    <xf numFmtId="173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172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72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72" fontId="263" fillId="62" borderId="0" xfId="0" applyNumberFormat="1" applyFont="1" applyFill="1" applyBorder="1" applyAlignment="1"/>
    <xf numFmtId="172" fontId="263" fillId="62" borderId="0" xfId="0" applyNumberFormat="1" applyFont="1" applyFill="1" applyBorder="1"/>
    <xf numFmtId="172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73" fontId="16" fillId="0" borderId="1" xfId="0" applyNumberFormat="1" applyFont="1" applyFill="1" applyBorder="1"/>
    <xf numFmtId="173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73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72" fontId="261" fillId="60" borderId="0" xfId="0" applyNumberFormat="1" applyFont="1" applyFill="1" applyBorder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72" fontId="261" fillId="0" borderId="0" xfId="0" applyNumberFormat="1" applyFont="1" applyAlignment="1"/>
    <xf numFmtId="172" fontId="261" fillId="0" borderId="0" xfId="0" applyNumberFormat="1" applyFont="1" applyAlignment="1">
      <alignment horizontal="right"/>
    </xf>
    <xf numFmtId="0" fontId="6" fillId="0" borderId="0" xfId="1686" applyNumberFormat="1" applyFont="1"/>
    <xf numFmtId="173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72" fontId="0" fillId="0" borderId="8" xfId="0" applyNumberFormat="1" applyFon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74" fontId="261" fillId="60" borderId="0" xfId="0" applyNumberFormat="1" applyFont="1" applyFill="1" applyBorder="1" applyAlignment="1">
      <alignment horizontal="right"/>
    </xf>
    <xf numFmtId="174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74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73" fontId="262" fillId="0" borderId="0" xfId="0" applyNumberFormat="1" applyFont="1" applyBorder="1" applyAlignment="1">
      <alignment horizontal="right"/>
    </xf>
    <xf numFmtId="172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72" fontId="16" fillId="0" borderId="2" xfId="0" applyNumberFormat="1" applyFont="1" applyFill="1" applyBorder="1"/>
    <xf numFmtId="10" fontId="14" fillId="0" borderId="0" xfId="0" applyNumberFormat="1" applyFont="1"/>
    <xf numFmtId="173" fontId="262" fillId="0" borderId="0" xfId="0" applyNumberFormat="1" applyFont="1" applyAlignment="1">
      <alignment horizontal="right"/>
    </xf>
    <xf numFmtId="172" fontId="6" fillId="0" borderId="0" xfId="0" applyNumberFormat="1" applyFont="1" applyBorder="1"/>
    <xf numFmtId="172" fontId="6" fillId="0" borderId="0" xfId="0" applyNumberFormat="1" applyFont="1" applyFill="1" applyBorder="1"/>
    <xf numFmtId="172" fontId="9" fillId="0" borderId="0" xfId="0" applyNumberFormat="1" applyFont="1" applyBorder="1"/>
    <xf numFmtId="172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80" fontId="299" fillId="0" borderId="0" xfId="2309" applyNumberFormat="1" applyFont="1" applyFill="1" applyBorder="1"/>
    <xf numFmtId="328" fontId="16" fillId="0" borderId="6" xfId="0" applyNumberFormat="1" applyFont="1" applyFill="1" applyBorder="1"/>
    <xf numFmtId="196" fontId="261" fillId="0" borderId="0" xfId="0" applyNumberFormat="1" applyFont="1"/>
    <xf numFmtId="196" fontId="261" fillId="0" borderId="0" xfId="0" applyNumberFormat="1" applyFont="1" applyFill="1" applyBorder="1" applyAlignment="1">
      <alignment horizontal="right"/>
    </xf>
    <xf numFmtId="196" fontId="261" fillId="0" borderId="0" xfId="0" applyNumberFormat="1" applyFont="1" applyFill="1" applyBorder="1" applyAlignment="1"/>
    <xf numFmtId="196" fontId="261" fillId="0" borderId="0" xfId="0" applyNumberFormat="1" applyFont="1" applyFill="1" applyBorder="1"/>
    <xf numFmtId="328" fontId="262" fillId="0" borderId="0" xfId="0" applyNumberFormat="1" applyFont="1" applyFill="1" applyBorder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172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 applyFon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 applyFill="1" applyBorder="1"/>
    <xf numFmtId="0" fontId="0" fillId="0" borderId="69" xfId="0" applyFont="1" applyBorder="1"/>
    <xf numFmtId="172" fontId="0" fillId="0" borderId="0" xfId="0" applyNumberFormat="1" applyFont="1" applyFill="1" applyBorder="1"/>
    <xf numFmtId="0" fontId="0" fillId="0" borderId="2" xfId="0" applyFont="1" applyBorder="1"/>
    <xf numFmtId="172" fontId="0" fillId="0" borderId="2" xfId="0" applyNumberFormat="1" applyFont="1" applyFill="1" applyBorder="1"/>
    <xf numFmtId="172" fontId="0" fillId="0" borderId="70" xfId="0" applyNumberFormat="1" applyFont="1" applyFill="1" applyBorder="1"/>
    <xf numFmtId="172" fontId="0" fillId="0" borderId="11" xfId="0" applyNumberFormat="1" applyFont="1" applyBorder="1"/>
    <xf numFmtId="172" fontId="0" fillId="0" borderId="2" xfId="0" applyNumberFormat="1" applyFont="1" applyBorder="1"/>
    <xf numFmtId="255" fontId="0" fillId="0" borderId="8" xfId="0" applyNumberFormat="1" applyFont="1" applyBorder="1"/>
    <xf numFmtId="0" fontId="0" fillId="0" borderId="11" xfId="0" applyFont="1" applyBorder="1"/>
    <xf numFmtId="196" fontId="0" fillId="0" borderId="11" xfId="0" applyNumberFormat="1" applyFont="1" applyBorder="1"/>
    <xf numFmtId="172" fontId="263" fillId="61" borderId="0" xfId="0" applyNumberFormat="1" applyFont="1" applyFill="1" applyBorder="1" applyAlignment="1">
      <alignment horizontal="right"/>
    </xf>
    <xf numFmtId="172" fontId="263" fillId="61" borderId="0" xfId="0" applyNumberFormat="1" applyFont="1" applyFill="1" applyBorder="1" applyAlignment="1">
      <alignment horizontal="left"/>
    </xf>
    <xf numFmtId="329" fontId="0" fillId="8" borderId="0" xfId="0" applyNumberFormat="1" applyFill="1" applyBorder="1"/>
    <xf numFmtId="329" fontId="0" fillId="8" borderId="14" xfId="0" applyNumberFormat="1" applyFill="1" applyBorder="1"/>
    <xf numFmtId="175" fontId="261" fillId="60" borderId="0" xfId="0" applyNumberFormat="1" applyFont="1" applyFill="1" applyBorder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 applyFont="1" applyBorder="1"/>
    <xf numFmtId="0" fontId="0" fillId="0" borderId="0" xfId="0" applyFill="1" applyBorder="1"/>
    <xf numFmtId="172" fontId="320" fillId="0" borderId="0" xfId="0" applyNumberFormat="1" applyFont="1" applyFill="1" applyBorder="1"/>
    <xf numFmtId="172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8" fontId="298" fillId="3" borderId="74" xfId="2311" applyNumberFormat="1" applyFont="1" applyFill="1" applyBorder="1"/>
    <xf numFmtId="172" fontId="16" fillId="0" borderId="0" xfId="0" applyNumberFormat="1" applyFont="1" applyFill="1" applyBorder="1"/>
    <xf numFmtId="172" fontId="297" fillId="0" borderId="0" xfId="0" applyNumberFormat="1" applyFont="1" applyBorder="1"/>
    <xf numFmtId="329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73" fontId="297" fillId="0" borderId="62" xfId="0" applyNumberFormat="1" applyFont="1" applyFill="1" applyBorder="1"/>
    <xf numFmtId="172" fontId="14" fillId="0" borderId="0" xfId="0" applyNumberFormat="1" applyFont="1" applyFill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8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73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Border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Border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Fill="1" applyBorder="1" applyAlignment="1">
      <alignment horizontal="center" vertical="center"/>
    </xf>
    <xf numFmtId="255" fontId="322" fillId="0" borderId="0" xfId="0" applyNumberFormat="1" applyFont="1" applyFill="1" applyBorder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173" fontId="327" fillId="0" borderId="0" xfId="0" applyNumberFormat="1" applyFont="1" applyBorder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172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72" fontId="0" fillId="0" borderId="69" xfId="0" applyNumberFormat="1" applyFont="1" applyFill="1" applyBorder="1"/>
    <xf numFmtId="180" fontId="299" fillId="0" borderId="69" xfId="2309" applyNumberFormat="1" applyFont="1" applyFill="1" applyBorder="1"/>
    <xf numFmtId="172" fontId="261" fillId="0" borderId="11" xfId="0" applyNumberFormat="1" applyFont="1" applyFill="1" applyBorder="1" applyAlignment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8" fontId="251" fillId="0" borderId="0" xfId="0" applyNumberFormat="1" applyFont="1" applyBorder="1"/>
    <xf numFmtId="328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5" fontId="0" fillId="0" borderId="7" xfId="0" applyNumberFormat="1" applyFill="1" applyBorder="1" applyAlignment="1">
      <alignment horizontal="center"/>
    </xf>
    <xf numFmtId="255" fontId="0" fillId="0" borderId="8" xfId="0" applyNumberFormat="1" applyFill="1" applyBorder="1" applyAlignment="1">
      <alignment horizontal="center"/>
    </xf>
    <xf numFmtId="255" fontId="0" fillId="0" borderId="0" xfId="0" applyNumberFormat="1" applyFill="1" applyBorder="1" applyAlignment="1">
      <alignment horizontal="center"/>
    </xf>
    <xf numFmtId="255" fontId="0" fillId="0" borderId="9" xfId="0" applyNumberFormat="1" applyFill="1" applyBorder="1" applyAlignment="1">
      <alignment horizontal="center"/>
    </xf>
    <xf numFmtId="255" fontId="0" fillId="0" borderId="13" xfId="0" applyNumberFormat="1" applyFill="1" applyBorder="1" applyAlignment="1">
      <alignment horizontal="center"/>
    </xf>
    <xf numFmtId="255" fontId="0" fillId="8" borderId="0" xfId="0" applyNumberFormat="1" applyFill="1" applyBorder="1" applyAlignment="1">
      <alignment horizontal="center"/>
    </xf>
    <xf numFmtId="255" fontId="0" fillId="0" borderId="14" xfId="0" applyNumberFormat="1" applyFill="1" applyBorder="1" applyAlignment="1">
      <alignment horizontal="center"/>
    </xf>
    <xf numFmtId="255" fontId="0" fillId="0" borderId="10" xfId="0" applyNumberFormat="1" applyFill="1" applyBorder="1" applyAlignment="1">
      <alignment horizontal="center"/>
    </xf>
    <xf numFmtId="255" fontId="0" fillId="0" borderId="11" xfId="0" applyNumberFormat="1" applyFill="1" applyBorder="1" applyAlignment="1">
      <alignment horizontal="center"/>
    </xf>
    <xf numFmtId="255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Border="1" applyAlignment="1">
      <alignment horizontal="center"/>
    </xf>
    <xf numFmtId="329" fontId="297" fillId="0" borderId="63" xfId="0" applyNumberFormat="1" applyFont="1" applyFill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Border="1" applyAlignment="1">
      <alignment horizontal="centerContinuous"/>
    </xf>
    <xf numFmtId="172" fontId="263" fillId="65" borderId="0" xfId="0" applyNumberFormat="1" applyFont="1" applyFill="1" applyBorder="1" applyAlignment="1">
      <alignment horizontal="centerContinuous"/>
    </xf>
    <xf numFmtId="172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5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Fill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81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8" fontId="9" fillId="0" borderId="0" xfId="2311" applyNumberFormat="1" applyFont="1" applyFill="1" applyBorder="1"/>
    <xf numFmtId="0" fontId="14" fillId="0" borderId="0" xfId="0" applyFont="1" applyFill="1"/>
    <xf numFmtId="172" fontId="9" fillId="0" borderId="0" xfId="0" applyNumberFormat="1" applyFont="1" applyFill="1"/>
    <xf numFmtId="173" fontId="9" fillId="0" borderId="0" xfId="0" applyNumberFormat="1" applyFont="1" applyFill="1" applyAlignment="1">
      <alignment horizontal="right"/>
    </xf>
    <xf numFmtId="173" fontId="262" fillId="0" borderId="0" xfId="0" applyNumberFormat="1" applyFont="1" applyFill="1" applyAlignment="1">
      <alignment horizontal="right"/>
    </xf>
    <xf numFmtId="328" fontId="298" fillId="0" borderId="0" xfId="2311" applyNumberFormat="1" applyFont="1" applyFill="1" applyBorder="1"/>
    <xf numFmtId="39" fontId="14" fillId="0" borderId="0" xfId="0" applyNumberFormat="1" applyFont="1"/>
    <xf numFmtId="328" fontId="9" fillId="104" borderId="1" xfId="2311" applyNumberFormat="1" applyFont="1" applyFill="1" applyBorder="1"/>
    <xf numFmtId="0" fontId="14" fillId="104" borderId="0" xfId="0" applyFont="1" applyFill="1"/>
    <xf numFmtId="180" fontId="16" fillId="104" borderId="73" xfId="0" applyNumberFormat="1" applyFont="1" applyFill="1" applyBorder="1" applyAlignment="1"/>
    <xf numFmtId="329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2" fontId="297" fillId="104" borderId="0" xfId="0" applyNumberFormat="1" applyFont="1" applyFill="1" applyBorder="1"/>
    <xf numFmtId="172" fontId="297" fillId="104" borderId="69" xfId="0" applyNumberFormat="1" applyFont="1" applyFill="1" applyBorder="1"/>
    <xf numFmtId="180" fontId="299" fillId="104" borderId="0" xfId="2309" applyNumberFormat="1" applyFont="1" applyFill="1" applyBorder="1"/>
    <xf numFmtId="173" fontId="16" fillId="104" borderId="1" xfId="0" applyNumberFormat="1" applyFont="1" applyFill="1" applyBorder="1"/>
    <xf numFmtId="173" fontId="8" fillId="104" borderId="1" xfId="0" applyNumberFormat="1" applyFont="1" applyFill="1" applyBorder="1"/>
    <xf numFmtId="10" fontId="8" fillId="104" borderId="1" xfId="0" applyNumberFormat="1" applyFont="1" applyFill="1" applyBorder="1"/>
    <xf numFmtId="329" fontId="16" fillId="104" borderId="1" xfId="0" applyNumberFormat="1" applyFont="1" applyFill="1" applyBorder="1"/>
    <xf numFmtId="329" fontId="16" fillId="104" borderId="1" xfId="0" applyNumberFormat="1" applyFont="1" applyFill="1" applyBorder="1" applyAlignment="1"/>
    <xf numFmtId="172" fontId="297" fillId="104" borderId="2" xfId="0" applyNumberFormat="1" applyFont="1" applyFill="1" applyBorder="1"/>
    <xf numFmtId="173" fontId="251" fillId="105" borderId="0" xfId="0" applyNumberFormat="1" applyFont="1" applyFill="1" applyBorder="1"/>
    <xf numFmtId="0" fontId="251" fillId="106" borderId="0" xfId="0" applyFont="1" applyFill="1" applyBorder="1"/>
    <xf numFmtId="328" fontId="251" fillId="106" borderId="0" xfId="0" applyNumberFormat="1" applyFont="1" applyFill="1" applyBorder="1"/>
    <xf numFmtId="173" fontId="251" fillId="106" borderId="0" xfId="0" applyNumberFormat="1" applyFont="1" applyFill="1" applyBorder="1"/>
    <xf numFmtId="0" fontId="0" fillId="106" borderId="0" xfId="0" applyFill="1"/>
    <xf numFmtId="173" fontId="251" fillId="105" borderId="69" xfId="0" applyNumberFormat="1" applyFont="1" applyFill="1" applyBorder="1"/>
    <xf numFmtId="172" fontId="0" fillId="105" borderId="0" xfId="0" applyNumberFormat="1" applyFont="1" applyFill="1" applyBorder="1"/>
    <xf numFmtId="341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3" fontId="9" fillId="0" borderId="0" xfId="0" applyNumberFormat="1" applyFont="1" applyBorder="1"/>
    <xf numFmtId="172" fontId="0" fillId="105" borderId="2" xfId="0" applyNumberFormat="1" applyFont="1" applyFill="1" applyBorder="1"/>
    <xf numFmtId="0" fontId="0" fillId="105" borderId="0" xfId="0" applyFill="1"/>
    <xf numFmtId="173" fontId="251" fillId="106" borderId="0" xfId="0" applyNumberFormat="1" applyFont="1" applyFill="1" applyBorder="1" applyAlignment="1">
      <alignment horizontal="right"/>
    </xf>
    <xf numFmtId="9" fontId="251" fillId="106" borderId="0" xfId="2309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1640625" defaultRowHeight="12.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9" zoomScale="85" zoomScaleNormal="85" zoomScaleSheetLayoutView="85" workbookViewId="0"/>
  </sheetViews>
  <sheetFormatPr defaultColWidth="9.1796875" defaultRowHeight="12.5"/>
  <cols>
    <col min="1" max="1" width="3" style="1" customWidth="1"/>
    <col min="2" max="4" width="2.81640625" style="1" customWidth="1"/>
    <col min="5" max="5" width="28.453125" style="1" customWidth="1"/>
    <col min="6" max="8" width="7.1796875" style="1" customWidth="1"/>
    <col min="9" max="14" width="9.1796875" style="1"/>
    <col min="15" max="15" width="12.81640625" style="1" customWidth="1"/>
    <col min="16" max="16" width="9.1796875" style="1"/>
    <col min="17" max="17" width="10" style="1" customWidth="1"/>
    <col min="18" max="18" width="9.1796875" style="1"/>
    <col min="19" max="19" width="15.453125" style="1" bestFit="1" customWidth="1"/>
    <col min="20" max="20" width="8.453125" style="1" customWidth="1"/>
    <col min="21" max="21" width="3.6328125" style="1" customWidth="1"/>
    <col min="22" max="16384" width="9.179687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17" t="s">
        <v>136</v>
      </c>
      <c r="E14" s="418"/>
      <c r="F14" s="418"/>
      <c r="G14" s="418"/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W14"/>
    </row>
    <row r="15" spans="2:23" ht="12.75" customHeight="1">
      <c r="C15" s="16"/>
      <c r="D15" s="419"/>
      <c r="E15" s="418"/>
      <c r="F15" s="418"/>
      <c r="G15" s="418"/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W15"/>
    </row>
    <row r="16" spans="2:23" ht="12.75" customHeight="1">
      <c r="C16" s="16"/>
      <c r="D16" s="419"/>
      <c r="E16" s="418"/>
      <c r="F16" s="418"/>
      <c r="G16" s="418"/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W16"/>
    </row>
    <row r="17" spans="3:23" ht="12.75" customHeight="1">
      <c r="D17" s="419"/>
      <c r="E17" s="418"/>
      <c r="F17" s="418"/>
      <c r="G17" s="418"/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W17"/>
    </row>
    <row r="18" spans="3:23">
      <c r="W18"/>
    </row>
    <row r="19" spans="3:23" ht="19">
      <c r="C19" s="420" t="s">
        <v>20</v>
      </c>
      <c r="E19" s="381">
        <f>Assumptions!D12</f>
        <v>43921</v>
      </c>
      <c r="W19"/>
    </row>
    <row r="20" spans="3:23">
      <c r="C20" s="420"/>
      <c r="W20"/>
    </row>
    <row r="21" spans="3:23">
      <c r="C21" s="420"/>
      <c r="W21"/>
    </row>
    <row r="22" spans="3:23">
      <c r="C22" s="420"/>
      <c r="W22"/>
    </row>
    <row r="23" spans="3:23">
      <c r="C23" s="420"/>
    </row>
    <row r="24" spans="3:23">
      <c r="C24" s="420"/>
    </row>
    <row r="25" spans="3:23">
      <c r="C25" s="420"/>
    </row>
    <row r="26" spans="3:23" ht="12.75" customHeight="1">
      <c r="C26" s="420"/>
    </row>
    <row r="27" spans="3:23">
      <c r="C27" s="420"/>
    </row>
    <row r="28" spans="3:23">
      <c r="C28" s="420"/>
    </row>
    <row r="29" spans="3:23" ht="4.5" customHeight="1">
      <c r="C29" s="420"/>
    </row>
    <row r="30" spans="3:23" ht="13">
      <c r="C30" s="420"/>
      <c r="Q30" s="197"/>
      <c r="R30" s="198"/>
      <c r="S30" s="198"/>
      <c r="T30" s="199"/>
    </row>
    <row r="31" spans="3:23">
      <c r="C31" s="420"/>
      <c r="Q31" s="198"/>
      <c r="R31" s="198"/>
      <c r="S31" s="198"/>
      <c r="T31" s="199"/>
      <c r="V31" s="51"/>
    </row>
    <row r="32" spans="3:23">
      <c r="C32" s="420"/>
      <c r="Q32" s="198"/>
      <c r="R32" s="198"/>
      <c r="S32" s="198"/>
      <c r="T32" s="199"/>
    </row>
    <row r="33" spans="3:21">
      <c r="C33" s="420"/>
      <c r="P33" s="380"/>
      <c r="Q33" s="200"/>
      <c r="R33" s="198"/>
      <c r="S33" s="198"/>
      <c r="T33" s="199"/>
      <c r="U33" s="380"/>
    </row>
    <row r="34" spans="3:21">
      <c r="C34" s="420"/>
      <c r="P34" s="380"/>
      <c r="Q34" s="200"/>
      <c r="R34" s="198"/>
      <c r="S34" s="198"/>
      <c r="T34" s="199"/>
      <c r="U34" s="380"/>
    </row>
    <row r="35" spans="3:21" ht="4.5" customHeight="1">
      <c r="C35" s="420"/>
      <c r="P35" s="380"/>
      <c r="Q35" s="200"/>
      <c r="R35" s="198"/>
      <c r="S35" s="198"/>
      <c r="T35" s="199"/>
      <c r="U35" s="380"/>
    </row>
    <row r="36" spans="3:21">
      <c r="C36" s="420"/>
      <c r="P36" s="380"/>
      <c r="Q36" s="200"/>
      <c r="R36" s="198"/>
      <c r="S36" s="198"/>
      <c r="T36" s="199"/>
      <c r="U36" s="380"/>
    </row>
    <row r="37" spans="3:21">
      <c r="C37" s="420"/>
      <c r="G37"/>
      <c r="P37" s="380"/>
      <c r="Q37" s="200"/>
      <c r="R37" s="198"/>
      <c r="S37" s="198"/>
      <c r="T37" s="199"/>
      <c r="U37" s="380"/>
    </row>
    <row r="38" spans="3:21">
      <c r="C38" s="420"/>
      <c r="P38" s="380"/>
      <c r="Q38" s="200"/>
      <c r="R38" s="198"/>
      <c r="S38" s="198"/>
      <c r="T38" s="199"/>
      <c r="U38" s="380"/>
    </row>
    <row r="39" spans="3:21">
      <c r="C39" s="420"/>
      <c r="P39" s="380"/>
      <c r="Q39" s="200"/>
      <c r="R39" s="198"/>
      <c r="S39" s="198"/>
      <c r="T39" s="199"/>
      <c r="U39" s="380"/>
    </row>
    <row r="40" spans="3:21">
      <c r="C40" s="420"/>
    </row>
    <row r="41" spans="3:21">
      <c r="C41" s="420"/>
    </row>
    <row r="42" spans="3:21">
      <c r="C42" s="420"/>
    </row>
    <row r="43" spans="3:21">
      <c r="C43" s="42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F17" sqref="F17"/>
    </sheetView>
  </sheetViews>
  <sheetFormatPr defaultColWidth="8.81640625" defaultRowHeight="12.5"/>
  <cols>
    <col min="1" max="1" width="3" style="127" customWidth="1"/>
    <col min="2" max="2" width="2.81640625" customWidth="1"/>
    <col min="3" max="3" width="32.453125" bestFit="1" customWidth="1"/>
    <col min="4" max="4" width="9.6328125" customWidth="1"/>
    <col min="5" max="5" width="9.36328125" customWidth="1"/>
    <col min="6" max="6" width="18.453125" bestFit="1" customWidth="1"/>
    <col min="8" max="9" width="9.1796875" customWidth="1"/>
    <col min="12" max="12" width="2.81640625" customWidth="1"/>
  </cols>
  <sheetData>
    <row r="1" spans="1:18" s="127" customFormat="1"/>
    <row r="3" spans="1:18" s="180" customFormat="1" ht="20">
      <c r="C3" s="181" t="s">
        <v>17</v>
      </c>
      <c r="D3" s="182"/>
      <c r="E3" s="182"/>
      <c r="F3" s="182"/>
      <c r="G3" s="182"/>
      <c r="H3" s="182"/>
      <c r="I3" s="182"/>
      <c r="J3" s="182"/>
      <c r="K3" s="182"/>
    </row>
    <row r="4" spans="1:18" ht="4.5" customHeight="1"/>
    <row r="5" spans="1:18" ht="13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148</v>
      </c>
      <c r="D7" s="378">
        <v>1</v>
      </c>
    </row>
    <row r="8" spans="1:18" s="28" customFormat="1">
      <c r="A8" s="127"/>
    </row>
    <row r="9" spans="1:18" s="28" customFormat="1" ht="13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 ht="13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79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0"/>
      <c r="O16" s="360"/>
      <c r="P16" s="360"/>
      <c r="Q16" s="360"/>
      <c r="R16" s="360"/>
    </row>
    <row r="17" spans="3:18">
      <c r="C17" s="92" t="s">
        <v>66</v>
      </c>
      <c r="D17" s="379">
        <v>199</v>
      </c>
      <c r="F17" s="28"/>
      <c r="G17" s="28"/>
      <c r="H17" s="28"/>
      <c r="I17" s="28"/>
      <c r="J17" s="28"/>
      <c r="K17" s="28"/>
      <c r="L17" s="28"/>
      <c r="M17" s="28"/>
      <c r="N17" s="360"/>
      <c r="O17" s="360"/>
      <c r="P17" s="360"/>
      <c r="Q17" s="360"/>
      <c r="R17" s="360"/>
    </row>
    <row r="18" spans="3:18">
      <c r="C18" s="15" t="s">
        <v>138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0"/>
      <c r="O18" s="360"/>
      <c r="P18" s="360"/>
      <c r="Q18" s="360"/>
      <c r="R18" s="360"/>
    </row>
    <row r="19" spans="3:18">
      <c r="C19" s="15" t="s">
        <v>139</v>
      </c>
      <c r="D19" s="372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0"/>
      <c r="O19" s="360"/>
      <c r="P19" s="360"/>
      <c r="Q19" s="360"/>
      <c r="R19" s="360"/>
    </row>
    <row r="20" spans="3:18">
      <c r="C20" s="15" t="s">
        <v>140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0"/>
      <c r="O20" s="360"/>
      <c r="P20" s="360"/>
      <c r="Q20" s="360"/>
      <c r="R20" s="360"/>
    </row>
    <row r="21" spans="3:18">
      <c r="C21" s="15" t="s">
        <v>141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0"/>
      <c r="O21" s="360"/>
      <c r="P21" s="360"/>
      <c r="Q21" s="360"/>
      <c r="R21" s="360"/>
    </row>
    <row r="22" spans="3:18" ht="13">
      <c r="C22" s="15" t="s">
        <v>142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0"/>
      <c r="O22" s="360"/>
      <c r="P22" s="360"/>
      <c r="Q22" s="360"/>
      <c r="R22" s="360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0"/>
      <c r="O23" s="360"/>
      <c r="P23" s="360"/>
      <c r="Q23" s="360"/>
      <c r="R23" s="360"/>
    </row>
    <row r="24" spans="3:18" ht="13">
      <c r="C24" s="174" t="s">
        <v>169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60"/>
      <c r="O24" s="360"/>
      <c r="P24" s="360"/>
      <c r="Q24" s="360"/>
      <c r="R24" s="360"/>
    </row>
    <row r="25" spans="3:18">
      <c r="F25" s="28"/>
      <c r="G25" s="28"/>
      <c r="H25" s="28"/>
      <c r="I25" s="28"/>
      <c r="J25" s="28"/>
      <c r="K25" s="28"/>
      <c r="L25" s="28"/>
      <c r="M25" s="28"/>
      <c r="N25" s="360"/>
      <c r="O25" s="360"/>
      <c r="P25" s="360"/>
      <c r="Q25" s="360"/>
      <c r="R25" s="360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10" zoomScale="85" zoomScaleNormal="85" workbookViewId="0">
      <selection activeCell="B16" sqref="B16"/>
    </sheetView>
  </sheetViews>
  <sheetFormatPr defaultColWidth="9.1796875" defaultRowHeight="12.5"/>
  <cols>
    <col min="1" max="1" width="30.6328125" style="127" customWidth="1"/>
    <col min="2" max="2" width="9.81640625" style="127" customWidth="1"/>
    <col min="3" max="6" width="9.453125" style="127" bestFit="1" customWidth="1"/>
    <col min="7" max="16384" width="9.1796875" style="127"/>
  </cols>
  <sheetData>
    <row r="1" spans="1:12" ht="21">
      <c r="A1" s="349" t="s">
        <v>149</v>
      </c>
    </row>
    <row r="2" spans="1:12" ht="21">
      <c r="A2" s="349"/>
    </row>
    <row r="3" spans="1:12">
      <c r="B3" s="421" t="s">
        <v>150</v>
      </c>
      <c r="C3" s="421"/>
      <c r="D3" s="421"/>
      <c r="E3" s="421"/>
      <c r="F3" s="421"/>
    </row>
    <row r="4" spans="1:12" ht="14.5">
      <c r="B4" s="350" t="s">
        <v>98</v>
      </c>
      <c r="C4" s="350" t="s">
        <v>99</v>
      </c>
      <c r="D4" s="350" t="s">
        <v>100</v>
      </c>
      <c r="E4" s="350" t="s">
        <v>101</v>
      </c>
      <c r="F4" s="350" t="s">
        <v>102</v>
      </c>
    </row>
    <row r="5" spans="1:12" ht="14.5">
      <c r="A5" s="127" t="s">
        <v>2</v>
      </c>
      <c r="B5" s="362">
        <v>1149.2312142121568</v>
      </c>
      <c r="C5" s="362">
        <v>1255.6304578332745</v>
      </c>
      <c r="D5" s="362">
        <v>1353.8373857301615</v>
      </c>
      <c r="E5" s="362">
        <v>1446.9754795854417</v>
      </c>
      <c r="F5" s="362">
        <v>1442.6203434361955</v>
      </c>
      <c r="L5" s="377"/>
    </row>
    <row r="6" spans="1:12" ht="14.5">
      <c r="A6" s="127" t="s">
        <v>103</v>
      </c>
      <c r="B6" s="351"/>
      <c r="C6" s="352">
        <f>C5/B5-1</f>
        <v>9.2582973996280238E-2</v>
      </c>
      <c r="D6" s="352">
        <f t="shared" ref="D6:F6" si="0">D5/C5-1</f>
        <v>7.8213241232100827E-2</v>
      </c>
      <c r="E6" s="352">
        <f t="shared" si="0"/>
        <v>6.879562851268739E-2</v>
      </c>
      <c r="F6" s="352">
        <f t="shared" si="0"/>
        <v>-3.0098202842344657E-3</v>
      </c>
    </row>
    <row r="7" spans="1:12" ht="14.5">
      <c r="A7" s="127" t="s">
        <v>147</v>
      </c>
      <c r="B7" s="362">
        <v>583.04965087049129</v>
      </c>
      <c r="C7" s="362">
        <v>634.42290081513784</v>
      </c>
      <c r="D7" s="362">
        <v>689.15767217994426</v>
      </c>
      <c r="E7" s="362">
        <v>736.80093729452119</v>
      </c>
      <c r="F7" s="362">
        <v>753.12425648235262</v>
      </c>
    </row>
    <row r="8" spans="1:12" ht="14.5">
      <c r="A8" s="353" t="s">
        <v>104</v>
      </c>
      <c r="B8" s="352">
        <f>B7/B5</f>
        <v>0.50733885719436778</v>
      </c>
      <c r="C8" s="352">
        <f t="shared" ref="C8:F8" si="1">C7/C5</f>
        <v>0.50526243359045531</v>
      </c>
      <c r="D8" s="352">
        <f t="shared" si="1"/>
        <v>0.50904021372423747</v>
      </c>
      <c r="E8" s="352">
        <f t="shared" si="1"/>
        <v>0.5092007070538711</v>
      </c>
      <c r="F8" s="352">
        <f t="shared" si="1"/>
        <v>0.52205298497903929</v>
      </c>
    </row>
    <row r="9" spans="1:12" ht="14.5">
      <c r="A9" s="127" t="s">
        <v>105</v>
      </c>
      <c r="B9" s="362">
        <v>-522.72817715549786</v>
      </c>
      <c r="C9" s="362">
        <v>-580.01288924996788</v>
      </c>
      <c r="D9" s="362">
        <v>-622.42079355856106</v>
      </c>
      <c r="E9" s="362">
        <v>-662.10013986288277</v>
      </c>
      <c r="F9" s="362">
        <v>-678.11530593625469</v>
      </c>
    </row>
    <row r="10" spans="1:12" ht="14.5">
      <c r="A10" s="354" t="s">
        <v>106</v>
      </c>
      <c r="B10" s="363">
        <f>SUM(B9,B7)</f>
        <v>60.321473714993431</v>
      </c>
      <c r="C10" s="363">
        <f t="shared" ref="C10:F10" si="2">SUM(C9,C7)</f>
        <v>54.410011565169953</v>
      </c>
      <c r="D10" s="363">
        <f t="shared" si="2"/>
        <v>66.736878621383198</v>
      </c>
      <c r="E10" s="363">
        <f t="shared" si="2"/>
        <v>74.700797431638421</v>
      </c>
      <c r="F10" s="363">
        <f t="shared" si="2"/>
        <v>75.008950546097935</v>
      </c>
    </row>
    <row r="11" spans="1:12" ht="14.5">
      <c r="A11" s="353" t="s">
        <v>107</v>
      </c>
      <c r="B11" s="352">
        <f>B10/B5</f>
        <v>5.2488544488713852E-2</v>
      </c>
      <c r="C11" s="352">
        <f t="shared" ref="C11:F11" si="3">C10/C5</f>
        <v>4.3332822348910109E-2</v>
      </c>
      <c r="D11" s="352">
        <f t="shared" si="3"/>
        <v>4.9294604599347931E-2</v>
      </c>
      <c r="E11" s="352">
        <f t="shared" si="3"/>
        <v>5.162547568051408E-2</v>
      </c>
      <c r="F11" s="352">
        <f t="shared" si="3"/>
        <v>5.1994934694621853E-2</v>
      </c>
    </row>
    <row r="12" spans="1:12" ht="14.5">
      <c r="A12" s="127" t="s">
        <v>108</v>
      </c>
      <c r="B12" s="362">
        <v>-5.4034794520547944</v>
      </c>
      <c r="C12" s="362">
        <v>-6.34</v>
      </c>
      <c r="D12" s="362">
        <v>-6.2353999999999994</v>
      </c>
      <c r="E12" s="362">
        <v>-6.2353999999999994</v>
      </c>
      <c r="F12" s="362">
        <v>-6.3407333333333327</v>
      </c>
    </row>
    <row r="13" spans="1:12" ht="14.5">
      <c r="A13" s="354" t="s">
        <v>109</v>
      </c>
      <c r="B13" s="363">
        <f>B12+B10</f>
        <v>54.917994262938635</v>
      </c>
      <c r="C13" s="363">
        <f t="shared" ref="C13:F13" si="4">C12+C10</f>
        <v>48.070011565169949</v>
      </c>
      <c r="D13" s="363">
        <f t="shared" si="4"/>
        <v>60.5014786213832</v>
      </c>
      <c r="E13" s="363">
        <f t="shared" si="4"/>
        <v>68.465397431638422</v>
      </c>
      <c r="F13" s="363">
        <f t="shared" si="4"/>
        <v>68.668217212764603</v>
      </c>
    </row>
    <row r="14" spans="1:12" ht="14.5">
      <c r="B14" s="351"/>
      <c r="C14" s="351"/>
      <c r="D14" s="351"/>
      <c r="E14" s="351"/>
      <c r="F14" s="351"/>
      <c r="G14" s="193"/>
    </row>
    <row r="15" spans="1:12" ht="14.5">
      <c r="A15" s="127" t="s">
        <v>110</v>
      </c>
      <c r="B15" s="362"/>
      <c r="C15" s="362">
        <v>-18.004468664734777</v>
      </c>
      <c r="D15" s="362">
        <v>-6.7527180429793674</v>
      </c>
      <c r="E15" s="362">
        <v>1.1384540263188825</v>
      </c>
      <c r="F15" s="362">
        <v>-4.8650405710493061</v>
      </c>
    </row>
    <row r="16" spans="1:12" ht="14.5">
      <c r="A16" s="354" t="s">
        <v>111</v>
      </c>
      <c r="B16" s="363">
        <f>B15+B13</f>
        <v>54.917994262938635</v>
      </c>
      <c r="C16" s="363">
        <f>C15+C13</f>
        <v>30.065542900435172</v>
      </c>
      <c r="D16" s="363">
        <f>D15+D13</f>
        <v>53.748760578403832</v>
      </c>
      <c r="E16" s="363">
        <f>E15+E13</f>
        <v>69.603851457957305</v>
      </c>
      <c r="F16" s="363">
        <f>F15+F13</f>
        <v>63.803176641715297</v>
      </c>
    </row>
    <row r="17" spans="1:9" ht="14.5">
      <c r="A17" s="355" t="s">
        <v>112</v>
      </c>
      <c r="B17" s="362">
        <v>3.1</v>
      </c>
      <c r="C17" s="362">
        <v>4.0999999999999996</v>
      </c>
      <c r="D17" s="362">
        <v>4.0999999999999996</v>
      </c>
      <c r="E17" s="362">
        <v>4.0999999999999996</v>
      </c>
      <c r="F17" s="362">
        <v>4.0999999999999996</v>
      </c>
    </row>
    <row r="18" spans="1:9" ht="14.5">
      <c r="A18" s="355" t="s">
        <v>113</v>
      </c>
      <c r="B18" s="362">
        <v>2.1</v>
      </c>
      <c r="C18" s="362">
        <v>2.0132666666666665</v>
      </c>
      <c r="D18" s="362">
        <v>1.9086666666666665</v>
      </c>
      <c r="E18" s="362">
        <v>1.9086666666666665</v>
      </c>
      <c r="F18" s="362">
        <v>1.9086666666666665</v>
      </c>
    </row>
    <row r="19" spans="1:9" ht="14.5">
      <c r="A19" s="355" t="s">
        <v>114</v>
      </c>
      <c r="B19" s="362">
        <v>34.029215400000027</v>
      </c>
      <c r="C19" s="362">
        <v>38.442026856682347</v>
      </c>
      <c r="D19" s="362">
        <v>45.286590949142067</v>
      </c>
      <c r="E19" s="362">
        <v>49.920876920897499</v>
      </c>
      <c r="F19" s="362">
        <v>52.891245475492525</v>
      </c>
      <c r="I19" s="193"/>
    </row>
    <row r="20" spans="1:9" ht="14.5">
      <c r="A20" s="354" t="s">
        <v>115</v>
      </c>
      <c r="B20" s="363">
        <f>SUM(B16:B19)</f>
        <v>94.147209662938664</v>
      </c>
      <c r="C20" s="363">
        <f t="shared" ref="C20:F20" si="5">SUM(C16:C19)</f>
        <v>74.620836423784183</v>
      </c>
      <c r="D20" s="363">
        <f t="shared" si="5"/>
        <v>105.04401819421257</v>
      </c>
      <c r="E20" s="363">
        <f t="shared" si="5"/>
        <v>125.53339504552146</v>
      </c>
      <c r="F20" s="363">
        <f t="shared" si="5"/>
        <v>122.70308878387448</v>
      </c>
    </row>
    <row r="21" spans="1:9" ht="14.5">
      <c r="B21" s="362"/>
      <c r="C21" s="362"/>
      <c r="D21" s="351"/>
      <c r="E21" s="351"/>
      <c r="F21" s="351"/>
    </row>
    <row r="22" spans="1:9" ht="14.5">
      <c r="A22" s="127" t="s">
        <v>116</v>
      </c>
      <c r="B22" s="362">
        <v>0</v>
      </c>
      <c r="C22" s="362">
        <v>0</v>
      </c>
      <c r="D22" s="362">
        <v>0</v>
      </c>
      <c r="E22" s="362">
        <v>24</v>
      </c>
      <c r="F22" s="362">
        <v>0</v>
      </c>
    </row>
    <row r="23" spans="1:9" ht="14.5">
      <c r="A23" s="127" t="s">
        <v>7</v>
      </c>
      <c r="B23" s="362">
        <v>-36</v>
      </c>
      <c r="C23" s="362">
        <v>-51</v>
      </c>
      <c r="D23" s="362">
        <v>-50</v>
      </c>
      <c r="E23" s="362">
        <v>-50</v>
      </c>
      <c r="F23" s="362">
        <v>-50</v>
      </c>
    </row>
    <row r="24" spans="1:9" ht="14.5">
      <c r="A24" s="127" t="s">
        <v>117</v>
      </c>
      <c r="B24" s="362">
        <v>-9.1999999999999993</v>
      </c>
      <c r="C24" s="362">
        <v>-9.1999999999999993</v>
      </c>
      <c r="D24" s="362">
        <v>0</v>
      </c>
      <c r="E24" s="362">
        <v>0</v>
      </c>
      <c r="F24" s="362">
        <v>0</v>
      </c>
    </row>
    <row r="25" spans="1:9" ht="14.5">
      <c r="A25" s="127" t="s">
        <v>10</v>
      </c>
      <c r="B25" s="362">
        <v>-18.06402320252365</v>
      </c>
      <c r="C25" s="362">
        <v>-8.693414081730614</v>
      </c>
      <c r="D25" s="362">
        <v>-10.93107815184899</v>
      </c>
      <c r="E25" s="362">
        <v>-12.364583537694871</v>
      </c>
      <c r="F25" s="362">
        <v>-12.420051098297566</v>
      </c>
    </row>
    <row r="26" spans="1:9" ht="14.5">
      <c r="A26" s="127" t="s">
        <v>118</v>
      </c>
      <c r="B26" s="362">
        <v>-3.1</v>
      </c>
      <c r="C26" s="362">
        <v>-4.0999999999999996</v>
      </c>
      <c r="D26" s="362">
        <v>-4.0999999999999996</v>
      </c>
      <c r="E26" s="362">
        <v>-4.0999999999999996</v>
      </c>
      <c r="F26" s="362">
        <v>-4.0999999999999996</v>
      </c>
    </row>
    <row r="27" spans="1:9" ht="14.5">
      <c r="A27" s="127" t="s">
        <v>119</v>
      </c>
      <c r="B27" s="362">
        <v>6</v>
      </c>
      <c r="C27" s="362">
        <v>16.111954440903407</v>
      </c>
      <c r="D27" s="362">
        <v>15.168892666804709</v>
      </c>
      <c r="E27" s="362">
        <v>11.110216900668604</v>
      </c>
      <c r="F27" s="362">
        <v>3.9548595532390358</v>
      </c>
    </row>
    <row r="28" spans="1:9" ht="14.5">
      <c r="A28" s="127" t="s">
        <v>120</v>
      </c>
      <c r="B28" s="362">
        <v>-36.599999999999994</v>
      </c>
      <c r="C28" s="362">
        <v>-24</v>
      </c>
      <c r="D28" s="362">
        <v>-24</v>
      </c>
      <c r="E28" s="362">
        <v>-24</v>
      </c>
      <c r="F28" s="362">
        <v>-24</v>
      </c>
    </row>
    <row r="29" spans="1:9" ht="14.5">
      <c r="A29" s="127" t="s">
        <v>121</v>
      </c>
      <c r="B29" s="362">
        <v>0</v>
      </c>
      <c r="C29" s="362"/>
      <c r="D29" s="362">
        <v>-5</v>
      </c>
      <c r="E29" s="362">
        <v>-5</v>
      </c>
      <c r="F29" s="362">
        <v>-5</v>
      </c>
    </row>
    <row r="30" spans="1:9" ht="14.5">
      <c r="B30" s="351"/>
      <c r="C30" s="351"/>
      <c r="D30" s="351"/>
      <c r="E30" s="351"/>
      <c r="F30" s="351"/>
    </row>
    <row r="31" spans="1:9" ht="14.5">
      <c r="A31" s="127" t="s">
        <v>122</v>
      </c>
      <c r="B31" s="363">
        <f>SUM(B20:B30)</f>
        <v>-2.8168135395849845</v>
      </c>
      <c r="C31" s="363">
        <f t="shared" ref="C31:F31" si="6">SUM(C20:C30)</f>
        <v>-6.2606232170430225</v>
      </c>
      <c r="D31" s="363">
        <f t="shared" si="6"/>
        <v>26.181832709168283</v>
      </c>
      <c r="E31" s="363">
        <f t="shared" si="6"/>
        <v>65.179028408495185</v>
      </c>
      <c r="F31" s="363">
        <f t="shared" si="6"/>
        <v>31.137897238815953</v>
      </c>
    </row>
    <row r="32" spans="1:9" ht="14.5">
      <c r="A32" s="356" t="s">
        <v>123</v>
      </c>
      <c r="B32" s="363">
        <f>B31-B28-B24</f>
        <v>42.983186460415013</v>
      </c>
      <c r="C32" s="363">
        <f t="shared" ref="C32:F32" si="7">C31-C28-C24</f>
        <v>26.939376782956977</v>
      </c>
      <c r="D32" s="363">
        <f t="shared" si="7"/>
        <v>50.181832709168283</v>
      </c>
      <c r="E32" s="363">
        <f t="shared" si="7"/>
        <v>89.179028408495185</v>
      </c>
      <c r="F32" s="363">
        <f t="shared" si="7"/>
        <v>55.137897238815953</v>
      </c>
    </row>
    <row r="33" spans="1:7" ht="14.5">
      <c r="B33" s="351"/>
      <c r="C33" s="351"/>
      <c r="D33" s="351"/>
      <c r="E33" s="351"/>
      <c r="F33" s="351"/>
    </row>
    <row r="34" spans="1:7" ht="14.5">
      <c r="A34" s="127" t="s">
        <v>124</v>
      </c>
      <c r="B34" s="362">
        <v>-81.8</v>
      </c>
      <c r="C34" s="362">
        <f>B35</f>
        <v>-84.616813539584982</v>
      </c>
      <c r="D34" s="362">
        <f t="shared" ref="D34:F34" si="8">C35</f>
        <v>-90.877436756628001</v>
      </c>
      <c r="E34" s="362">
        <f t="shared" si="8"/>
        <v>-64.69560404745971</v>
      </c>
      <c r="F34" s="362">
        <f t="shared" si="8"/>
        <v>0.4834243610354747</v>
      </c>
    </row>
    <row r="35" spans="1:7" ht="14.5">
      <c r="A35" s="127" t="s">
        <v>125</v>
      </c>
      <c r="B35" s="362">
        <f>B34+B31</f>
        <v>-84.616813539584982</v>
      </c>
      <c r="C35" s="362">
        <f t="shared" ref="C35:F35" si="9">C34+C31</f>
        <v>-90.877436756628001</v>
      </c>
      <c r="D35" s="362">
        <f t="shared" si="9"/>
        <v>-64.69560404745971</v>
      </c>
      <c r="E35" s="362">
        <f t="shared" si="9"/>
        <v>0.4834243610354747</v>
      </c>
      <c r="F35" s="362">
        <f t="shared" si="9"/>
        <v>31.621321599851427</v>
      </c>
    </row>
    <row r="36" spans="1:7" ht="14.5">
      <c r="A36" s="354" t="s">
        <v>126</v>
      </c>
      <c r="B36" s="364">
        <f>-B35/(B20-B15)</f>
        <v>0.89877133738244663</v>
      </c>
      <c r="C36" s="364">
        <f t="shared" ref="C36:F36" si="10">-C35/(C20-C15)</f>
        <v>0.98112968880134244</v>
      </c>
      <c r="D36" s="364">
        <f t="shared" si="10"/>
        <v>0.57868955950734746</v>
      </c>
      <c r="E36" s="364">
        <f t="shared" si="10"/>
        <v>-3.8862059588166816E-3</v>
      </c>
      <c r="F36" s="364">
        <f t="shared" si="10"/>
        <v>-0.24787791245157842</v>
      </c>
    </row>
    <row r="37" spans="1:7" ht="14.5">
      <c r="B37" s="351"/>
      <c r="C37" s="351"/>
      <c r="D37" s="351"/>
      <c r="E37" s="351"/>
      <c r="F37" s="351"/>
    </row>
    <row r="38" spans="1:7" ht="14.5">
      <c r="B38" s="362"/>
      <c r="C38" s="362"/>
      <c r="D38" s="362"/>
      <c r="E38" s="362"/>
      <c r="F38" s="362"/>
    </row>
    <row r="39" spans="1:7" ht="14.5">
      <c r="A39" s="360"/>
      <c r="B39" s="362"/>
      <c r="C39" s="362"/>
      <c r="D39" s="362"/>
      <c r="E39" s="362"/>
      <c r="F39" s="362"/>
      <c r="G39" s="360"/>
    </row>
    <row r="40" spans="1:7" ht="14.5">
      <c r="A40" s="360"/>
      <c r="B40" s="362"/>
      <c r="C40" s="362"/>
      <c r="D40" s="362"/>
      <c r="E40" s="362"/>
      <c r="F40" s="362"/>
      <c r="G40" s="360"/>
    </row>
    <row r="41" spans="1:7" ht="14.5">
      <c r="A41" s="360"/>
      <c r="B41" s="362"/>
      <c r="C41" s="362"/>
      <c r="D41" s="362"/>
      <c r="E41" s="362"/>
      <c r="F41" s="362"/>
      <c r="G41" s="360"/>
    </row>
    <row r="42" spans="1:7" ht="14.5">
      <c r="A42" s="360"/>
      <c r="B42" s="362"/>
      <c r="C42" s="362"/>
      <c r="D42" s="362"/>
      <c r="E42" s="362"/>
      <c r="F42" s="362"/>
      <c r="G42" s="360"/>
    </row>
    <row r="43" spans="1:7" ht="14.5">
      <c r="A43" s="360"/>
      <c r="B43" s="362"/>
      <c r="C43" s="362"/>
      <c r="D43" s="362"/>
      <c r="E43" s="362"/>
      <c r="F43" s="362"/>
      <c r="G43" s="360"/>
    </row>
    <row r="44" spans="1:7" ht="14.5">
      <c r="A44" s="360"/>
      <c r="B44" s="362"/>
      <c r="C44" s="362"/>
      <c r="D44" s="362"/>
      <c r="E44" s="362"/>
      <c r="F44" s="362"/>
      <c r="G44" s="360"/>
    </row>
    <row r="45" spans="1:7" ht="14.5">
      <c r="A45" s="360"/>
      <c r="B45" s="362"/>
      <c r="C45" s="362"/>
      <c r="D45" s="362"/>
      <c r="E45" s="362"/>
      <c r="F45" s="362"/>
      <c r="G45" s="360"/>
    </row>
    <row r="46" spans="1:7" ht="14.5">
      <c r="A46" s="360"/>
      <c r="B46" s="362"/>
      <c r="C46" s="362"/>
      <c r="D46" s="362"/>
      <c r="E46" s="362"/>
      <c r="F46" s="362"/>
      <c r="G46" s="360"/>
    </row>
    <row r="47" spans="1:7" ht="14.5">
      <c r="A47" s="360"/>
      <c r="B47" s="362"/>
      <c r="C47" s="362"/>
      <c r="D47" s="362"/>
      <c r="E47" s="362"/>
      <c r="F47" s="362"/>
      <c r="G47" s="360"/>
    </row>
    <row r="48" spans="1:7" ht="14.5">
      <c r="A48" s="360"/>
      <c r="B48" s="362"/>
      <c r="C48" s="362"/>
      <c r="D48" s="362"/>
      <c r="E48" s="362"/>
      <c r="F48" s="362"/>
      <c r="G48" s="360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D1" zoomScale="85" zoomScaleNormal="85" zoomScaleSheetLayoutView="85" workbookViewId="0">
      <selection activeCell="I20" sqref="I20"/>
    </sheetView>
  </sheetViews>
  <sheetFormatPr defaultColWidth="9.1796875" defaultRowHeight="12.5" outlineLevelRow="1"/>
  <cols>
    <col min="1" max="1" width="3" style="7" customWidth="1"/>
    <col min="2" max="2" width="2.81640625" style="7" customWidth="1"/>
    <col min="3" max="3" width="27.6328125" style="7" customWidth="1"/>
    <col min="4" max="5" width="3.453125" style="7" customWidth="1"/>
    <col min="6" max="22" width="12.6328125" style="7" customWidth="1"/>
    <col min="23" max="23" width="3.453125" style="7" customWidth="1"/>
    <col min="24" max="16384" width="9.179687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 ht="13">
      <c r="B7" s="5"/>
      <c r="D7" s="24"/>
      <c r="F7" s="357" t="s">
        <v>76</v>
      </c>
      <c r="G7" s="357"/>
      <c r="H7" s="357"/>
      <c r="I7" s="357"/>
      <c r="J7" s="357"/>
      <c r="K7" s="357"/>
      <c r="L7" s="358" t="s">
        <v>127</v>
      </c>
      <c r="M7" s="358"/>
      <c r="N7" s="358"/>
      <c r="O7" s="358"/>
      <c r="P7" s="358"/>
      <c r="Q7" s="359" t="s">
        <v>79</v>
      </c>
      <c r="R7" s="359"/>
      <c r="S7" s="359"/>
      <c r="T7" s="359"/>
      <c r="U7" s="359"/>
      <c r="V7" s="359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8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8"/>
      <c r="Q10" s="5"/>
      <c r="R10" s="5"/>
      <c r="S10" s="5"/>
      <c r="U10" s="5"/>
      <c r="V10" s="5"/>
    </row>
    <row r="11" spans="2:34">
      <c r="B11" s="5"/>
      <c r="C11" s="36" t="s">
        <v>23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K11*(1+L13)</f>
        <v>1149</v>
      </c>
      <c r="M11" s="125">
        <f t="shared" ref="M11:V11" si="1">L11*(1+M13)</f>
        <v>1256</v>
      </c>
      <c r="N11" s="125">
        <f t="shared" si="1"/>
        <v>1354</v>
      </c>
      <c r="O11" s="125">
        <f t="shared" si="1"/>
        <v>1147</v>
      </c>
      <c r="P11" s="125">
        <f t="shared" si="1"/>
        <v>1443</v>
      </c>
      <c r="Q11" s="125">
        <f t="shared" si="1"/>
        <v>1471.8600000000001</v>
      </c>
      <c r="R11" s="125">
        <f t="shared" si="1"/>
        <v>1486.5786000000001</v>
      </c>
      <c r="S11" s="125">
        <f t="shared" si="1"/>
        <v>1501.4443860000001</v>
      </c>
      <c r="T11" s="125">
        <f t="shared" si="1"/>
        <v>1516.4588298600002</v>
      </c>
      <c r="U11" s="125">
        <f>T11*(1+U13)</f>
        <v>1531.6234181586001</v>
      </c>
      <c r="V11" s="125">
        <f t="shared" si="1"/>
        <v>1546.9396523401861</v>
      </c>
    </row>
    <row r="12" spans="2:34" outlineLevel="1">
      <c r="B12" s="5"/>
      <c r="C12" s="136" t="s">
        <v>129</v>
      </c>
      <c r="D12" s="136"/>
      <c r="E12" s="137"/>
      <c r="F12" s="186"/>
      <c r="G12" s="186"/>
      <c r="H12" s="186"/>
      <c r="I12" s="186"/>
      <c r="J12" s="186"/>
      <c r="K12" s="186"/>
      <c r="L12" s="394">
        <v>1149</v>
      </c>
      <c r="M12" s="394">
        <v>1256</v>
      </c>
      <c r="N12" s="394">
        <v>1354</v>
      </c>
      <c r="O12" s="394">
        <v>1147</v>
      </c>
      <c r="P12" s="394">
        <v>1443</v>
      </c>
      <c r="Q12" s="151"/>
      <c r="R12" s="151"/>
      <c r="S12" s="151"/>
      <c r="T12" s="151"/>
      <c r="U12" s="151"/>
      <c r="V12" s="151"/>
      <c r="Y12" s="390" t="s">
        <v>159</v>
      </c>
      <c r="Z12" s="390"/>
      <c r="AA12" s="390"/>
      <c r="AB12" s="390"/>
      <c r="AC12" s="390"/>
      <c r="AD12" s="390"/>
      <c r="AE12" s="390"/>
      <c r="AF12" s="390"/>
      <c r="AG12" s="390"/>
      <c r="AH12" s="390"/>
    </row>
    <row r="13" spans="2:34" ht="13">
      <c r="B13" s="14"/>
      <c r="C13" s="14" t="s">
        <v>77</v>
      </c>
      <c r="D13" s="14"/>
      <c r="E13" s="6"/>
      <c r="L13" s="149">
        <f>IF(ISERROR(L12/K11-1),"n.a.",L12/K11-1)</f>
        <v>9.13402424029508E-3</v>
      </c>
      <c r="M13" s="149">
        <f>IF(ISERROR(M12/L12-1),"n.a.",M12/L12-1)</f>
        <v>9.3124456048738091E-2</v>
      </c>
      <c r="N13" s="149">
        <f>IF(ISERROR(N12/M12-1),"n.a.",N12/M12-1)</f>
        <v>7.8025477707006408E-2</v>
      </c>
      <c r="O13" s="149">
        <f>IF(ISERROR(O12/N12-1),"n.a.",O12/N12-1)</f>
        <v>-0.1528803545051699</v>
      </c>
      <c r="P13" s="149">
        <f>IF(ISERROR(P12/O12-1),"n.a.",P12/O12-1)</f>
        <v>0.25806451612903225</v>
      </c>
      <c r="Q13" s="150">
        <v>0.02</v>
      </c>
      <c r="R13" s="389">
        <v>0.01</v>
      </c>
      <c r="S13" s="389">
        <v>0.01</v>
      </c>
      <c r="T13" s="389">
        <v>0.01</v>
      </c>
      <c r="U13" s="389">
        <v>0.01</v>
      </c>
      <c r="V13" s="150">
        <v>0.01</v>
      </c>
      <c r="Y13" s="390" t="s">
        <v>154</v>
      </c>
      <c r="Z13" s="390"/>
      <c r="AA13" s="390"/>
      <c r="AB13" s="390"/>
      <c r="AC13" s="390"/>
      <c r="AD13" s="390"/>
      <c r="AE13" s="390"/>
      <c r="AF13" s="390"/>
      <c r="AG13" s="390"/>
      <c r="AH13" s="390"/>
    </row>
    <row r="14" spans="2:34" ht="13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94.147209662938678</v>
      </c>
      <c r="M15" s="125">
        <f t="shared" ref="M15:V15" si="2">M11*M18</f>
        <v>92.625305088518971</v>
      </c>
      <c r="N15" s="125">
        <f t="shared" si="2"/>
        <v>111.79673623719194</v>
      </c>
      <c r="O15" s="125">
        <f t="shared" si="2"/>
        <v>124.39494101920258</v>
      </c>
      <c r="P15" s="125">
        <f t="shared" si="2"/>
        <v>127.56812935492378</v>
      </c>
      <c r="Q15" s="125">
        <f t="shared" si="2"/>
        <v>130.99554000000001</v>
      </c>
      <c r="R15" s="125">
        <f t="shared" si="2"/>
        <v>132.30549540000001</v>
      </c>
      <c r="S15" s="125">
        <f t="shared" si="2"/>
        <v>133.628550354</v>
      </c>
      <c r="T15" s="125">
        <f t="shared" si="2"/>
        <v>134.96483585754001</v>
      </c>
      <c r="U15" s="125">
        <f t="shared" si="2"/>
        <v>136.3144842161154</v>
      </c>
      <c r="V15" s="125">
        <f t="shared" si="2"/>
        <v>139.22456871061675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394">
        <f>'Company fin forecasts'!B20-'Company fin forecasts'!B15</f>
        <v>94.147209662938664</v>
      </c>
      <c r="M16" s="394">
        <f>'Company fin forecasts'!C20-'Company fin forecasts'!C15</f>
        <v>92.625305088518957</v>
      </c>
      <c r="N16" s="394">
        <f>'Company fin forecasts'!D20-'Company fin forecasts'!D15</f>
        <v>111.79673623719194</v>
      </c>
      <c r="O16" s="394">
        <f>'Company fin forecasts'!E20-'Company fin forecasts'!E15</f>
        <v>124.39494101920258</v>
      </c>
      <c r="P16" s="394">
        <f>'Company fin forecasts'!F20-'Company fin forecasts'!F15</f>
        <v>127.56812935492378</v>
      </c>
      <c r="Q16" s="151"/>
      <c r="R16" s="151"/>
      <c r="S16" s="151"/>
      <c r="T16" s="151"/>
      <c r="U16" s="151"/>
      <c r="V16" s="151"/>
      <c r="Y16" s="390" t="s">
        <v>159</v>
      </c>
      <c r="Z16" s="390"/>
      <c r="AA16" s="390"/>
      <c r="AB16" s="390"/>
      <c r="AC16" s="390"/>
      <c r="AD16" s="390"/>
      <c r="AE16" s="390"/>
      <c r="AF16" s="390"/>
      <c r="AG16" s="390"/>
      <c r="AH16" s="390"/>
    </row>
    <row r="17" spans="2:34" ht="13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>
        <f>IF(ISERROR(L15/K15-1),"n.a.",L15/K15-1)</f>
        <v>-4.1270777363149991E-2</v>
      </c>
      <c r="M17" s="6">
        <f>IF(ISERROR(M15/L15-1),"n.a.",M15/L15-1)</f>
        <v>-1.6165158583757888E-2</v>
      </c>
      <c r="N17" s="6">
        <f t="shared" ref="N17:V17" si="4">IF(ISERROR(N15/M15-1),"n.a.",N15/M15-1)</f>
        <v>0.20697833200496829</v>
      </c>
      <c r="O17" s="6">
        <f t="shared" si="4"/>
        <v>0.11268848453036973</v>
      </c>
      <c r="P17" s="6">
        <f t="shared" si="4"/>
        <v>2.5508982195918684E-2</v>
      </c>
      <c r="Q17" s="6">
        <f t="shared" si="4"/>
        <v>2.6867295635733424E-2</v>
      </c>
      <c r="R17" s="6">
        <f t="shared" si="4"/>
        <v>1.0000000000000009E-2</v>
      </c>
      <c r="S17" s="6">
        <f t="shared" si="4"/>
        <v>9.9999999999997868E-3</v>
      </c>
      <c r="T17" s="6">
        <f t="shared" si="4"/>
        <v>1.0000000000000009E-2</v>
      </c>
      <c r="U17" s="6">
        <f t="shared" si="4"/>
        <v>1.0000000000000009E-2</v>
      </c>
      <c r="V17" s="6">
        <f t="shared" si="4"/>
        <v>2.1348314606741692E-2</v>
      </c>
    </row>
    <row r="18" spans="2:34" ht="13">
      <c r="B18" s="5"/>
      <c r="C18" s="14" t="s">
        <v>78</v>
      </c>
      <c r="D18" s="14"/>
      <c r="E18" s="6"/>
      <c r="L18" s="149">
        <f>IF(ISERROR(L16/L$12),"n.a.",L16/L$12)</f>
        <v>8.1938389610912682E-2</v>
      </c>
      <c r="M18" s="149">
        <f>IF(ISERROR(M16/M$12),"n.a.",M16/M$12)</f>
        <v>7.3746262013152042E-2</v>
      </c>
      <c r="N18" s="149">
        <f>IF(ISERROR(N16/N$12),"n.a.",N16/N$12)</f>
        <v>8.2567752021559776E-2</v>
      </c>
      <c r="O18" s="149">
        <f>IF(ISERROR(O16/O$12),"n.a.",O16/O$12)</f>
        <v>0.10845243332101358</v>
      </c>
      <c r="P18" s="196">
        <f>IF(ISERROR(P16/P$12),"n.a.",P16/P$12)</f>
        <v>8.8404802047764228E-2</v>
      </c>
      <c r="Q18" s="389">
        <v>8.8999999999999996E-2</v>
      </c>
      <c r="R18" s="389">
        <v>8.8999999999999996E-2</v>
      </c>
      <c r="S18" s="389">
        <v>8.8999999999999996E-2</v>
      </c>
      <c r="T18" s="389">
        <v>8.8999999999999996E-2</v>
      </c>
      <c r="U18" s="389">
        <v>8.8999999999999996E-2</v>
      </c>
      <c r="V18" s="185">
        <v>0.09</v>
      </c>
      <c r="Y18" s="390" t="s">
        <v>155</v>
      </c>
      <c r="Z18" s="390"/>
      <c r="AA18" s="390"/>
      <c r="AB18" s="390"/>
      <c r="AC18" s="390"/>
      <c r="AD18" s="390"/>
      <c r="AE18" s="390"/>
      <c r="AF18" s="390"/>
      <c r="AG18" s="390"/>
      <c r="AH18" s="390"/>
    </row>
    <row r="19" spans="2:34" ht="13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 ht="13">
      <c r="B20" s="14"/>
      <c r="C20" s="36" t="s">
        <v>25</v>
      </c>
      <c r="D20" s="36"/>
      <c r="E20" s="37"/>
      <c r="F20" s="37">
        <f t="shared" ref="F20:K20" si="5">-F15+F25</f>
        <v>-23.299999999999997</v>
      </c>
      <c r="G20" s="37">
        <f t="shared" si="5"/>
        <v>-25.300000000000011</v>
      </c>
      <c r="H20" s="37">
        <f t="shared" si="5"/>
        <v>-30.099999999999994</v>
      </c>
      <c r="I20" s="37">
        <f t="shared" si="5"/>
        <v>-31.600000000000009</v>
      </c>
      <c r="J20" s="37">
        <f t="shared" si="5"/>
        <v>-34.900000000000006</v>
      </c>
      <c r="K20" s="37">
        <f t="shared" si="5"/>
        <v>-36</v>
      </c>
      <c r="L20" s="402">
        <v>-36</v>
      </c>
      <c r="M20" s="402">
        <v>-40.4</v>
      </c>
      <c r="N20" s="402">
        <v>-47.3</v>
      </c>
      <c r="O20" s="402">
        <v>-51.9</v>
      </c>
      <c r="P20" s="402">
        <v>-54.9</v>
      </c>
      <c r="Q20" s="125">
        <f t="shared" ref="Q20:V20" si="6">Q22*Q40</f>
        <v>-53.5</v>
      </c>
      <c r="R20" s="125">
        <f t="shared" si="6"/>
        <v>-51</v>
      </c>
      <c r="S20" s="125">
        <f t="shared" si="6"/>
        <v>-49.5</v>
      </c>
      <c r="T20" s="125">
        <f t="shared" si="6"/>
        <v>-48.5</v>
      </c>
      <c r="U20" s="125">
        <f t="shared" si="6"/>
        <v>-47.5</v>
      </c>
      <c r="V20" s="125">
        <f t="shared" si="6"/>
        <v>-47.5</v>
      </c>
      <c r="Y20" s="390" t="s">
        <v>159</v>
      </c>
      <c r="Z20" s="390"/>
      <c r="AA20" s="390"/>
      <c r="AB20" s="390"/>
      <c r="AC20" s="390"/>
      <c r="AD20" s="390"/>
      <c r="AE20" s="390"/>
      <c r="AF20" s="390"/>
      <c r="AG20" s="390"/>
      <c r="AH20" s="390"/>
    </row>
    <row r="21" spans="2:34" ht="13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>IF(ISERROR(L20/K20-1),"n.a.",L20/K20-1)</f>
        <v>0</v>
      </c>
      <c r="M21" s="6">
        <f t="shared" si="7"/>
        <v>0.12222222222222223</v>
      </c>
      <c r="N21" s="6">
        <f t="shared" si="7"/>
        <v>0.17079207920792072</v>
      </c>
      <c r="O21" s="6">
        <f t="shared" si="7"/>
        <v>9.7251585623678638E-2</v>
      </c>
      <c r="P21" s="6">
        <f t="shared" si="7"/>
        <v>5.7803468208092568E-2</v>
      </c>
      <c r="Q21" s="6">
        <f t="shared" si="7"/>
        <v>-2.5500910746812377E-2</v>
      </c>
      <c r="R21" s="6">
        <f t="shared" si="7"/>
        <v>-4.6728971962616828E-2</v>
      </c>
      <c r="S21" s="6">
        <f t="shared" si="7"/>
        <v>-2.9411764705882359E-2</v>
      </c>
      <c r="T21" s="6">
        <f t="shared" si="7"/>
        <v>-2.0202020202020221E-2</v>
      </c>
      <c r="U21" s="6">
        <f t="shared" si="7"/>
        <v>-2.0618556701030966E-2</v>
      </c>
      <c r="V21" s="6">
        <f t="shared" si="7"/>
        <v>0</v>
      </c>
    </row>
    <row r="22" spans="2:34" ht="13">
      <c r="B22" s="14"/>
      <c r="C22" s="14" t="s">
        <v>8</v>
      </c>
      <c r="D22" s="14"/>
      <c r="E22" s="6"/>
      <c r="F22" s="149">
        <f t="shared" ref="F22:J22" si="8">IF(ISERROR(F20/F$40),"n.a.",F20/F$40)</f>
        <v>0.76644736842105254</v>
      </c>
      <c r="G22" s="149">
        <f t="shared" si="8"/>
        <v>0.67466666666666697</v>
      </c>
      <c r="H22" s="149">
        <f t="shared" si="8"/>
        <v>0.74689826302729523</v>
      </c>
      <c r="I22" s="149">
        <f t="shared" si="8"/>
        <v>0.87534626038781183</v>
      </c>
      <c r="J22" s="149">
        <f t="shared" si="8"/>
        <v>0.93565683646112618</v>
      </c>
      <c r="K22" s="149">
        <f>IF(ISERROR(K20/K$40),"n.a.",K20/K$40)</f>
        <v>1.1612903225806452</v>
      </c>
      <c r="L22" s="149">
        <f t="shared" ref="L22:O22" si="9">IF(ISERROR(L20/L$40),"n.a.",L20/L$40)</f>
        <v>1</v>
      </c>
      <c r="M22" s="149">
        <f t="shared" si="9"/>
        <v>0.792156862745098</v>
      </c>
      <c r="N22" s="149">
        <f t="shared" si="9"/>
        <v>0.94599999999999995</v>
      </c>
      <c r="O22" s="149">
        <f t="shared" si="9"/>
        <v>1.038</v>
      </c>
      <c r="P22" s="149">
        <f>IF(ISERROR(P20/P$40),"n.a.",P20/P$40)</f>
        <v>1.0979999999999999</v>
      </c>
      <c r="Q22" s="389">
        <v>1.07</v>
      </c>
      <c r="R22" s="389">
        <v>1.02</v>
      </c>
      <c r="S22" s="389">
        <v>0.99</v>
      </c>
      <c r="T22" s="389">
        <v>0.97</v>
      </c>
      <c r="U22" s="389">
        <v>0.95</v>
      </c>
      <c r="V22" s="185">
        <v>0.95</v>
      </c>
      <c r="X22" s="268"/>
      <c r="Y22" s="390" t="s">
        <v>160</v>
      </c>
      <c r="Z22" s="390"/>
      <c r="AA22" s="390"/>
      <c r="AB22" s="390"/>
      <c r="AC22" s="390"/>
      <c r="AD22" s="390"/>
      <c r="AE22" s="390"/>
      <c r="AF22" s="390"/>
      <c r="AG22" s="390"/>
      <c r="AH22" s="390"/>
    </row>
    <row r="23" spans="2:34" ht="13">
      <c r="B23" s="14"/>
      <c r="C23" s="14" t="s">
        <v>1</v>
      </c>
      <c r="D23" s="14"/>
      <c r="E23" s="6"/>
      <c r="F23" s="149">
        <f t="shared" ref="F23:V23" si="10">F20/F11*-1</f>
        <v>2.4795147387464082E-2</v>
      </c>
      <c r="G23" s="149">
        <f t="shared" si="10"/>
        <v>2.5176634490994141E-2</v>
      </c>
      <c r="H23" s="149">
        <f t="shared" si="10"/>
        <v>2.9466470876162502E-2</v>
      </c>
      <c r="I23" s="149">
        <f t="shared" si="10"/>
        <v>2.8858447488584484E-2</v>
      </c>
      <c r="J23" s="149">
        <f t="shared" si="10"/>
        <v>3.0746189763016483E-2</v>
      </c>
      <c r="K23" s="149">
        <f t="shared" si="10"/>
        <v>3.1617776216406115E-2</v>
      </c>
      <c r="L23" s="149">
        <f t="shared" si="10"/>
        <v>3.1331592689295036E-2</v>
      </c>
      <c r="M23" s="149">
        <f t="shared" si="10"/>
        <v>3.2165605095541401E-2</v>
      </c>
      <c r="N23" s="149">
        <f t="shared" si="10"/>
        <v>3.4933530280649924E-2</v>
      </c>
      <c r="O23" s="149">
        <f t="shared" si="10"/>
        <v>4.5248474280732344E-2</v>
      </c>
      <c r="P23" s="149">
        <f t="shared" si="10"/>
        <v>3.8045738045738048E-2</v>
      </c>
      <c r="Q23" s="149">
        <f t="shared" si="10"/>
        <v>3.6348565760330465E-2</v>
      </c>
      <c r="R23" s="149">
        <f t="shared" si="10"/>
        <v>3.4306965000034308E-2</v>
      </c>
      <c r="S23" s="149">
        <f t="shared" si="10"/>
        <v>3.2968254076911244E-2</v>
      </c>
      <c r="T23" s="149">
        <f t="shared" si="10"/>
        <v>3.1982404695073414E-2</v>
      </c>
      <c r="U23" s="149">
        <f t="shared" si="10"/>
        <v>3.1012845218250221E-2</v>
      </c>
      <c r="V23" s="149">
        <f t="shared" si="10"/>
        <v>3.0705787344802199E-2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58.147209662938678</v>
      </c>
      <c r="M25" s="125">
        <f>+M15+M20</f>
        <v>52.225305088518972</v>
      </c>
      <c r="N25" s="125">
        <f>+N15+N20</f>
        <v>64.496736237191939</v>
      </c>
      <c r="O25" s="125">
        <f>+O15+O20</f>
        <v>72.494941019202571</v>
      </c>
      <c r="P25" s="125">
        <f>+P15+P20</f>
        <v>72.668129354923792</v>
      </c>
      <c r="Q25" s="125">
        <f t="shared" ref="Q25:V25" si="11">Q15+Q20</f>
        <v>77.495540000000005</v>
      </c>
      <c r="R25" s="125">
        <f t="shared" si="11"/>
        <v>81.305495400000012</v>
      </c>
      <c r="S25" s="125">
        <f t="shared" si="11"/>
        <v>84.128550353999998</v>
      </c>
      <c r="T25" s="125">
        <f t="shared" si="11"/>
        <v>86.46483585754001</v>
      </c>
      <c r="U25" s="125">
        <f t="shared" si="11"/>
        <v>88.814484216115403</v>
      </c>
      <c r="V25" s="125">
        <f t="shared" si="11"/>
        <v>91.724568710616751</v>
      </c>
    </row>
    <row r="26" spans="2:34" ht="13">
      <c r="B26" s="5"/>
      <c r="C26" s="14" t="s">
        <v>0</v>
      </c>
      <c r="D26" s="14"/>
      <c r="E26" s="6"/>
      <c r="F26" s="6" t="str">
        <f t="shared" ref="F26:V26" si="12">IF(ISERROR(F25/E25-1),"n.a.",F25/E25-1)</f>
        <v>n.a.</v>
      </c>
      <c r="G26" s="6">
        <f t="shared" si="12"/>
        <v>8.740359897172234E-2</v>
      </c>
      <c r="H26" s="6">
        <f t="shared" si="12"/>
        <v>-1.1820330969266601E-3</v>
      </c>
      <c r="I26" s="6">
        <f t="shared" si="12"/>
        <v>-8.7573964497041468E-2</v>
      </c>
      <c r="J26" s="6">
        <f t="shared" si="12"/>
        <v>-3.2425421530479892E-2</v>
      </c>
      <c r="K26" s="6">
        <f t="shared" si="12"/>
        <v>-0.16621983914209104</v>
      </c>
      <c r="L26" s="6">
        <f t="shared" si="12"/>
        <v>-6.5157400917384645E-2</v>
      </c>
      <c r="M26" s="6">
        <f t="shared" si="12"/>
        <v>-0.10184331473078667</v>
      </c>
      <c r="N26" s="6">
        <f t="shared" si="12"/>
        <v>0.23497098059788413</v>
      </c>
      <c r="O26" s="6">
        <f t="shared" si="12"/>
        <v>0.12400944991381557</v>
      </c>
      <c r="P26" s="6">
        <f t="shared" si="12"/>
        <v>2.3889713307767568E-3</v>
      </c>
      <c r="Q26" s="6">
        <f t="shared" si="12"/>
        <v>6.6430919413079881E-2</v>
      </c>
      <c r="R26" s="6">
        <f t="shared" si="12"/>
        <v>4.91635441213778E-2</v>
      </c>
      <c r="S26" s="6">
        <f t="shared" si="12"/>
        <v>3.4721576199878701E-2</v>
      </c>
      <c r="T26" s="6">
        <f t="shared" si="12"/>
        <v>2.7770423877616857E-2</v>
      </c>
      <c r="U26" s="6">
        <f t="shared" si="12"/>
        <v>2.7174611913294955E-2</v>
      </c>
      <c r="V26" s="6">
        <f t="shared" si="12"/>
        <v>3.2765877324920645E-2</v>
      </c>
    </row>
    <row r="27" spans="2:34" ht="13">
      <c r="B27" s="5"/>
      <c r="C27" s="14" t="s">
        <v>1</v>
      </c>
      <c r="D27" s="14"/>
      <c r="E27" s="6"/>
      <c r="F27" s="6">
        <f t="shared" ref="F27:Q27" si="13">IF(ISERROR(F25/F$11),"n.a.",F25/F$11)</f>
        <v>8.2792380546983069E-2</v>
      </c>
      <c r="G27" s="6">
        <f t="shared" si="13"/>
        <v>8.4187481341427006E-2</v>
      </c>
      <c r="H27" s="6">
        <f t="shared" si="13"/>
        <v>8.272148800783162E-2</v>
      </c>
      <c r="I27" s="6">
        <f t="shared" si="13"/>
        <v>7.0410958904109588E-2</v>
      </c>
      <c r="J27" s="6">
        <f t="shared" si="13"/>
        <v>6.5721081843009427E-2</v>
      </c>
      <c r="K27" s="6">
        <f t="shared" si="13"/>
        <v>5.4628491129457238E-2</v>
      </c>
      <c r="L27" s="6">
        <f t="shared" si="13"/>
        <v>5.0606796921617646E-2</v>
      </c>
      <c r="M27" s="6">
        <f t="shared" si="13"/>
        <v>4.1580656917610648E-2</v>
      </c>
      <c r="N27" s="6">
        <f t="shared" si="13"/>
        <v>4.7634221740909852E-2</v>
      </c>
      <c r="O27" s="6">
        <f t="shared" si="13"/>
        <v>6.3203959040281227E-2</v>
      </c>
      <c r="P27" s="6">
        <f t="shared" si="13"/>
        <v>5.0359064002026187E-2</v>
      </c>
      <c r="Q27" s="6">
        <f t="shared" si="13"/>
        <v>5.2651434239669531E-2</v>
      </c>
      <c r="R27" s="6">
        <f>IF(ISERROR(R25/R$11),"n.a.",R25/R$11)</f>
        <v>5.4693034999965702E-2</v>
      </c>
      <c r="S27" s="6">
        <f>IF(ISERROR(S25/S$11),"n.a.",S25/S$11)</f>
        <v>5.6031745923088752E-2</v>
      </c>
      <c r="T27" s="6">
        <f>IF(ISERROR(T25/T$11),"n.a.",T25/T$11)</f>
        <v>5.7017595304926588E-2</v>
      </c>
      <c r="U27" s="6">
        <f>IF(ISERROR(U25/U$11),"n.a.",U25/U$11)</f>
        <v>5.7987154781749775E-2</v>
      </c>
      <c r="V27" s="6">
        <f>IF(ISERROR(V25/V$11),"n.a.",V25/V$11)</f>
        <v>5.9294212655197805E-2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389">
        <v>0.17</v>
      </c>
      <c r="O29" s="389">
        <v>0.17</v>
      </c>
      <c r="P29" s="389">
        <v>0.17</v>
      </c>
      <c r="Q29" s="389">
        <v>0.17</v>
      </c>
      <c r="R29" s="389">
        <v>0.17</v>
      </c>
      <c r="S29" s="389">
        <v>0.17</v>
      </c>
      <c r="T29" s="389">
        <v>0.17</v>
      </c>
      <c r="U29" s="389">
        <v>0.17</v>
      </c>
      <c r="V29" s="389">
        <v>0.17</v>
      </c>
      <c r="Y29" s="390" t="s">
        <v>156</v>
      </c>
      <c r="Z29" s="390"/>
      <c r="AA29" s="390"/>
      <c r="AB29" s="390"/>
      <c r="AC29" s="390"/>
      <c r="AD29" s="390"/>
      <c r="AE29" s="390"/>
      <c r="AF29" s="390"/>
      <c r="AG29" s="390"/>
      <c r="AH29" s="390"/>
    </row>
    <row r="30" spans="2:34" s="383" customFormat="1" ht="12.75" customHeight="1">
      <c r="B30" s="191"/>
      <c r="C30" s="384"/>
      <c r="D30" s="384"/>
      <c r="E30" s="385"/>
      <c r="F30" s="386"/>
      <c r="G30" s="386"/>
      <c r="H30" s="386"/>
      <c r="I30" s="386"/>
      <c r="J30" s="386"/>
      <c r="K30" s="387"/>
      <c r="L30" s="387"/>
      <c r="M30" s="387"/>
      <c r="N30" s="382"/>
      <c r="O30" s="382"/>
      <c r="P30" s="382"/>
      <c r="Q30" s="382"/>
      <c r="R30" s="382"/>
      <c r="S30" s="382"/>
      <c r="T30" s="382"/>
      <c r="U30" s="382"/>
      <c r="V30" s="382"/>
    </row>
    <row r="31" spans="2:34">
      <c r="B31" s="5" t="s">
        <v>152</v>
      </c>
      <c r="C31" s="36" t="s">
        <v>153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 ht="13">
      <c r="B32" s="5"/>
      <c r="C32" s="14" t="s">
        <v>0</v>
      </c>
      <c r="D32" s="14"/>
      <c r="E32" s="6"/>
      <c r="F32" s="6" t="str">
        <f t="shared" ref="F32:P32" si="14">IF(ISERROR(F31/E31-1),"n.a.",F31/E31-1)</f>
        <v>n.a.</v>
      </c>
      <c r="G32" s="6">
        <f t="shared" si="14"/>
        <v>0.18558558558558547</v>
      </c>
      <c r="H32" s="6">
        <f t="shared" si="14"/>
        <v>-1.3677811550151797E-2</v>
      </c>
      <c r="I32" s="6">
        <f t="shared" si="14"/>
        <v>-8.3204930662557852E-2</v>
      </c>
      <c r="J32" s="6">
        <f t="shared" si="14"/>
        <v>-1.8487394957983239E-2</v>
      </c>
      <c r="K32" s="6">
        <f t="shared" si="14"/>
        <v>-0.17294520547945214</v>
      </c>
      <c r="L32" s="6">
        <f t="shared" si="14"/>
        <v>-7.9015003043886201E-2</v>
      </c>
      <c r="M32" s="6">
        <f t="shared" si="14"/>
        <v>-0.10308222119070343</v>
      </c>
      <c r="N32" s="6">
        <f t="shared" si="14"/>
        <v>0.25861169264250194</v>
      </c>
      <c r="O32" s="6">
        <f t="shared" si="14"/>
        <v>0.13163180457279799</v>
      </c>
      <c r="P32" s="6">
        <f t="shared" si="14"/>
        <v>2.9623691490097137E-3</v>
      </c>
      <c r="Q32" s="388"/>
      <c r="R32" s="388"/>
      <c r="S32" s="388"/>
      <c r="T32" s="5"/>
      <c r="U32" s="5"/>
      <c r="V32" s="5"/>
    </row>
    <row r="33" spans="2:34" ht="13">
      <c r="B33" s="5"/>
      <c r="C33" s="14" t="s">
        <v>1</v>
      </c>
      <c r="D33" s="14"/>
      <c r="E33" s="6"/>
      <c r="F33" s="6">
        <f t="shared" ref="F33:P33" si="15">IF(ISERROR(F31/F$11),"n.a.",F31/F$11)</f>
        <v>5.9061402575289981E-2</v>
      </c>
      <c r="G33" s="6">
        <f t="shared" si="15"/>
        <v>6.5479152154443221E-2</v>
      </c>
      <c r="H33" s="6">
        <f t="shared" si="15"/>
        <v>6.35340186000979E-2</v>
      </c>
      <c r="I33" s="6">
        <f t="shared" si="15"/>
        <v>5.4337899543378997E-2</v>
      </c>
      <c r="J33" s="6">
        <f t="shared" si="15"/>
        <v>5.1449211523213814E-2</v>
      </c>
      <c r="K33" s="6">
        <f>IF(ISERROR(K31/K$11),"n.a.",K31/K$11)</f>
        <v>4.2420516423678202E-2</v>
      </c>
      <c r="L33" s="6">
        <f t="shared" si="15"/>
        <v>3.8715035120087289E-2</v>
      </c>
      <c r="M33" s="6">
        <f t="shared" si="15"/>
        <v>3.1766010827301801E-2</v>
      </c>
      <c r="N33" s="6">
        <f t="shared" si="15"/>
        <v>3.7087317027878916E-2</v>
      </c>
      <c r="O33" s="6">
        <f t="shared" si="15"/>
        <v>4.9543400059511675E-2</v>
      </c>
      <c r="P33" s="6">
        <f t="shared" si="15"/>
        <v>3.9497311355921425E-2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6"/>
      <c r="G34" s="186"/>
      <c r="H34" s="186"/>
      <c r="I34" s="186"/>
      <c r="J34" s="186"/>
      <c r="K34" s="186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6"/>
      <c r="G35" s="186"/>
      <c r="H35" s="186"/>
      <c r="I35" s="186"/>
      <c r="J35" s="186"/>
      <c r="K35" s="186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6"/>
      <c r="G36" s="186"/>
      <c r="H36" s="186"/>
      <c r="I36" s="186"/>
      <c r="J36" s="186"/>
      <c r="K36" s="186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 ht="1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 ht="13">
      <c r="B39" s="5"/>
      <c r="C39" s="5"/>
      <c r="D39" s="5"/>
      <c r="E39" s="5"/>
      <c r="F39" s="5"/>
      <c r="G39" s="5"/>
      <c r="H39" s="5"/>
      <c r="I39" s="5"/>
      <c r="J39" s="191"/>
      <c r="K39" s="191"/>
      <c r="L39" s="19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402">
        <v>-36</v>
      </c>
      <c r="M40" s="402">
        <v>-51</v>
      </c>
      <c r="N40" s="402">
        <v>-50</v>
      </c>
      <c r="O40" s="402">
        <v>-50</v>
      </c>
      <c r="P40" s="402">
        <v>-50</v>
      </c>
      <c r="Q40" s="402">
        <v>-50</v>
      </c>
      <c r="R40" s="402">
        <v>-50</v>
      </c>
      <c r="S40" s="402">
        <v>-50</v>
      </c>
      <c r="T40" s="402">
        <v>-50</v>
      </c>
      <c r="U40" s="402">
        <v>-50</v>
      </c>
      <c r="V40" s="402">
        <v>-50</v>
      </c>
      <c r="Y40" s="390" t="s">
        <v>163</v>
      </c>
      <c r="Z40" s="390"/>
      <c r="AA40" s="390"/>
      <c r="AB40" s="390"/>
      <c r="AC40" s="390"/>
      <c r="AD40" s="390"/>
      <c r="AE40" s="390"/>
      <c r="AF40" s="390"/>
      <c r="AG40" s="390"/>
      <c r="AH40" s="390"/>
    </row>
    <row r="41" spans="2:34" ht="13">
      <c r="B41" s="5"/>
      <c r="C41" s="14" t="s">
        <v>0</v>
      </c>
      <c r="D41" s="14"/>
      <c r="E41" s="6"/>
      <c r="F41" s="6" t="str">
        <f t="shared" ref="F41" si="16">IF(ISERROR(F40/E40-1),"n.a.",F40/E40-1)</f>
        <v>n.a.</v>
      </c>
      <c r="G41" s="6">
        <f>IF(ISERROR(G40/F40-1),"n.a.",G40/F40-1)</f>
        <v>0.23355263157894735</v>
      </c>
      <c r="H41" s="6">
        <f t="shared" ref="H41:V41" si="17">IF(ISERROR(H40/G40-1),"n.a.",H40/G40-1)</f>
        <v>7.4666666666666659E-2</v>
      </c>
      <c r="I41" s="6">
        <f t="shared" si="17"/>
        <v>-0.10421836228287829</v>
      </c>
      <c r="J41" s="6">
        <f t="shared" si="17"/>
        <v>3.3240997229916802E-2</v>
      </c>
      <c r="K41" s="6">
        <f t="shared" si="17"/>
        <v>-0.16890080428954413</v>
      </c>
      <c r="L41" s="6">
        <f t="shared" si="17"/>
        <v>0.16129032258064524</v>
      </c>
      <c r="M41" s="6">
        <f t="shared" si="17"/>
        <v>0.41666666666666674</v>
      </c>
      <c r="N41" s="6">
        <f t="shared" si="17"/>
        <v>-1.9607843137254943E-2</v>
      </c>
      <c r="O41" s="6">
        <f t="shared" si="17"/>
        <v>0</v>
      </c>
      <c r="P41" s="6">
        <f t="shared" si="17"/>
        <v>0</v>
      </c>
      <c r="Q41" s="6">
        <f t="shared" si="17"/>
        <v>0</v>
      </c>
      <c r="R41" s="6">
        <f t="shared" si="17"/>
        <v>0</v>
      </c>
      <c r="S41" s="6">
        <f t="shared" si="17"/>
        <v>0</v>
      </c>
      <c r="T41" s="6">
        <f t="shared" si="17"/>
        <v>0</v>
      </c>
      <c r="U41" s="6">
        <f t="shared" si="17"/>
        <v>0</v>
      </c>
      <c r="V41" s="6">
        <f t="shared" si="17"/>
        <v>0</v>
      </c>
    </row>
    <row r="42" spans="2:34" ht="12.75" customHeight="1">
      <c r="B42" s="14"/>
      <c r="C42" s="14" t="s">
        <v>24</v>
      </c>
      <c r="D42" s="14"/>
      <c r="E42" s="6"/>
      <c r="F42" s="149">
        <f>IF(ISERROR(-F40/F$11),"n.a.",-F40/F$11)</f>
        <v>3.2350750239438113E-2</v>
      </c>
      <c r="G42" s="149">
        <f t="shared" ref="G42:V42" si="18">IF(ISERROR(-G40/G$11),"n.a.",-G40/G$11)</f>
        <v>3.7317145984675094E-2</v>
      </c>
      <c r="H42" s="149">
        <f t="shared" si="18"/>
        <v>3.9451786588350461E-2</v>
      </c>
      <c r="I42" s="149">
        <f t="shared" si="18"/>
        <v>3.2968036529680368E-2</v>
      </c>
      <c r="J42" s="149">
        <f t="shared" si="18"/>
        <v>3.2860540921504713E-2</v>
      </c>
      <c r="K42" s="149">
        <f t="shared" si="18"/>
        <v>2.7226418408571932E-2</v>
      </c>
      <c r="L42" s="149">
        <f t="shared" si="18"/>
        <v>3.1331592689295036E-2</v>
      </c>
      <c r="M42" s="149">
        <f t="shared" si="18"/>
        <v>4.0605095541401272E-2</v>
      </c>
      <c r="N42" s="149">
        <f t="shared" si="18"/>
        <v>3.6927621861152143E-2</v>
      </c>
      <c r="O42" s="149">
        <f t="shared" si="18"/>
        <v>4.3591979075850044E-2</v>
      </c>
      <c r="P42" s="149">
        <f t="shared" si="18"/>
        <v>3.4650034650034647E-2</v>
      </c>
      <c r="Q42" s="149">
        <f t="shared" si="18"/>
        <v>3.3970622205916318E-2</v>
      </c>
      <c r="R42" s="149">
        <f t="shared" si="18"/>
        <v>3.3634279411798342E-2</v>
      </c>
      <c r="S42" s="149">
        <f t="shared" si="18"/>
        <v>3.3301266744354789E-2</v>
      </c>
      <c r="T42" s="149">
        <f t="shared" si="18"/>
        <v>3.2971551232034442E-2</v>
      </c>
      <c r="U42" s="149">
        <f t="shared" si="18"/>
        <v>3.2645100229737073E-2</v>
      </c>
      <c r="V42" s="149">
        <f t="shared" si="18"/>
        <v>3.2321881415581261E-2</v>
      </c>
    </row>
    <row r="43" spans="2:34" ht="13">
      <c r="B43" s="14"/>
      <c r="C43" s="14" t="s">
        <v>128</v>
      </c>
      <c r="D43" s="14"/>
      <c r="E43" s="6"/>
      <c r="F43" s="6">
        <f t="shared" ref="F43:V43" si="19">(F15+F40)/F15</f>
        <v>0.69930761622156279</v>
      </c>
      <c r="G43" s="6">
        <f t="shared" si="19"/>
        <v>0.65878070973612379</v>
      </c>
      <c r="H43" s="6">
        <f t="shared" si="19"/>
        <v>0.64834205933682376</v>
      </c>
      <c r="I43" s="6">
        <f t="shared" si="19"/>
        <v>0.66789328426862915</v>
      </c>
      <c r="J43" s="6">
        <f t="shared" si="19"/>
        <v>0.65936073059360734</v>
      </c>
      <c r="K43" s="6">
        <f t="shared" si="19"/>
        <v>0.68431771894093685</v>
      </c>
      <c r="L43" s="6">
        <f t="shared" si="19"/>
        <v>0.61762010654500044</v>
      </c>
      <c r="M43" s="6">
        <f t="shared" si="19"/>
        <v>0.44939452613666458</v>
      </c>
      <c r="N43" s="6">
        <f t="shared" si="19"/>
        <v>0.55275975236058572</v>
      </c>
      <c r="O43" s="6">
        <f t="shared" si="19"/>
        <v>0.598054393608486</v>
      </c>
      <c r="P43" s="6">
        <f t="shared" si="19"/>
        <v>0.60805257353199449</v>
      </c>
      <c r="Q43" s="6">
        <f t="shared" si="19"/>
        <v>0.6183076156638615</v>
      </c>
      <c r="R43" s="6">
        <f t="shared" si="19"/>
        <v>0.62208674818204113</v>
      </c>
      <c r="S43" s="6">
        <f t="shared" si="19"/>
        <v>0.6258284635465754</v>
      </c>
      <c r="T43" s="6">
        <f t="shared" si="19"/>
        <v>0.62953313222433205</v>
      </c>
      <c r="U43" s="6">
        <f t="shared" si="19"/>
        <v>0.63320112101419013</v>
      </c>
      <c r="V43" s="6">
        <f t="shared" si="19"/>
        <v>0.6408679842713193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26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402">
        <v>6</v>
      </c>
      <c r="M45" s="402">
        <v>16</v>
      </c>
      <c r="N45" s="402">
        <v>15</v>
      </c>
      <c r="O45" s="402">
        <v>11</v>
      </c>
      <c r="P45" s="402">
        <v>4</v>
      </c>
      <c r="Q45" s="125">
        <f>Q47*Q11</f>
        <v>0</v>
      </c>
      <c r="R45" s="125">
        <f>R47*R11</f>
        <v>0</v>
      </c>
      <c r="S45" s="125">
        <f>S47*S11</f>
        <v>0</v>
      </c>
      <c r="T45" s="125">
        <f t="shared" ref="T45:V45" si="20">T47*T11</f>
        <v>0</v>
      </c>
      <c r="U45" s="125">
        <f t="shared" si="20"/>
        <v>0</v>
      </c>
      <c r="V45" s="125">
        <f t="shared" si="20"/>
        <v>0</v>
      </c>
      <c r="Y45" s="390" t="s">
        <v>161</v>
      </c>
      <c r="Z45" s="390"/>
      <c r="AA45" s="390"/>
      <c r="AB45" s="390"/>
      <c r="AC45" s="390"/>
      <c r="AD45" s="390"/>
      <c r="AE45" s="390"/>
      <c r="AF45" s="390"/>
      <c r="AG45" s="390"/>
      <c r="AH45" s="390"/>
    </row>
    <row r="46" spans="2:34" ht="13">
      <c r="C46" s="138" t="s">
        <v>0</v>
      </c>
      <c r="D46" s="136"/>
      <c r="E46" s="137"/>
      <c r="F46" s="6" t="str">
        <f t="shared" ref="F46:V46" si="21">IF(ISERROR(F45/E45-1),"n.a.",F45/E45-1)</f>
        <v>n.a.</v>
      </c>
      <c r="G46" s="6">
        <f t="shared" si="21"/>
        <v>-5.7358490566037723</v>
      </c>
      <c r="H46" s="6">
        <f t="shared" si="21"/>
        <v>-1.4462151394422311</v>
      </c>
      <c r="I46" s="6">
        <f t="shared" si="21"/>
        <v>0.45535714285714324</v>
      </c>
      <c r="J46" s="6">
        <f t="shared" si="21"/>
        <v>-0.22699386503067509</v>
      </c>
      <c r="K46" s="6">
        <f t="shared" si="21"/>
        <v>-0.17460317460317465</v>
      </c>
      <c r="L46" s="6">
        <f t="shared" si="21"/>
        <v>-1.5769230769230771</v>
      </c>
      <c r="M46" s="6">
        <f t="shared" si="21"/>
        <v>1.6666666666666665</v>
      </c>
      <c r="N46" s="6">
        <f t="shared" si="21"/>
        <v>-6.25E-2</v>
      </c>
      <c r="O46" s="6">
        <f t="shared" si="21"/>
        <v>-0.26666666666666672</v>
      </c>
      <c r="P46" s="6">
        <f t="shared" si="21"/>
        <v>-0.63636363636363635</v>
      </c>
      <c r="Q46" s="6">
        <f t="shared" si="21"/>
        <v>-1</v>
      </c>
      <c r="R46" s="6" t="str">
        <f t="shared" si="21"/>
        <v>n.a.</v>
      </c>
      <c r="S46" s="6" t="str">
        <f t="shared" si="21"/>
        <v>n.a.</v>
      </c>
      <c r="T46" s="6" t="str">
        <f t="shared" si="21"/>
        <v>n.a.</v>
      </c>
      <c r="U46" s="6" t="str">
        <f t="shared" si="21"/>
        <v>n.a.</v>
      </c>
      <c r="V46" s="6" t="str">
        <f t="shared" si="21"/>
        <v>n.a.</v>
      </c>
    </row>
    <row r="47" spans="2:34" ht="13">
      <c r="C47" s="14" t="s">
        <v>24</v>
      </c>
      <c r="D47" s="14"/>
      <c r="E47" s="6"/>
      <c r="F47" s="6">
        <f>IF(ISERROR(F45/F$11),"n.a.",F45/F$11)</f>
        <v>-5.6400979035862511E-3</v>
      </c>
      <c r="G47" s="6">
        <f t="shared" ref="G47:P47" si="22">IF(ISERROR(G45/G$11),"n.a.",G45/G$11)</f>
        <v>2.4977609712409192E-2</v>
      </c>
      <c r="H47" s="6">
        <f t="shared" si="22"/>
        <v>-1.0964268232990699E-2</v>
      </c>
      <c r="I47" s="6">
        <f t="shared" si="22"/>
        <v>-1.4885844748858451E-2</v>
      </c>
      <c r="J47" s="6">
        <f t="shared" si="22"/>
        <v>-1.1100343582063256E-2</v>
      </c>
      <c r="K47" s="6">
        <f t="shared" si="22"/>
        <v>-9.1340242402950991E-3</v>
      </c>
      <c r="L47" s="6">
        <f t="shared" si="22"/>
        <v>5.2219321148825066E-3</v>
      </c>
      <c r="M47" s="6">
        <f t="shared" si="22"/>
        <v>1.2738853503184714E-2</v>
      </c>
      <c r="N47" s="6">
        <f t="shared" si="22"/>
        <v>1.1078286558345642E-2</v>
      </c>
      <c r="O47" s="6">
        <f t="shared" si="22"/>
        <v>9.5902353966870104E-3</v>
      </c>
      <c r="P47" s="6">
        <f t="shared" si="22"/>
        <v>2.772002772002772E-3</v>
      </c>
      <c r="Q47" s="150">
        <v>0</v>
      </c>
      <c r="R47" s="6">
        <f t="shared" ref="R47:V47" si="23">Q47</f>
        <v>0</v>
      </c>
      <c r="S47" s="6">
        <f t="shared" si="23"/>
        <v>0</v>
      </c>
      <c r="T47" s="6">
        <f t="shared" si="23"/>
        <v>0</v>
      </c>
      <c r="U47" s="6">
        <f t="shared" si="23"/>
        <v>0</v>
      </c>
      <c r="V47" s="6">
        <f t="shared" si="23"/>
        <v>0</v>
      </c>
    </row>
    <row r="48" spans="2:34" ht="1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130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402">
        <v>0</v>
      </c>
      <c r="M49" s="402">
        <v>0</v>
      </c>
      <c r="N49" s="402">
        <v>-5</v>
      </c>
      <c r="O49" s="402">
        <v>-5</v>
      </c>
      <c r="P49" s="402">
        <v>-5</v>
      </c>
      <c r="Q49" s="402">
        <v>-5</v>
      </c>
      <c r="R49" s="402">
        <v>-5</v>
      </c>
      <c r="S49" s="402">
        <v>-5</v>
      </c>
      <c r="T49" s="402">
        <v>-5</v>
      </c>
      <c r="U49" s="402">
        <v>-5</v>
      </c>
      <c r="V49" s="402">
        <v>-5</v>
      </c>
      <c r="Y49" s="390" t="s">
        <v>162</v>
      </c>
      <c r="Z49" s="390"/>
      <c r="AA49" s="390"/>
      <c r="AB49" s="390"/>
      <c r="AC49" s="390"/>
      <c r="AD49" s="390"/>
      <c r="AE49" s="390"/>
      <c r="AF49" s="390"/>
      <c r="AG49" s="390"/>
      <c r="AH49" s="390"/>
    </row>
    <row r="50" spans="2:34" ht="13">
      <c r="B50" s="5"/>
      <c r="C50" s="14" t="s">
        <v>0</v>
      </c>
      <c r="D50" s="14"/>
      <c r="E50" s="6"/>
      <c r="F50" s="6" t="str">
        <f t="shared" ref="F50" si="24">IF(ISERROR(F49/E49-1),"n.a.",F49/E49-1)</f>
        <v>n.a.</v>
      </c>
      <c r="G50" s="6" t="str">
        <f>IF(ISERROR(G49/F49-1),"n.a.",G49/F49-1)</f>
        <v>n.a.</v>
      </c>
      <c r="H50" s="6" t="str">
        <f t="shared" ref="H50" si="25">IF(ISERROR(H49/G49-1),"n.a.",H49/G49-1)</f>
        <v>n.a.</v>
      </c>
      <c r="I50" s="6" t="str">
        <f t="shared" ref="I50" si="26">IF(ISERROR(I49/H49-1),"n.a.",I49/H49-1)</f>
        <v>n.a.</v>
      </c>
      <c r="J50" s="6" t="str">
        <f t="shared" ref="J50" si="27">IF(ISERROR(J49/I49-1),"n.a.",J49/I49-1)</f>
        <v>n.a.</v>
      </c>
      <c r="K50" s="6">
        <f t="shared" ref="K50" si="28">IF(ISERROR(K49/J49-1),"n.a.",K49/J49-1)</f>
        <v>-1.4933333333333334</v>
      </c>
      <c r="L50" s="6">
        <f t="shared" ref="L50" si="29">IF(ISERROR(L49/K49-1),"n.a.",L49/K49-1)</f>
        <v>-1</v>
      </c>
      <c r="M50" s="6" t="str">
        <f t="shared" ref="M50" si="30">IF(ISERROR(M49/L49-1),"n.a.",M49/L49-1)</f>
        <v>n.a.</v>
      </c>
      <c r="N50" s="6" t="str">
        <f>IF(ISERROR(N49/M49-1),"n.a.",N49/M49-1)</f>
        <v>n.a.</v>
      </c>
      <c r="O50" s="6">
        <f>IF(ISERROR(O49/N49-1),"n.a.",O49/N49-1)</f>
        <v>0</v>
      </c>
      <c r="P50" s="6">
        <f t="shared" ref="P50" si="31">IF(ISERROR(P49/O49-1),"n.a.",P49/O49-1)</f>
        <v>0</v>
      </c>
      <c r="Q50" s="6">
        <f t="shared" ref="Q50" si="32">IF(ISERROR(Q49/P49-1),"n.a.",Q49/P49-1)</f>
        <v>0</v>
      </c>
      <c r="R50" s="6">
        <f t="shared" ref="R50" si="33">IF(ISERROR(R49/Q49-1),"n.a.",R49/Q49-1)</f>
        <v>0</v>
      </c>
      <c r="S50" s="6">
        <f t="shared" ref="S50" si="34">IF(ISERROR(S49/R49-1),"n.a.",S49/R49-1)</f>
        <v>0</v>
      </c>
      <c r="T50" s="6">
        <f t="shared" ref="T50" si="35">IF(ISERROR(T49/S49-1),"n.a.",T49/S49-1)</f>
        <v>0</v>
      </c>
      <c r="U50" s="6">
        <f t="shared" ref="U50" si="36">IF(ISERROR(U49/T49-1),"n.a.",U49/T49-1)</f>
        <v>0</v>
      </c>
      <c r="V50" s="6">
        <f t="shared" ref="V50" si="37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49">
        <f>IF(ISERROR(-F49/F$11),"n.a.",-F49/F$11)</f>
        <v>0</v>
      </c>
      <c r="G51" s="149">
        <f t="shared" ref="G51:V51" si="38">IF(ISERROR(-G49/G$11),"n.a.",-G49/G$11)</f>
        <v>0</v>
      </c>
      <c r="H51" s="149">
        <f t="shared" si="38"/>
        <v>0</v>
      </c>
      <c r="I51" s="149">
        <f t="shared" si="38"/>
        <v>0</v>
      </c>
      <c r="J51" s="149">
        <f t="shared" si="38"/>
        <v>1.3214694740551493E-3</v>
      </c>
      <c r="K51" s="149">
        <f t="shared" si="38"/>
        <v>-6.4992095555945904E-4</v>
      </c>
      <c r="L51" s="149">
        <f t="shared" si="38"/>
        <v>0</v>
      </c>
      <c r="M51" s="149">
        <f t="shared" si="38"/>
        <v>0</v>
      </c>
      <c r="N51" s="149">
        <f>IF(ISERROR(-N49/N$11),"n.a.",-N49/N$11)</f>
        <v>3.692762186115214E-3</v>
      </c>
      <c r="O51" s="149">
        <f t="shared" si="38"/>
        <v>4.3591979075850041E-3</v>
      </c>
      <c r="P51" s="149">
        <f t="shared" si="38"/>
        <v>3.4650034650034649E-3</v>
      </c>
      <c r="Q51" s="149">
        <f t="shared" si="38"/>
        <v>3.3970622205916319E-3</v>
      </c>
      <c r="R51" s="149">
        <f t="shared" si="38"/>
        <v>3.3634279411798337E-3</v>
      </c>
      <c r="S51" s="149">
        <f t="shared" si="38"/>
        <v>3.3301266744354789E-3</v>
      </c>
      <c r="T51" s="149">
        <f t="shared" si="38"/>
        <v>3.2971551232034444E-3</v>
      </c>
      <c r="U51" s="149">
        <f t="shared" si="38"/>
        <v>3.2645100229737076E-3</v>
      </c>
      <c r="V51" s="149">
        <f t="shared" si="38"/>
        <v>3.2321881415581263E-3</v>
      </c>
    </row>
    <row r="52" spans="2:34" ht="13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131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402">
        <f>+'Company fin forecasts'!B15+'Company fin forecasts'!B22</f>
        <v>0</v>
      </c>
      <c r="M53" s="402">
        <f>+'Company fin forecasts'!C15+'Company fin forecasts'!C22</f>
        <v>-18.004468664734777</v>
      </c>
      <c r="N53" s="402">
        <f>+'Company fin forecasts'!D15+'Company fin forecasts'!D22</f>
        <v>-6.7527180429793674</v>
      </c>
      <c r="O53" s="402">
        <f>+'Company fin forecasts'!E15+'Company fin forecasts'!E22</f>
        <v>25.138454026318882</v>
      </c>
      <c r="P53" s="402">
        <f>+'Company fin forecasts'!F15+'Company fin forecasts'!F22</f>
        <v>-4.8650405710493061</v>
      </c>
      <c r="Q53" s="133">
        <v>0</v>
      </c>
      <c r="R53" s="133">
        <f t="shared" ref="R53:V53" si="39">+Q53</f>
        <v>0</v>
      </c>
      <c r="S53" s="133">
        <f t="shared" si="39"/>
        <v>0</v>
      </c>
      <c r="T53" s="133">
        <f t="shared" si="39"/>
        <v>0</v>
      </c>
      <c r="U53" s="133">
        <f t="shared" si="39"/>
        <v>0</v>
      </c>
      <c r="V53" s="133">
        <f t="shared" si="39"/>
        <v>0</v>
      </c>
      <c r="Y53" s="390" t="s">
        <v>159</v>
      </c>
      <c r="Z53" s="390"/>
      <c r="AA53" s="390"/>
      <c r="AB53" s="390"/>
      <c r="AC53" s="390"/>
      <c r="AD53" s="390"/>
      <c r="AE53" s="390"/>
      <c r="AF53" s="390"/>
      <c r="AG53" s="390"/>
      <c r="AH53" s="390"/>
    </row>
    <row r="54" spans="2:34" ht="13">
      <c r="B54" s="5"/>
      <c r="C54" s="14" t="s">
        <v>0</v>
      </c>
      <c r="D54" s="14"/>
      <c r="E54" s="6"/>
      <c r="F54" s="6" t="str">
        <f t="shared" ref="F54" si="40">IF(ISERROR(F53/E53-1),"n.a.",F53/E53-1)</f>
        <v>n.a.</v>
      </c>
      <c r="G54" s="6" t="str">
        <f>IF(ISERROR(G53/F53-1),"n.a.",G53/F53-1)</f>
        <v>n.a.</v>
      </c>
      <c r="H54" s="6" t="str">
        <f t="shared" ref="H54" si="41">IF(ISERROR(H53/G53-1),"n.a.",H53/G53-1)</f>
        <v>n.a.</v>
      </c>
      <c r="I54" s="6" t="str">
        <f t="shared" ref="I54" si="42">IF(ISERROR(I53/H53-1),"n.a.",I53/H53-1)</f>
        <v>n.a.</v>
      </c>
      <c r="J54" s="6" t="str">
        <f t="shared" ref="J54" si="43">IF(ISERROR(J53/I53-1),"n.a.",J53/I53-1)</f>
        <v>n.a.</v>
      </c>
      <c r="K54" s="6" t="str">
        <f t="shared" ref="K54" si="44">IF(ISERROR(K53/J53-1),"n.a.",K53/J53-1)</f>
        <v>n.a.</v>
      </c>
      <c r="L54" s="6" t="str">
        <f t="shared" ref="L54" si="45">IF(ISERROR(L53/K53-1),"n.a.",L53/K53-1)</f>
        <v>n.a.</v>
      </c>
      <c r="M54" s="6" t="str">
        <f t="shared" ref="M54" si="46">IF(ISERROR(M53/L53-1),"n.a.",M53/L53-1)</f>
        <v>n.a.</v>
      </c>
      <c r="N54" s="6">
        <f t="shared" ref="N54" si="47">IF(ISERROR(N53/M53-1),"n.a.",N53/M53-1)</f>
        <v>-0.62494210916616122</v>
      </c>
      <c r="O54" s="6">
        <f t="shared" ref="O54" si="48">IF(ISERROR(O53/N53-1),"n.a.",O53/N53-1)</f>
        <v>-4.722716373809611</v>
      </c>
      <c r="P54" s="6">
        <f t="shared" ref="P54" si="49">IF(ISERROR(P53/O53-1),"n.a.",P53/O53-1)</f>
        <v>-1.1935298235108578</v>
      </c>
      <c r="Q54" s="6">
        <f t="shared" ref="Q54" si="50">IF(ISERROR(Q53/P53-1),"n.a.",Q53/P53-1)</f>
        <v>-1</v>
      </c>
      <c r="R54" s="6" t="str">
        <f t="shared" ref="R54" si="51">IF(ISERROR(R53/Q53-1),"n.a.",R53/Q53-1)</f>
        <v>n.a.</v>
      </c>
      <c r="S54" s="6" t="str">
        <f t="shared" ref="S54" si="52">IF(ISERROR(S53/R53-1),"n.a.",S53/R53-1)</f>
        <v>n.a.</v>
      </c>
      <c r="T54" s="6" t="str">
        <f t="shared" ref="T54" si="53">IF(ISERROR(T53/S53-1),"n.a.",T53/S53-1)</f>
        <v>n.a.</v>
      </c>
      <c r="U54" s="6" t="str">
        <f t="shared" ref="U54" si="54">IF(ISERROR(U53/T53-1),"n.a.",U53/T53-1)</f>
        <v>n.a.</v>
      </c>
      <c r="V54" s="6" t="str">
        <f t="shared" ref="V54" si="55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49">
        <f>IF(ISERROR(-F53/F$11),"n.a.",-F53/F$11)</f>
        <v>0</v>
      </c>
      <c r="G55" s="149">
        <f t="shared" ref="G55:V55" si="56">IF(ISERROR(-G53/G$11),"n.a.",-G53/G$11)</f>
        <v>0</v>
      </c>
      <c r="H55" s="149">
        <f t="shared" si="56"/>
        <v>0</v>
      </c>
      <c r="I55" s="149">
        <f t="shared" si="56"/>
        <v>0</v>
      </c>
      <c r="J55" s="149">
        <f t="shared" si="56"/>
        <v>0</v>
      </c>
      <c r="K55" s="149">
        <f t="shared" si="56"/>
        <v>0</v>
      </c>
      <c r="L55" s="149">
        <f t="shared" si="56"/>
        <v>0</v>
      </c>
      <c r="M55" s="149">
        <f t="shared" si="56"/>
        <v>1.4334768045171E-2</v>
      </c>
      <c r="N55" s="149">
        <f t="shared" si="56"/>
        <v>4.9872363685224278E-3</v>
      </c>
      <c r="O55" s="149">
        <f t="shared" si="56"/>
        <v>-2.1916699238290219E-2</v>
      </c>
      <c r="P55" s="149">
        <f t="shared" si="56"/>
        <v>3.3714764872136561E-3</v>
      </c>
      <c r="Q55" s="149">
        <f t="shared" si="56"/>
        <v>0</v>
      </c>
      <c r="R55" s="149">
        <f t="shared" si="56"/>
        <v>0</v>
      </c>
      <c r="S55" s="149">
        <f t="shared" si="56"/>
        <v>0</v>
      </c>
      <c r="T55" s="149">
        <f t="shared" si="56"/>
        <v>0</v>
      </c>
      <c r="U55" s="149">
        <f t="shared" si="56"/>
        <v>0</v>
      </c>
      <c r="V55" s="149">
        <f t="shared" si="56"/>
        <v>0</v>
      </c>
    </row>
    <row r="56" spans="2:34">
      <c r="L56" s="268"/>
      <c r="M56" s="268"/>
    </row>
    <row r="57" spans="2:34" ht="13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69</v>
      </c>
      <c r="D58" s="82"/>
      <c r="E58" s="117"/>
      <c r="F58" s="258">
        <f t="shared" ref="F58:V58" si="57">F9</f>
        <v>41729</v>
      </c>
      <c r="G58" s="258">
        <f t="shared" si="57"/>
        <v>42094</v>
      </c>
      <c r="H58" s="258">
        <f t="shared" si="57"/>
        <v>42460</v>
      </c>
      <c r="I58" s="258">
        <f t="shared" si="57"/>
        <v>42825</v>
      </c>
      <c r="J58" s="258">
        <f t="shared" si="57"/>
        <v>43190</v>
      </c>
      <c r="K58" s="258">
        <f t="shared" si="57"/>
        <v>43555</v>
      </c>
      <c r="L58" s="259">
        <f t="shared" si="57"/>
        <v>43921</v>
      </c>
      <c r="M58" s="259">
        <f t="shared" si="57"/>
        <v>44286</v>
      </c>
      <c r="N58" s="259">
        <f t="shared" si="57"/>
        <v>44651</v>
      </c>
      <c r="O58" s="259">
        <f t="shared" si="57"/>
        <v>45016</v>
      </c>
      <c r="P58" s="259">
        <f t="shared" si="57"/>
        <v>45382</v>
      </c>
      <c r="Q58" s="259">
        <f t="shared" si="57"/>
        <v>45747</v>
      </c>
      <c r="R58" s="259">
        <f t="shared" si="57"/>
        <v>46112</v>
      </c>
      <c r="S58" s="259">
        <f t="shared" si="57"/>
        <v>46477</v>
      </c>
      <c r="T58" s="259">
        <f t="shared" si="57"/>
        <v>46843</v>
      </c>
      <c r="U58" s="259">
        <f t="shared" si="57"/>
        <v>47208</v>
      </c>
      <c r="V58" s="259">
        <f t="shared" si="57"/>
        <v>47573</v>
      </c>
    </row>
    <row r="59" spans="2:34" ht="13">
      <c r="C59" s="119"/>
      <c r="D59" s="120"/>
      <c r="E59" s="121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</row>
    <row r="60" spans="2:34">
      <c r="C60" s="255" t="s">
        <v>2</v>
      </c>
      <c r="D60" s="256"/>
      <c r="E60" s="255"/>
      <c r="F60" s="261">
        <f t="shared" ref="F60:O60" si="58">F11</f>
        <v>939.7</v>
      </c>
      <c r="G60" s="261">
        <f t="shared" si="58"/>
        <v>1004.9</v>
      </c>
      <c r="H60" s="261">
        <f t="shared" si="58"/>
        <v>1021.5</v>
      </c>
      <c r="I60" s="261">
        <f t="shared" si="58"/>
        <v>1095</v>
      </c>
      <c r="J60" s="261">
        <f t="shared" si="58"/>
        <v>1135.0999999999999</v>
      </c>
      <c r="K60" s="261">
        <f t="shared" si="58"/>
        <v>1138.5999999999999</v>
      </c>
      <c r="L60" s="261">
        <f t="shared" si="58"/>
        <v>1149</v>
      </c>
      <c r="M60" s="261">
        <f t="shared" si="58"/>
        <v>1256</v>
      </c>
      <c r="N60" s="261">
        <f t="shared" si="58"/>
        <v>1354</v>
      </c>
      <c r="O60" s="261">
        <f t="shared" si="58"/>
        <v>1147</v>
      </c>
      <c r="P60" s="261">
        <f t="shared" ref="P60:V60" si="59">P11</f>
        <v>1443</v>
      </c>
      <c r="Q60" s="261">
        <f t="shared" si="59"/>
        <v>1471.8600000000001</v>
      </c>
      <c r="R60" s="261">
        <f t="shared" si="59"/>
        <v>1486.5786000000001</v>
      </c>
      <c r="S60" s="261">
        <f t="shared" si="59"/>
        <v>1501.4443860000001</v>
      </c>
      <c r="T60" s="261">
        <f t="shared" si="59"/>
        <v>1516.4588298600002</v>
      </c>
      <c r="U60" s="261">
        <f t="shared" si="59"/>
        <v>1531.6234181586001</v>
      </c>
      <c r="V60" s="261">
        <f t="shared" si="59"/>
        <v>1546.9396523401861</v>
      </c>
    </row>
    <row r="61" spans="2:34">
      <c r="C61" s="248" t="s">
        <v>0</v>
      </c>
      <c r="D61" s="247"/>
      <c r="E61" s="249"/>
      <c r="F61" s="262" t="str">
        <f>IF(ISERROR(F60/E60-1),"n.a.",F60/E60-1)</f>
        <v>n.a.</v>
      </c>
      <c r="G61" s="262">
        <f>IF(ISERROR(G60/F60-1),"n.a.",G60/F60-1)</f>
        <v>6.9383845908268516E-2</v>
      </c>
      <c r="H61" s="262">
        <f t="shared" ref="H61:V61" si="60">IF(ISERROR(H60/G60-1),"n.a.",H60/G60-1)</f>
        <v>1.6519056622549488E-2</v>
      </c>
      <c r="I61" s="262">
        <f t="shared" si="60"/>
        <v>7.1953010279001361E-2</v>
      </c>
      <c r="J61" s="262">
        <f t="shared" si="60"/>
        <v>3.6621004566209869E-2</v>
      </c>
      <c r="K61" s="262">
        <f t="shared" si="60"/>
        <v>3.0834287727954379E-3</v>
      </c>
      <c r="L61" s="262">
        <f t="shared" si="60"/>
        <v>9.13402424029508E-3</v>
      </c>
      <c r="M61" s="262">
        <f t="shared" si="60"/>
        <v>9.3124456048738091E-2</v>
      </c>
      <c r="N61" s="262">
        <f t="shared" si="60"/>
        <v>7.8025477707006408E-2</v>
      </c>
      <c r="O61" s="262">
        <f t="shared" si="60"/>
        <v>-0.1528803545051699</v>
      </c>
      <c r="P61" s="262">
        <f t="shared" si="60"/>
        <v>0.25806451612903225</v>
      </c>
      <c r="Q61" s="262">
        <f t="shared" si="60"/>
        <v>2.0000000000000018E-2</v>
      </c>
      <c r="R61" s="262">
        <f t="shared" si="60"/>
        <v>1.0000000000000009E-2</v>
      </c>
      <c r="S61" s="262">
        <f t="shared" si="60"/>
        <v>1.0000000000000009E-2</v>
      </c>
      <c r="T61" s="262">
        <f t="shared" si="60"/>
        <v>1.0000000000000009E-2</v>
      </c>
      <c r="U61" s="262">
        <f t="shared" si="60"/>
        <v>1.0000000000000009E-2</v>
      </c>
      <c r="V61" s="262">
        <f t="shared" si="60"/>
        <v>1.0000000000000009E-2</v>
      </c>
    </row>
    <row r="62" spans="2:34">
      <c r="C62" s="255" t="s">
        <v>3</v>
      </c>
      <c r="D62" s="256"/>
      <c r="E62" s="255"/>
      <c r="F62" s="261">
        <f t="shared" ref="F62:P62" si="61">F15</f>
        <v>101.1</v>
      </c>
      <c r="G62" s="261">
        <f t="shared" si="61"/>
        <v>109.9</v>
      </c>
      <c r="H62" s="261">
        <f t="shared" si="61"/>
        <v>114.6</v>
      </c>
      <c r="I62" s="261">
        <f t="shared" si="61"/>
        <v>108.7</v>
      </c>
      <c r="J62" s="261">
        <f t="shared" si="61"/>
        <v>109.5</v>
      </c>
      <c r="K62" s="261">
        <f t="shared" si="61"/>
        <v>98.2</v>
      </c>
      <c r="L62" s="261">
        <f t="shared" si="61"/>
        <v>94.147209662938678</v>
      </c>
      <c r="M62" s="261">
        <f t="shared" si="61"/>
        <v>92.625305088518971</v>
      </c>
      <c r="N62" s="261">
        <f t="shared" si="61"/>
        <v>111.79673623719194</v>
      </c>
      <c r="O62" s="261">
        <f t="shared" si="61"/>
        <v>124.39494101920258</v>
      </c>
      <c r="P62" s="261">
        <f t="shared" si="61"/>
        <v>127.56812935492378</v>
      </c>
      <c r="Q62" s="261">
        <f t="shared" ref="Q62:V62" si="62">Q15</f>
        <v>130.99554000000001</v>
      </c>
      <c r="R62" s="261">
        <f t="shared" si="62"/>
        <v>132.30549540000001</v>
      </c>
      <c r="S62" s="261">
        <f t="shared" si="62"/>
        <v>133.628550354</v>
      </c>
      <c r="T62" s="261">
        <f t="shared" si="62"/>
        <v>134.96483585754001</v>
      </c>
      <c r="U62" s="261">
        <f t="shared" si="62"/>
        <v>136.3144842161154</v>
      </c>
      <c r="V62" s="261">
        <f t="shared" si="62"/>
        <v>139.22456871061675</v>
      </c>
    </row>
    <row r="63" spans="2:34">
      <c r="C63" s="248" t="s">
        <v>0</v>
      </c>
      <c r="D63" s="247"/>
      <c r="E63" s="249"/>
      <c r="F63" s="262" t="str">
        <f>IF(ISERROR(F62/E62-1),"n.a.",F62/E62-1)</f>
        <v>n.a.</v>
      </c>
      <c r="G63" s="262">
        <f>IF(ISERROR(G62/F62-1),"n.a.",G62/F62-1)</f>
        <v>8.7042532146389906E-2</v>
      </c>
      <c r="H63" s="262">
        <f t="shared" ref="H63:V63" si="63">IF(ISERROR(H62/G62-1),"n.a.",H62/G62-1)</f>
        <v>4.2766151046405687E-2</v>
      </c>
      <c r="I63" s="262">
        <f t="shared" si="63"/>
        <v>-5.148342059336819E-2</v>
      </c>
      <c r="J63" s="262">
        <f t="shared" si="63"/>
        <v>7.3597056117755688E-3</v>
      </c>
      <c r="K63" s="262">
        <f t="shared" si="63"/>
        <v>-0.10319634703196345</v>
      </c>
      <c r="L63" s="262">
        <f t="shared" si="63"/>
        <v>-4.1270777363149991E-2</v>
      </c>
      <c r="M63" s="262">
        <f t="shared" si="63"/>
        <v>-1.6165158583757888E-2</v>
      </c>
      <c r="N63" s="262">
        <f t="shared" si="63"/>
        <v>0.20697833200496829</v>
      </c>
      <c r="O63" s="262">
        <f t="shared" si="63"/>
        <v>0.11268848453036973</v>
      </c>
      <c r="P63" s="262">
        <f t="shared" si="63"/>
        <v>2.5508982195918684E-2</v>
      </c>
      <c r="Q63" s="262">
        <f t="shared" si="63"/>
        <v>2.6867295635733424E-2</v>
      </c>
      <c r="R63" s="262">
        <f t="shared" si="63"/>
        <v>1.0000000000000009E-2</v>
      </c>
      <c r="S63" s="262">
        <f t="shared" si="63"/>
        <v>9.9999999999997868E-3</v>
      </c>
      <c r="T63" s="262">
        <f t="shared" si="63"/>
        <v>1.0000000000000009E-2</v>
      </c>
      <c r="U63" s="262">
        <f t="shared" si="63"/>
        <v>1.0000000000000009E-2</v>
      </c>
      <c r="V63" s="262">
        <f t="shared" si="63"/>
        <v>2.1348314606741692E-2</v>
      </c>
    </row>
    <row r="64" spans="2:34">
      <c r="C64" s="248" t="s">
        <v>1</v>
      </c>
      <c r="D64" s="247"/>
      <c r="E64" s="250"/>
      <c r="F64" s="264">
        <f>F62/F$60</f>
        <v>0.10758752793444715</v>
      </c>
      <c r="G64" s="264">
        <f t="shared" ref="G64" si="64">G62/G$60</f>
        <v>0.10936411583242114</v>
      </c>
      <c r="H64" s="264">
        <f>H62/H$60</f>
        <v>0.11218795888399412</v>
      </c>
      <c r="I64" s="264">
        <f t="shared" ref="I64" si="65">I62/I$60</f>
        <v>9.9269406392694062E-2</v>
      </c>
      <c r="J64" s="264">
        <f t="shared" ref="J64:V64" si="66">J62/J$60</f>
        <v>9.6467271606025903E-2</v>
      </c>
      <c r="K64" s="264">
        <f t="shared" si="66"/>
        <v>8.6246267345863353E-2</v>
      </c>
      <c r="L64" s="264">
        <f t="shared" si="66"/>
        <v>8.1938389610912682E-2</v>
      </c>
      <c r="M64" s="264">
        <f t="shared" si="66"/>
        <v>7.3746262013152042E-2</v>
      </c>
      <c r="N64" s="264">
        <f t="shared" si="66"/>
        <v>8.2567752021559776E-2</v>
      </c>
      <c r="O64" s="264">
        <f t="shared" si="66"/>
        <v>0.10845243332101358</v>
      </c>
      <c r="P64" s="264">
        <f t="shared" si="66"/>
        <v>8.8404802047764228E-2</v>
      </c>
      <c r="Q64" s="264">
        <f t="shared" si="66"/>
        <v>8.8999999999999996E-2</v>
      </c>
      <c r="R64" s="264">
        <f t="shared" si="66"/>
        <v>8.900000000000001E-2</v>
      </c>
      <c r="S64" s="264">
        <f t="shared" si="66"/>
        <v>8.8999999999999996E-2</v>
      </c>
      <c r="T64" s="264">
        <f t="shared" si="66"/>
        <v>8.8999999999999996E-2</v>
      </c>
      <c r="U64" s="264">
        <f t="shared" si="66"/>
        <v>8.8999999999999996E-2</v>
      </c>
      <c r="V64" s="264">
        <f t="shared" si="66"/>
        <v>9.0000000000000011E-2</v>
      </c>
    </row>
    <row r="65" spans="3:22">
      <c r="C65" s="246" t="s">
        <v>4</v>
      </c>
      <c r="D65" s="247"/>
      <c r="E65" s="250"/>
      <c r="F65" s="265">
        <f>+F68-F62</f>
        <v>-23.299999999999997</v>
      </c>
      <c r="G65" s="265">
        <f>+G68-G62</f>
        <v>-25.300000000000011</v>
      </c>
      <c r="H65" s="265">
        <f t="shared" ref="H65:V65" si="67">+H68-H62</f>
        <v>-30.099999999999994</v>
      </c>
      <c r="I65" s="265">
        <f t="shared" si="67"/>
        <v>-31.600000000000009</v>
      </c>
      <c r="J65" s="265">
        <f t="shared" si="67"/>
        <v>-34.900000000000006</v>
      </c>
      <c r="K65" s="265">
        <f t="shared" si="67"/>
        <v>-36</v>
      </c>
      <c r="L65" s="265">
        <f>+L68-L62</f>
        <v>-36</v>
      </c>
      <c r="M65" s="265">
        <f t="shared" si="67"/>
        <v>-40.4</v>
      </c>
      <c r="N65" s="265">
        <f t="shared" si="67"/>
        <v>-47.3</v>
      </c>
      <c r="O65" s="265">
        <f t="shared" si="67"/>
        <v>-51.900000000000006</v>
      </c>
      <c r="P65" s="265">
        <f t="shared" si="67"/>
        <v>-54.899999999999991</v>
      </c>
      <c r="Q65" s="265">
        <f t="shared" si="67"/>
        <v>-53.5</v>
      </c>
      <c r="R65" s="265">
        <f t="shared" si="67"/>
        <v>-51</v>
      </c>
      <c r="S65" s="265">
        <f t="shared" si="67"/>
        <v>-49.5</v>
      </c>
      <c r="T65" s="265">
        <f t="shared" si="67"/>
        <v>-48.5</v>
      </c>
      <c r="U65" s="265">
        <f t="shared" si="67"/>
        <v>-47.5</v>
      </c>
      <c r="V65" s="265">
        <f t="shared" si="67"/>
        <v>-47.5</v>
      </c>
    </row>
    <row r="66" spans="3:22">
      <c r="C66" s="248" t="s">
        <v>84</v>
      </c>
      <c r="D66" s="247"/>
      <c r="E66" s="250"/>
      <c r="F66" s="264">
        <f t="shared" ref="F66:V66" si="68">+F65/F60</f>
        <v>-2.4795147387464082E-2</v>
      </c>
      <c r="G66" s="264">
        <f t="shared" si="68"/>
        <v>-2.5176634490994141E-2</v>
      </c>
      <c r="H66" s="264">
        <f t="shared" si="68"/>
        <v>-2.9466470876162502E-2</v>
      </c>
      <c r="I66" s="264">
        <f t="shared" si="68"/>
        <v>-2.8858447488584484E-2</v>
      </c>
      <c r="J66" s="264">
        <f t="shared" si="68"/>
        <v>-3.0746189763016483E-2</v>
      </c>
      <c r="K66" s="264">
        <f t="shared" si="68"/>
        <v>-3.1617776216406115E-2</v>
      </c>
      <c r="L66" s="264">
        <f t="shared" si="68"/>
        <v>-3.1331592689295036E-2</v>
      </c>
      <c r="M66" s="264">
        <f t="shared" si="68"/>
        <v>-3.2165605095541401E-2</v>
      </c>
      <c r="N66" s="264">
        <f t="shared" si="68"/>
        <v>-3.4933530280649924E-2</v>
      </c>
      <c r="O66" s="264">
        <f t="shared" si="68"/>
        <v>-4.5248474280732351E-2</v>
      </c>
      <c r="P66" s="264">
        <f t="shared" si="68"/>
        <v>-3.8045738045738041E-2</v>
      </c>
      <c r="Q66" s="264">
        <f t="shared" si="68"/>
        <v>-3.6348565760330465E-2</v>
      </c>
      <c r="R66" s="264">
        <f t="shared" si="68"/>
        <v>-3.4306965000034308E-2</v>
      </c>
      <c r="S66" s="264">
        <f t="shared" si="68"/>
        <v>-3.2968254076911244E-2</v>
      </c>
      <c r="T66" s="264">
        <f t="shared" si="68"/>
        <v>-3.1982404695073414E-2</v>
      </c>
      <c r="U66" s="264">
        <f t="shared" si="68"/>
        <v>-3.1012845218250221E-2</v>
      </c>
      <c r="V66" s="264">
        <f t="shared" si="68"/>
        <v>-3.0705787344802199E-2</v>
      </c>
    </row>
    <row r="67" spans="3:22">
      <c r="C67" s="248" t="s">
        <v>37</v>
      </c>
      <c r="D67" s="247"/>
      <c r="E67" s="250"/>
      <c r="F67" s="264">
        <f>+F65/F72</f>
        <v>0.76644736842105254</v>
      </c>
      <c r="G67" s="264">
        <f t="shared" ref="G67:V67" si="69">+G65/G72</f>
        <v>0.67466666666666697</v>
      </c>
      <c r="H67" s="264">
        <f t="shared" si="69"/>
        <v>0.74689826302729523</v>
      </c>
      <c r="I67" s="264">
        <f t="shared" si="69"/>
        <v>0.87534626038781183</v>
      </c>
      <c r="J67" s="264">
        <f t="shared" si="69"/>
        <v>0.93565683646112618</v>
      </c>
      <c r="K67" s="264">
        <f t="shared" si="69"/>
        <v>1.1612903225806452</v>
      </c>
      <c r="L67" s="264">
        <f t="shared" si="69"/>
        <v>1</v>
      </c>
      <c r="M67" s="264">
        <f t="shared" si="69"/>
        <v>0.792156862745098</v>
      </c>
      <c r="N67" s="264">
        <f t="shared" si="69"/>
        <v>0.94599999999999995</v>
      </c>
      <c r="O67" s="264">
        <f t="shared" si="69"/>
        <v>1.038</v>
      </c>
      <c r="P67" s="264">
        <f t="shared" si="69"/>
        <v>1.0979999999999999</v>
      </c>
      <c r="Q67" s="264">
        <f t="shared" si="69"/>
        <v>1.07</v>
      </c>
      <c r="R67" s="264">
        <f t="shared" si="69"/>
        <v>1.02</v>
      </c>
      <c r="S67" s="264">
        <f t="shared" si="69"/>
        <v>0.99</v>
      </c>
      <c r="T67" s="264">
        <f t="shared" si="69"/>
        <v>0.97</v>
      </c>
      <c r="U67" s="264">
        <f t="shared" si="69"/>
        <v>0.95</v>
      </c>
      <c r="V67" s="264">
        <f t="shared" si="69"/>
        <v>0.95</v>
      </c>
    </row>
    <row r="68" spans="3:22">
      <c r="C68" s="255" t="s">
        <v>5</v>
      </c>
      <c r="D68" s="256"/>
      <c r="E68" s="255"/>
      <c r="F68" s="261">
        <f t="shared" ref="F68:V68" si="70">F25</f>
        <v>77.8</v>
      </c>
      <c r="G68" s="261">
        <f t="shared" si="70"/>
        <v>84.6</v>
      </c>
      <c r="H68" s="261">
        <f t="shared" si="70"/>
        <v>84.5</v>
      </c>
      <c r="I68" s="261">
        <f t="shared" si="70"/>
        <v>77.099999999999994</v>
      </c>
      <c r="J68" s="261">
        <f t="shared" si="70"/>
        <v>74.599999999999994</v>
      </c>
      <c r="K68" s="261">
        <f t="shared" si="70"/>
        <v>62.2</v>
      </c>
      <c r="L68" s="261">
        <f t="shared" si="70"/>
        <v>58.147209662938678</v>
      </c>
      <c r="M68" s="261">
        <f t="shared" si="70"/>
        <v>52.225305088518972</v>
      </c>
      <c r="N68" s="261">
        <f t="shared" si="70"/>
        <v>64.496736237191939</v>
      </c>
      <c r="O68" s="261">
        <f t="shared" si="70"/>
        <v>72.494941019202571</v>
      </c>
      <c r="P68" s="261">
        <f t="shared" si="70"/>
        <v>72.668129354923792</v>
      </c>
      <c r="Q68" s="261">
        <f t="shared" si="70"/>
        <v>77.495540000000005</v>
      </c>
      <c r="R68" s="261">
        <f t="shared" si="70"/>
        <v>81.305495400000012</v>
      </c>
      <c r="S68" s="261">
        <f t="shared" si="70"/>
        <v>84.128550353999998</v>
      </c>
      <c r="T68" s="261">
        <f t="shared" si="70"/>
        <v>86.46483585754001</v>
      </c>
      <c r="U68" s="261">
        <f t="shared" si="70"/>
        <v>88.814484216115403</v>
      </c>
      <c r="V68" s="261">
        <f t="shared" si="70"/>
        <v>91.724568710616751</v>
      </c>
    </row>
    <row r="69" spans="3:22">
      <c r="C69" s="248" t="s">
        <v>0</v>
      </c>
      <c r="D69" s="247"/>
      <c r="E69" s="249"/>
      <c r="F69" s="266" t="str">
        <f t="shared" ref="F69" si="71">IF(ISERROR(F68/C68-1),"n.a.",F68/C68-1)</f>
        <v>n.a.</v>
      </c>
      <c r="G69" s="266">
        <f>IF(ISERROR(G68/F68-1),"n.a.",G68/F68-1)</f>
        <v>8.740359897172234E-2</v>
      </c>
      <c r="H69" s="266">
        <f>IF(ISERROR(H68/G68-1),"n.a.",H68/G68-1)</f>
        <v>-1.1820330969266601E-3</v>
      </c>
      <c r="I69" s="266">
        <f t="shared" ref="I69:V69" si="72">IF(ISERROR(I68/H68-1),"n.a.",I68/H68-1)</f>
        <v>-8.7573964497041468E-2</v>
      </c>
      <c r="J69" s="266">
        <f t="shared" si="72"/>
        <v>-3.2425421530479892E-2</v>
      </c>
      <c r="K69" s="266">
        <f t="shared" si="72"/>
        <v>-0.16621983914209104</v>
      </c>
      <c r="L69" s="266">
        <f t="shared" si="72"/>
        <v>-6.5157400917384645E-2</v>
      </c>
      <c r="M69" s="266">
        <f t="shared" si="72"/>
        <v>-0.10184331473078667</v>
      </c>
      <c r="N69" s="266">
        <f t="shared" si="72"/>
        <v>0.23497098059788413</v>
      </c>
      <c r="O69" s="266">
        <f t="shared" si="72"/>
        <v>0.12400944991381557</v>
      </c>
      <c r="P69" s="266">
        <f t="shared" si="72"/>
        <v>2.3889713307767568E-3</v>
      </c>
      <c r="Q69" s="266">
        <f t="shared" si="72"/>
        <v>6.6430919413079881E-2</v>
      </c>
      <c r="R69" s="266">
        <f t="shared" si="72"/>
        <v>4.91635441213778E-2</v>
      </c>
      <c r="S69" s="266">
        <f t="shared" si="72"/>
        <v>3.4721576199878701E-2</v>
      </c>
      <c r="T69" s="266">
        <f t="shared" si="72"/>
        <v>2.7770423877616857E-2</v>
      </c>
      <c r="U69" s="266">
        <f t="shared" si="72"/>
        <v>2.7174611913294955E-2</v>
      </c>
      <c r="V69" s="266">
        <f t="shared" si="72"/>
        <v>3.2765877324920645E-2</v>
      </c>
    </row>
    <row r="70" spans="3:22">
      <c r="C70" s="248" t="s">
        <v>1</v>
      </c>
      <c r="D70" s="247"/>
      <c r="E70" s="251"/>
      <c r="F70" s="371">
        <f>F68/F$60</f>
        <v>8.2792380546983069E-2</v>
      </c>
      <c r="G70" s="371">
        <f t="shared" ref="G70" si="73">G68/G$60</f>
        <v>8.4187481341427006E-2</v>
      </c>
      <c r="H70" s="371">
        <f>H68/H$60</f>
        <v>8.272148800783162E-2</v>
      </c>
      <c r="I70" s="371">
        <f t="shared" ref="I70:V70" si="74">I68/I$60</f>
        <v>7.0410958904109588E-2</v>
      </c>
      <c r="J70" s="371">
        <f t="shared" si="74"/>
        <v>6.5721081843009427E-2</v>
      </c>
      <c r="K70" s="371">
        <f t="shared" si="74"/>
        <v>5.4628491129457238E-2</v>
      </c>
      <c r="L70" s="371">
        <f t="shared" si="74"/>
        <v>5.0606796921617646E-2</v>
      </c>
      <c r="M70" s="371">
        <f t="shared" si="74"/>
        <v>4.1580656917610648E-2</v>
      </c>
      <c r="N70" s="371">
        <f t="shared" si="74"/>
        <v>4.7634221740909852E-2</v>
      </c>
      <c r="O70" s="371">
        <f t="shared" si="74"/>
        <v>6.3203959040281227E-2</v>
      </c>
      <c r="P70" s="371">
        <f t="shared" si="74"/>
        <v>5.0359064002026187E-2</v>
      </c>
      <c r="Q70" s="371">
        <f t="shared" si="74"/>
        <v>5.2651434239669531E-2</v>
      </c>
      <c r="R70" s="371">
        <f t="shared" si="74"/>
        <v>5.4693034999965702E-2</v>
      </c>
      <c r="S70" s="371">
        <f t="shared" si="74"/>
        <v>5.6031745923088752E-2</v>
      </c>
      <c r="T70" s="371">
        <f t="shared" si="74"/>
        <v>5.7017595304926588E-2</v>
      </c>
      <c r="U70" s="371">
        <f t="shared" si="74"/>
        <v>5.7987154781749775E-2</v>
      </c>
      <c r="V70" s="371">
        <f t="shared" si="74"/>
        <v>5.9294212655197805E-2</v>
      </c>
    </row>
    <row r="71" spans="3:22">
      <c r="C71" s="246" t="s">
        <v>3</v>
      </c>
      <c r="D71" s="247"/>
      <c r="E71" s="247"/>
      <c r="F71" s="263">
        <f t="shared" ref="F71:V71" si="75">F15</f>
        <v>101.1</v>
      </c>
      <c r="G71" s="263">
        <f t="shared" si="75"/>
        <v>109.9</v>
      </c>
      <c r="H71" s="263">
        <f t="shared" si="75"/>
        <v>114.6</v>
      </c>
      <c r="I71" s="263">
        <f t="shared" si="75"/>
        <v>108.7</v>
      </c>
      <c r="J71" s="263">
        <f t="shared" si="75"/>
        <v>109.5</v>
      </c>
      <c r="K71" s="263">
        <f t="shared" si="75"/>
        <v>98.2</v>
      </c>
      <c r="L71" s="263">
        <f t="shared" si="75"/>
        <v>94.147209662938678</v>
      </c>
      <c r="M71" s="263">
        <f t="shared" si="75"/>
        <v>92.625305088518971</v>
      </c>
      <c r="N71" s="263">
        <f t="shared" si="75"/>
        <v>111.79673623719194</v>
      </c>
      <c r="O71" s="263">
        <f t="shared" si="75"/>
        <v>124.39494101920258</v>
      </c>
      <c r="P71" s="263">
        <f t="shared" si="75"/>
        <v>127.56812935492378</v>
      </c>
      <c r="Q71" s="263">
        <f t="shared" si="75"/>
        <v>130.99554000000001</v>
      </c>
      <c r="R71" s="263">
        <f t="shared" si="75"/>
        <v>132.30549540000001</v>
      </c>
      <c r="S71" s="263">
        <f t="shared" si="75"/>
        <v>133.628550354</v>
      </c>
      <c r="T71" s="263">
        <f t="shared" si="75"/>
        <v>134.96483585754001</v>
      </c>
      <c r="U71" s="263">
        <f t="shared" si="75"/>
        <v>136.3144842161154</v>
      </c>
      <c r="V71" s="263">
        <f t="shared" si="75"/>
        <v>139.22456871061675</v>
      </c>
    </row>
    <row r="72" spans="3:22">
      <c r="C72" s="255" t="s">
        <v>7</v>
      </c>
      <c r="D72" s="256"/>
      <c r="E72" s="257"/>
      <c r="F72" s="261">
        <f t="shared" ref="F72:V72" si="76">F40</f>
        <v>-30.4</v>
      </c>
      <c r="G72" s="261">
        <f t="shared" si="76"/>
        <v>-37.5</v>
      </c>
      <c r="H72" s="261">
        <f t="shared" si="76"/>
        <v>-40.299999999999997</v>
      </c>
      <c r="I72" s="261">
        <f t="shared" si="76"/>
        <v>-36.1</v>
      </c>
      <c r="J72" s="261">
        <f t="shared" si="76"/>
        <v>-37.299999999999997</v>
      </c>
      <c r="K72" s="261">
        <f t="shared" si="76"/>
        <v>-31</v>
      </c>
      <c r="L72" s="261">
        <f t="shared" si="76"/>
        <v>-36</v>
      </c>
      <c r="M72" s="261">
        <f t="shared" si="76"/>
        <v>-51</v>
      </c>
      <c r="N72" s="261">
        <f t="shared" si="76"/>
        <v>-50</v>
      </c>
      <c r="O72" s="261">
        <f t="shared" si="76"/>
        <v>-50</v>
      </c>
      <c r="P72" s="261">
        <f t="shared" si="76"/>
        <v>-50</v>
      </c>
      <c r="Q72" s="261">
        <f t="shared" si="76"/>
        <v>-50</v>
      </c>
      <c r="R72" s="261">
        <f t="shared" si="76"/>
        <v>-50</v>
      </c>
      <c r="S72" s="261">
        <f t="shared" si="76"/>
        <v>-50</v>
      </c>
      <c r="T72" s="261">
        <f t="shared" si="76"/>
        <v>-50</v>
      </c>
      <c r="U72" s="261">
        <f t="shared" si="76"/>
        <v>-50</v>
      </c>
      <c r="V72" s="261">
        <f t="shared" si="76"/>
        <v>-50</v>
      </c>
    </row>
    <row r="73" spans="3:22">
      <c r="C73" s="252" t="s">
        <v>135</v>
      </c>
      <c r="D73" s="253"/>
      <c r="E73" s="254"/>
      <c r="F73" s="267">
        <f>IF(ISERROR(-F72/F$60),"n.a.",-F72/F$60)</f>
        <v>3.2350750239438113E-2</v>
      </c>
      <c r="G73" s="267">
        <f t="shared" ref="G73:V73" si="77">IF(ISERROR(-G72/G$60),"n.a.",-G72/G$60)</f>
        <v>3.7317145984675094E-2</v>
      </c>
      <c r="H73" s="267">
        <f t="shared" si="77"/>
        <v>3.9451786588350461E-2</v>
      </c>
      <c r="I73" s="267">
        <f t="shared" si="77"/>
        <v>3.2968036529680368E-2</v>
      </c>
      <c r="J73" s="267">
        <f t="shared" si="77"/>
        <v>3.2860540921504713E-2</v>
      </c>
      <c r="K73" s="267">
        <f t="shared" si="77"/>
        <v>2.7226418408571932E-2</v>
      </c>
      <c r="L73" s="267">
        <f t="shared" si="77"/>
        <v>3.1331592689295036E-2</v>
      </c>
      <c r="M73" s="267">
        <f t="shared" si="77"/>
        <v>4.0605095541401272E-2</v>
      </c>
      <c r="N73" s="267">
        <f t="shared" si="77"/>
        <v>3.6927621861152143E-2</v>
      </c>
      <c r="O73" s="267">
        <f t="shared" si="77"/>
        <v>4.3591979075850044E-2</v>
      </c>
      <c r="P73" s="267">
        <f t="shared" si="77"/>
        <v>3.4650034650034647E-2</v>
      </c>
      <c r="Q73" s="267">
        <f t="shared" si="77"/>
        <v>3.3970622205916318E-2</v>
      </c>
      <c r="R73" s="267">
        <f t="shared" si="77"/>
        <v>3.3634279411798342E-2</v>
      </c>
      <c r="S73" s="267">
        <f t="shared" si="77"/>
        <v>3.3301266744354789E-2</v>
      </c>
      <c r="T73" s="267">
        <f t="shared" si="77"/>
        <v>3.2971551232034442E-2</v>
      </c>
      <c r="U73" s="267">
        <f t="shared" si="77"/>
        <v>3.2645100229737073E-2</v>
      </c>
      <c r="V73" s="267">
        <f t="shared" si="77"/>
        <v>3.2321881415581261E-2</v>
      </c>
    </row>
    <row r="74" spans="3:22">
      <c r="C74" s="246" t="s">
        <v>75</v>
      </c>
      <c r="D74" s="253"/>
      <c r="E74" s="254"/>
      <c r="F74" s="263">
        <f t="shared" ref="F74:V74" si="78">F45</f>
        <v>-5.3000000000000007</v>
      </c>
      <c r="G74" s="263">
        <f>G45</f>
        <v>25.099999999999998</v>
      </c>
      <c r="H74" s="263">
        <f t="shared" si="78"/>
        <v>-11.2</v>
      </c>
      <c r="I74" s="263">
        <f t="shared" si="78"/>
        <v>-16.300000000000004</v>
      </c>
      <c r="J74" s="263">
        <f t="shared" si="78"/>
        <v>-12.6</v>
      </c>
      <c r="K74" s="263">
        <f t="shared" si="78"/>
        <v>-10.399999999999999</v>
      </c>
      <c r="L74" s="263">
        <f t="shared" si="78"/>
        <v>6</v>
      </c>
      <c r="M74" s="263">
        <f t="shared" si="78"/>
        <v>16</v>
      </c>
      <c r="N74" s="263">
        <f t="shared" si="78"/>
        <v>15</v>
      </c>
      <c r="O74" s="263">
        <f t="shared" si="78"/>
        <v>11</v>
      </c>
      <c r="P74" s="263">
        <f t="shared" si="78"/>
        <v>4</v>
      </c>
      <c r="Q74" s="263">
        <f t="shared" si="78"/>
        <v>0</v>
      </c>
      <c r="R74" s="263">
        <f t="shared" si="78"/>
        <v>0</v>
      </c>
      <c r="S74" s="263">
        <f t="shared" si="78"/>
        <v>0</v>
      </c>
      <c r="T74" s="263">
        <f t="shared" si="78"/>
        <v>0</v>
      </c>
      <c r="U74" s="263">
        <f t="shared" si="78"/>
        <v>0</v>
      </c>
      <c r="V74" s="263">
        <f t="shared" si="78"/>
        <v>0</v>
      </c>
    </row>
    <row r="75" spans="3:22">
      <c r="C75" s="252" t="s">
        <v>135</v>
      </c>
      <c r="D75" s="253"/>
      <c r="E75" s="254"/>
      <c r="F75" s="266">
        <f t="shared" ref="F75:V75" si="79">+F74/F60</f>
        <v>-5.6400979035862511E-3</v>
      </c>
      <c r="G75" s="266">
        <f t="shared" si="79"/>
        <v>2.4977609712409192E-2</v>
      </c>
      <c r="H75" s="266">
        <f t="shared" si="79"/>
        <v>-1.0964268232990699E-2</v>
      </c>
      <c r="I75" s="266">
        <f t="shared" si="79"/>
        <v>-1.4885844748858451E-2</v>
      </c>
      <c r="J75" s="266">
        <f t="shared" si="79"/>
        <v>-1.1100343582063256E-2</v>
      </c>
      <c r="K75" s="266">
        <f t="shared" si="79"/>
        <v>-9.1340242402950991E-3</v>
      </c>
      <c r="L75" s="266">
        <f t="shared" si="79"/>
        <v>5.2219321148825066E-3</v>
      </c>
      <c r="M75" s="266">
        <f t="shared" si="79"/>
        <v>1.2738853503184714E-2</v>
      </c>
      <c r="N75" s="266">
        <f t="shared" si="79"/>
        <v>1.1078286558345642E-2</v>
      </c>
      <c r="O75" s="266">
        <f t="shared" si="79"/>
        <v>9.5902353966870104E-3</v>
      </c>
      <c r="P75" s="266">
        <f t="shared" si="79"/>
        <v>2.772002772002772E-3</v>
      </c>
      <c r="Q75" s="266">
        <f t="shared" si="79"/>
        <v>0</v>
      </c>
      <c r="R75" s="266">
        <f t="shared" si="79"/>
        <v>0</v>
      </c>
      <c r="S75" s="266">
        <f t="shared" si="79"/>
        <v>0</v>
      </c>
      <c r="T75" s="266">
        <f t="shared" si="79"/>
        <v>0</v>
      </c>
      <c r="U75" s="266">
        <f t="shared" si="79"/>
        <v>0</v>
      </c>
      <c r="V75" s="266">
        <f t="shared" si="79"/>
        <v>0</v>
      </c>
    </row>
    <row r="76" spans="3:22">
      <c r="C76" s="365" t="s">
        <v>130</v>
      </c>
      <c r="D76" s="253"/>
      <c r="E76" s="254"/>
      <c r="F76" s="263">
        <f t="shared" ref="F76:V76" si="80">+F49</f>
        <v>0</v>
      </c>
      <c r="G76" s="263">
        <f t="shared" si="80"/>
        <v>0</v>
      </c>
      <c r="H76" s="263">
        <f t="shared" si="80"/>
        <v>0</v>
      </c>
      <c r="I76" s="263">
        <f t="shared" si="80"/>
        <v>0</v>
      </c>
      <c r="J76" s="263">
        <f t="shared" si="80"/>
        <v>-1.5</v>
      </c>
      <c r="K76" s="263">
        <f t="shared" si="80"/>
        <v>0.74</v>
      </c>
      <c r="L76" s="263">
        <f t="shared" si="80"/>
        <v>0</v>
      </c>
      <c r="M76" s="263">
        <f t="shared" si="80"/>
        <v>0</v>
      </c>
      <c r="N76" s="263">
        <f>+N49</f>
        <v>-5</v>
      </c>
      <c r="O76" s="263">
        <f t="shared" si="80"/>
        <v>-5</v>
      </c>
      <c r="P76" s="263">
        <f t="shared" si="80"/>
        <v>-5</v>
      </c>
      <c r="Q76" s="263">
        <f t="shared" si="80"/>
        <v>-5</v>
      </c>
      <c r="R76" s="263">
        <f t="shared" si="80"/>
        <v>-5</v>
      </c>
      <c r="S76" s="263">
        <f t="shared" si="80"/>
        <v>-5</v>
      </c>
      <c r="T76" s="263">
        <f t="shared" si="80"/>
        <v>-5</v>
      </c>
      <c r="U76" s="263">
        <f t="shared" si="80"/>
        <v>-5</v>
      </c>
      <c r="V76" s="263">
        <f t="shared" si="80"/>
        <v>-5</v>
      </c>
    </row>
    <row r="77" spans="3:22">
      <c r="C77" s="252" t="s">
        <v>135</v>
      </c>
      <c r="D77" s="253"/>
      <c r="E77" s="254"/>
      <c r="F77" s="267">
        <f>IF(ISERROR(-F76/F$60),"n.a.",-F76/F$60)</f>
        <v>0</v>
      </c>
      <c r="G77" s="267">
        <f t="shared" ref="G77:V77" si="81">IF(ISERROR(-G76/G$60),"n.a.",-G76/G$60)</f>
        <v>0</v>
      </c>
      <c r="H77" s="267">
        <f t="shared" si="81"/>
        <v>0</v>
      </c>
      <c r="I77" s="267">
        <f t="shared" si="81"/>
        <v>0</v>
      </c>
      <c r="J77" s="267">
        <f t="shared" si="81"/>
        <v>1.3214694740551493E-3</v>
      </c>
      <c r="K77" s="267">
        <f t="shared" si="81"/>
        <v>-6.4992095555945904E-4</v>
      </c>
      <c r="L77" s="267">
        <f t="shared" si="81"/>
        <v>0</v>
      </c>
      <c r="M77" s="267">
        <f t="shared" si="81"/>
        <v>0</v>
      </c>
      <c r="N77" s="267">
        <f t="shared" si="81"/>
        <v>3.692762186115214E-3</v>
      </c>
      <c r="O77" s="267">
        <f t="shared" si="81"/>
        <v>4.3591979075850041E-3</v>
      </c>
      <c r="P77" s="267">
        <f t="shared" si="81"/>
        <v>3.4650034650034649E-3</v>
      </c>
      <c r="Q77" s="267">
        <f t="shared" si="81"/>
        <v>3.3970622205916319E-3</v>
      </c>
      <c r="R77" s="267">
        <f t="shared" si="81"/>
        <v>3.3634279411798337E-3</v>
      </c>
      <c r="S77" s="267">
        <f t="shared" si="81"/>
        <v>3.3301266744354789E-3</v>
      </c>
      <c r="T77" s="267">
        <f t="shared" si="81"/>
        <v>3.2971551232034444E-3</v>
      </c>
      <c r="U77" s="267">
        <f t="shared" si="81"/>
        <v>3.2645100229737076E-3</v>
      </c>
      <c r="V77" s="267">
        <f t="shared" si="81"/>
        <v>3.2321881415581263E-3</v>
      </c>
    </row>
    <row r="78" spans="3:22">
      <c r="C78" s="365" t="s">
        <v>131</v>
      </c>
      <c r="D78" s="253"/>
      <c r="E78" s="254"/>
      <c r="F78" s="263">
        <f t="shared" ref="F78:V78" si="82">+F53</f>
        <v>0</v>
      </c>
      <c r="G78" s="263">
        <f t="shared" si="82"/>
        <v>0</v>
      </c>
      <c r="H78" s="263">
        <f t="shared" si="82"/>
        <v>0</v>
      </c>
      <c r="I78" s="263">
        <f t="shared" si="82"/>
        <v>0</v>
      </c>
      <c r="J78" s="263">
        <f t="shared" si="82"/>
        <v>0</v>
      </c>
      <c r="K78" s="263">
        <f t="shared" si="82"/>
        <v>0</v>
      </c>
      <c r="L78" s="263">
        <f t="shared" si="82"/>
        <v>0</v>
      </c>
      <c r="M78" s="263">
        <f t="shared" si="82"/>
        <v>-18.004468664734777</v>
      </c>
      <c r="N78" s="263">
        <f t="shared" si="82"/>
        <v>-6.7527180429793674</v>
      </c>
      <c r="O78" s="263">
        <f t="shared" si="82"/>
        <v>25.138454026318882</v>
      </c>
      <c r="P78" s="263">
        <f t="shared" si="82"/>
        <v>-4.8650405710493061</v>
      </c>
      <c r="Q78" s="263">
        <f t="shared" si="82"/>
        <v>0</v>
      </c>
      <c r="R78" s="263">
        <f t="shared" si="82"/>
        <v>0</v>
      </c>
      <c r="S78" s="263">
        <f t="shared" si="82"/>
        <v>0</v>
      </c>
      <c r="T78" s="263">
        <f t="shared" si="82"/>
        <v>0</v>
      </c>
      <c r="U78" s="263">
        <f t="shared" si="82"/>
        <v>0</v>
      </c>
      <c r="V78" s="263">
        <f t="shared" si="82"/>
        <v>0</v>
      </c>
    </row>
    <row r="79" spans="3:22">
      <c r="C79" s="373" t="s">
        <v>135</v>
      </c>
      <c r="D79" s="374"/>
      <c r="E79" s="375"/>
      <c r="F79" s="376">
        <f>IF(ISERROR(-F78/F$60),"n.a.",-F78/F$60)</f>
        <v>0</v>
      </c>
      <c r="G79" s="376">
        <f t="shared" ref="G79:V79" si="83">IF(ISERROR(-G78/G$60),"n.a.",-G78/G$60)</f>
        <v>0</v>
      </c>
      <c r="H79" s="376">
        <f t="shared" si="83"/>
        <v>0</v>
      </c>
      <c r="I79" s="376">
        <f t="shared" si="83"/>
        <v>0</v>
      </c>
      <c r="J79" s="376">
        <f t="shared" si="83"/>
        <v>0</v>
      </c>
      <c r="K79" s="376">
        <f t="shared" si="83"/>
        <v>0</v>
      </c>
      <c r="L79" s="376">
        <f t="shared" si="83"/>
        <v>0</v>
      </c>
      <c r="M79" s="376">
        <f t="shared" si="83"/>
        <v>1.4334768045171E-2</v>
      </c>
      <c r="N79" s="376">
        <f t="shared" si="83"/>
        <v>4.9872363685224278E-3</v>
      </c>
      <c r="O79" s="376">
        <f t="shared" si="83"/>
        <v>-2.1916699238290219E-2</v>
      </c>
      <c r="P79" s="376">
        <f t="shared" si="83"/>
        <v>3.3714764872136561E-3</v>
      </c>
      <c r="Q79" s="376">
        <f t="shared" si="83"/>
        <v>0</v>
      </c>
      <c r="R79" s="376">
        <f t="shared" si="83"/>
        <v>0</v>
      </c>
      <c r="S79" s="376">
        <f t="shared" si="83"/>
        <v>0</v>
      </c>
      <c r="T79" s="376">
        <f t="shared" si="83"/>
        <v>0</v>
      </c>
      <c r="U79" s="376">
        <f t="shared" si="83"/>
        <v>0</v>
      </c>
      <c r="V79" s="376">
        <f t="shared" si="83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8"/>
    </row>
    <row r="92" spans="12:12">
      <c r="L92" s="26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abSelected="1" topLeftCell="A22" zoomScaleNormal="100" zoomScaleSheetLayoutView="100" workbookViewId="0">
      <selection activeCell="C37" sqref="C37"/>
    </sheetView>
  </sheetViews>
  <sheetFormatPr defaultColWidth="9.1796875" defaultRowHeight="12.5"/>
  <cols>
    <col min="1" max="1" width="3" style="28" customWidth="1"/>
    <col min="2" max="3" width="0.453125" style="28" customWidth="1"/>
    <col min="4" max="4" width="11.36328125" style="28" customWidth="1"/>
    <col min="5" max="18" width="14.36328125" style="28" customWidth="1"/>
    <col min="19" max="20" width="14.36328125" style="127" customWidth="1"/>
    <col min="21" max="21" width="11.81640625" style="28" bestFit="1" customWidth="1"/>
    <col min="22" max="16384" width="9.1796875" style="28"/>
  </cols>
  <sheetData>
    <row r="1" spans="4:21" s="127" customFormat="1"/>
    <row r="2" spans="4:21" s="7" customFormat="1" ht="12" customHeight="1">
      <c r="D2" s="38"/>
    </row>
    <row r="3" spans="4:21" s="180" customFormat="1" ht="20">
      <c r="D3" s="183" t="s">
        <v>29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</row>
    <row r="4" spans="4:21" s="7" customFormat="1" ht="4.5" customHeight="1"/>
    <row r="5" spans="4:21" ht="13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60"/>
      <c r="I7" s="360"/>
      <c r="J7" s="127"/>
      <c r="K7" s="127"/>
      <c r="L7" s="127"/>
      <c r="M7" s="127"/>
      <c r="N7" s="127"/>
      <c r="O7" s="127"/>
      <c r="P7" s="59"/>
      <c r="S7" s="361"/>
      <c r="T7" s="361"/>
    </row>
    <row r="8" spans="4:21" ht="12.75" customHeight="1">
      <c r="D8" s="28" t="s">
        <v>31</v>
      </c>
      <c r="F8" s="141">
        <f>EDATE(F7,12)</f>
        <v>44286</v>
      </c>
      <c r="H8" s="360"/>
      <c r="I8" s="360"/>
      <c r="J8" s="360"/>
      <c r="K8" s="127"/>
      <c r="L8" s="127"/>
      <c r="M8" s="127"/>
      <c r="N8" s="127"/>
      <c r="O8" s="127"/>
      <c r="P8" s="59"/>
      <c r="S8" s="361"/>
      <c r="T8" s="361"/>
    </row>
    <row r="9" spans="4:21" ht="12.75" customHeight="1">
      <c r="D9" s="28" t="s">
        <v>32</v>
      </c>
      <c r="F9" s="391">
        <v>5.0000000000000001E-3</v>
      </c>
      <c r="H9" s="393" t="s">
        <v>157</v>
      </c>
      <c r="I9" s="393"/>
      <c r="J9" s="393"/>
      <c r="K9" s="393"/>
      <c r="L9" s="127"/>
      <c r="M9" s="127"/>
      <c r="N9" s="127"/>
      <c r="O9" s="127"/>
      <c r="P9" s="59"/>
      <c r="S9" s="361"/>
      <c r="T9" s="361"/>
    </row>
    <row r="10" spans="4:21" ht="12.75" customHeight="1">
      <c r="D10" s="28" t="s">
        <v>33</v>
      </c>
      <c r="F10" s="392">
        <v>8.5</v>
      </c>
      <c r="H10" s="360"/>
      <c r="I10" s="360"/>
      <c r="J10" s="360"/>
      <c r="K10" s="127"/>
      <c r="L10" s="127"/>
      <c r="M10" s="127"/>
      <c r="N10" s="127"/>
      <c r="O10" s="127"/>
      <c r="P10" s="59"/>
      <c r="R10" s="360"/>
      <c r="S10" s="361"/>
      <c r="T10" s="361"/>
      <c r="U10" s="360"/>
    </row>
    <row r="11" spans="4:21" ht="12.75" customHeight="1">
      <c r="D11" s="28" t="s">
        <v>34</v>
      </c>
      <c r="F11" s="391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3" t="s">
        <v>158</v>
      </c>
      <c r="I13" s="393"/>
      <c r="J13" s="393"/>
      <c r="K13" s="393"/>
      <c r="L13" s="407" t="s">
        <v>164</v>
      </c>
      <c r="M13" s="407"/>
      <c r="N13" s="407"/>
      <c r="O13" s="407"/>
      <c r="P13" s="407"/>
      <c r="Q13" s="414" t="s">
        <v>168</v>
      </c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6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 ht="13">
      <c r="D20" s="62"/>
      <c r="F20" s="301" t="s">
        <v>76</v>
      </c>
      <c r="G20" s="301"/>
      <c r="H20" s="301"/>
      <c r="I20" s="300" t="s">
        <v>19</v>
      </c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5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 ht="13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4">
        <v>1095</v>
      </c>
      <c r="G24" s="394">
        <v>1135.0999999999999</v>
      </c>
      <c r="H24" s="395">
        <v>1138.5999999999999</v>
      </c>
      <c r="I24" s="394">
        <v>1149</v>
      </c>
      <c r="J24" s="394">
        <v>1256</v>
      </c>
      <c r="K24" s="394">
        <v>1354</v>
      </c>
      <c r="L24" s="394">
        <v>1147</v>
      </c>
      <c r="M24" s="394">
        <v>1443</v>
      </c>
      <c r="N24" s="394">
        <v>1471.8600000000001</v>
      </c>
      <c r="O24" s="394">
        <v>1486.5786000000001</v>
      </c>
      <c r="P24" s="394">
        <v>1501.4443860000001</v>
      </c>
      <c r="Q24" s="394">
        <v>1516.4588298600002</v>
      </c>
      <c r="R24" s="394">
        <v>1531.6234181586001</v>
      </c>
      <c r="S24" s="394">
        <v>1546.9396523401861</v>
      </c>
      <c r="T24" s="162"/>
    </row>
    <row r="25" spans="3:21" ht="13">
      <c r="C25" s="63"/>
      <c r="D25" s="64" t="s">
        <v>0</v>
      </c>
      <c r="E25" s="64"/>
      <c r="F25" s="404"/>
      <c r="G25" s="405">
        <f>IF(ISERROR(G24/F24-1),"n.a.",G24/F24-1)</f>
        <v>3.6621004566209869E-2</v>
      </c>
      <c r="H25" s="405">
        <f t="shared" ref="H25:S25" si="4">IF(ISERROR(H24/G24-1),"n.a.",H24/G24-1)</f>
        <v>3.0834287727954379E-3</v>
      </c>
      <c r="I25" s="405">
        <f t="shared" si="4"/>
        <v>9.13402424029508E-3</v>
      </c>
      <c r="J25" s="405">
        <f t="shared" si="4"/>
        <v>9.3124456048738091E-2</v>
      </c>
      <c r="K25" s="405">
        <f t="shared" si="4"/>
        <v>7.8025477707006408E-2</v>
      </c>
      <c r="L25" s="405">
        <f t="shared" si="4"/>
        <v>-0.1528803545051699</v>
      </c>
      <c r="M25" s="405">
        <f t="shared" si="4"/>
        <v>0.25806451612903225</v>
      </c>
      <c r="N25" s="405">
        <f t="shared" si="4"/>
        <v>2.0000000000000018E-2</v>
      </c>
      <c r="O25" s="405">
        <f t="shared" si="4"/>
        <v>1.0000000000000009E-2</v>
      </c>
      <c r="P25" s="405">
        <f t="shared" si="4"/>
        <v>1.0000000000000009E-2</v>
      </c>
      <c r="Q25" s="405">
        <f t="shared" si="4"/>
        <v>1.0000000000000009E-2</v>
      </c>
      <c r="R25" s="405">
        <f t="shared" si="4"/>
        <v>1.0000000000000009E-2</v>
      </c>
      <c r="S25" s="405">
        <f t="shared" si="4"/>
        <v>1.0000000000000009E-2</v>
      </c>
      <c r="T25" s="65"/>
    </row>
    <row r="26" spans="3:21" s="63" customFormat="1" ht="13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 ht="13">
      <c r="C27" s="28"/>
      <c r="D27" s="96" t="s">
        <v>3</v>
      </c>
      <c r="E27" s="96"/>
      <c r="F27" s="394">
        <f>' Financials'!I15</f>
        <v>108.7</v>
      </c>
      <c r="G27" s="394">
        <f>' Financials'!J15</f>
        <v>109.5</v>
      </c>
      <c r="H27" s="394">
        <f>' Financials'!K15</f>
        <v>98.2</v>
      </c>
      <c r="I27" s="394">
        <f>' Financials'!L15</f>
        <v>94.147209662938678</v>
      </c>
      <c r="J27" s="394">
        <f>' Financials'!M15</f>
        <v>92.625305088518971</v>
      </c>
      <c r="K27" s="394">
        <f>' Financials'!N15</f>
        <v>111.79673623719194</v>
      </c>
      <c r="L27" s="394">
        <f>' Financials'!O15</f>
        <v>124.39494101920258</v>
      </c>
      <c r="M27" s="394">
        <f>' Financials'!P15</f>
        <v>127.56812935492378</v>
      </c>
      <c r="N27" s="394">
        <f>' Financials'!Q15</f>
        <v>130.99554000000001</v>
      </c>
      <c r="O27" s="394">
        <f>' Financials'!R15</f>
        <v>132.30549540000001</v>
      </c>
      <c r="P27" s="394">
        <f>' Financials'!S15</f>
        <v>133.628550354</v>
      </c>
      <c r="Q27" s="394">
        <f>' Financials'!T15</f>
        <v>134.96483585754001</v>
      </c>
      <c r="R27" s="394">
        <f>' Financials'!U15</f>
        <v>136.3144842161154</v>
      </c>
      <c r="S27" s="394">
        <f>' Financials'!V15</f>
        <v>139.22456871061675</v>
      </c>
      <c r="T27" s="162"/>
    </row>
    <row r="28" spans="3:21" ht="13">
      <c r="C28" s="63"/>
      <c r="D28" s="64" t="s">
        <v>1</v>
      </c>
      <c r="E28" s="64"/>
      <c r="F28" s="406">
        <f>F27/F24</f>
        <v>9.9269406392694062E-2</v>
      </c>
      <c r="G28" s="406">
        <f t="shared" ref="G28:S28" si="5">G27/G24</f>
        <v>9.6467271606025903E-2</v>
      </c>
      <c r="H28" s="406">
        <f t="shared" si="5"/>
        <v>8.6246267345863353E-2</v>
      </c>
      <c r="I28" s="406">
        <f t="shared" si="5"/>
        <v>8.1938389610912682E-2</v>
      </c>
      <c r="J28" s="406">
        <f t="shared" si="5"/>
        <v>7.3746262013152042E-2</v>
      </c>
      <c r="K28" s="406">
        <f t="shared" si="5"/>
        <v>8.2567752021559776E-2</v>
      </c>
      <c r="L28" s="406">
        <f t="shared" si="5"/>
        <v>0.10845243332101358</v>
      </c>
      <c r="M28" s="406">
        <f t="shared" si="5"/>
        <v>8.8404802047764228E-2</v>
      </c>
      <c r="N28" s="406">
        <f t="shared" si="5"/>
        <v>8.8999999999999996E-2</v>
      </c>
      <c r="O28" s="406">
        <f t="shared" si="5"/>
        <v>8.900000000000001E-2</v>
      </c>
      <c r="P28" s="406">
        <f t="shared" si="5"/>
        <v>8.8999999999999996E-2</v>
      </c>
      <c r="Q28" s="406">
        <f t="shared" si="5"/>
        <v>8.8999999999999996E-2</v>
      </c>
      <c r="R28" s="406">
        <f t="shared" si="5"/>
        <v>8.8999999999999996E-2</v>
      </c>
      <c r="S28" s="406">
        <f t="shared" si="5"/>
        <v>9.0000000000000011E-2</v>
      </c>
      <c r="T28" s="65"/>
    </row>
    <row r="29" spans="3:21" ht="13">
      <c r="C29" s="63"/>
      <c r="D29" s="64" t="s">
        <v>0</v>
      </c>
      <c r="E29" s="64"/>
      <c r="F29" s="416"/>
      <c r="G29" s="405">
        <f>IF(ISERROR(G27/F27-1),"n.a.",G27/F27-1)</f>
        <v>7.3597056117755688E-3</v>
      </c>
      <c r="H29" s="405">
        <f t="shared" ref="H29:S29" si="6">IF(ISERROR(H27/G27-1),"n.a.",H27/G27-1)</f>
        <v>-0.10319634703196345</v>
      </c>
      <c r="I29" s="405">
        <f t="shared" si="6"/>
        <v>-4.1270777363149991E-2</v>
      </c>
      <c r="J29" s="405">
        <f t="shared" si="6"/>
        <v>-1.6165158583757888E-2</v>
      </c>
      <c r="K29" s="405">
        <f t="shared" si="6"/>
        <v>0.20697833200496829</v>
      </c>
      <c r="L29" s="405">
        <f t="shared" si="6"/>
        <v>0.11268848453036973</v>
      </c>
      <c r="M29" s="405">
        <f t="shared" si="6"/>
        <v>2.5508982195918684E-2</v>
      </c>
      <c r="N29" s="405">
        <f t="shared" si="6"/>
        <v>2.6867295635733424E-2</v>
      </c>
      <c r="O29" s="405">
        <f t="shared" si="6"/>
        <v>1.0000000000000009E-2</v>
      </c>
      <c r="P29" s="405">
        <f t="shared" si="6"/>
        <v>9.9999999999997868E-3</v>
      </c>
      <c r="Q29" s="405">
        <f t="shared" si="6"/>
        <v>1.0000000000000009E-2</v>
      </c>
      <c r="R29" s="405">
        <f t="shared" si="6"/>
        <v>1.0000000000000009E-2</v>
      </c>
      <c r="S29" s="405">
        <f t="shared" si="6"/>
        <v>2.1348314606741692E-2</v>
      </c>
      <c r="T29" s="65"/>
    </row>
    <row r="30" spans="3:21" s="63" customFormat="1" ht="13">
      <c r="C30" s="28"/>
      <c r="D30" s="96"/>
      <c r="E30" s="96"/>
      <c r="F30" s="96"/>
      <c r="G30" s="96"/>
      <c r="H30" s="16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 ht="13">
      <c r="C31" s="28"/>
      <c r="D31" s="96" t="s">
        <v>4</v>
      </c>
      <c r="E31" s="96"/>
      <c r="F31" s="394">
        <f>' Financials'!I20</f>
        <v>-31.600000000000009</v>
      </c>
      <c r="G31" s="394">
        <f>' Financials'!J20</f>
        <v>-34.900000000000006</v>
      </c>
      <c r="H31" s="394">
        <f>' Financials'!K20</f>
        <v>-36</v>
      </c>
      <c r="I31" s="394">
        <f>' Financials'!L20</f>
        <v>-36</v>
      </c>
      <c r="J31" s="394">
        <f>' Financials'!M20</f>
        <v>-40.4</v>
      </c>
      <c r="K31" s="394">
        <f>' Financials'!N20</f>
        <v>-47.3</v>
      </c>
      <c r="L31" s="394">
        <f>' Financials'!O20</f>
        <v>-51.9</v>
      </c>
      <c r="M31" s="394">
        <f>' Financials'!P20</f>
        <v>-54.9</v>
      </c>
      <c r="N31" s="394">
        <f>' Financials'!Q20</f>
        <v>-53.5</v>
      </c>
      <c r="O31" s="394">
        <f>' Financials'!R20</f>
        <v>-51</v>
      </c>
      <c r="P31" s="394">
        <f>' Financials'!S20</f>
        <v>-49.5</v>
      </c>
      <c r="Q31" s="394">
        <f>' Financials'!T20</f>
        <v>-48.5</v>
      </c>
      <c r="R31" s="394">
        <f>' Financials'!U20</f>
        <v>-47.5</v>
      </c>
      <c r="S31" s="394">
        <f>' Financials'!V20</f>
        <v>-47.5</v>
      </c>
      <c r="T31" s="162"/>
    </row>
    <row r="32" spans="3:21" ht="13">
      <c r="C32" s="63"/>
      <c r="D32" s="64" t="s">
        <v>24</v>
      </c>
      <c r="E32" s="64"/>
      <c r="F32" s="406">
        <f>-F31/F24</f>
        <v>2.8858447488584484E-2</v>
      </c>
      <c r="G32" s="406">
        <f t="shared" ref="G32:S32" si="7">-G31/G24</f>
        <v>3.0746189763016483E-2</v>
      </c>
      <c r="H32" s="406">
        <f t="shared" si="7"/>
        <v>3.1617776216406115E-2</v>
      </c>
      <c r="I32" s="406">
        <f t="shared" si="7"/>
        <v>3.1331592689295036E-2</v>
      </c>
      <c r="J32" s="406">
        <f t="shared" si="7"/>
        <v>3.2165605095541401E-2</v>
      </c>
      <c r="K32" s="406">
        <f t="shared" si="7"/>
        <v>3.4933530280649924E-2</v>
      </c>
      <c r="L32" s="406">
        <f t="shared" si="7"/>
        <v>4.5248474280732344E-2</v>
      </c>
      <c r="M32" s="406">
        <f t="shared" si="7"/>
        <v>3.8045738045738048E-2</v>
      </c>
      <c r="N32" s="406">
        <f t="shared" si="7"/>
        <v>3.6348565760330465E-2</v>
      </c>
      <c r="O32" s="406">
        <f t="shared" si="7"/>
        <v>3.4306965000034308E-2</v>
      </c>
      <c r="P32" s="406">
        <f t="shared" si="7"/>
        <v>3.2968254076911244E-2</v>
      </c>
      <c r="Q32" s="406">
        <f t="shared" si="7"/>
        <v>3.1982404695073414E-2</v>
      </c>
      <c r="R32" s="406">
        <f t="shared" si="7"/>
        <v>3.1012845218250221E-2</v>
      </c>
      <c r="S32" s="406">
        <f t="shared" si="7"/>
        <v>3.0705787344802199E-2</v>
      </c>
      <c r="T32" s="65"/>
    </row>
    <row r="33" spans="3:20" ht="13">
      <c r="C33" s="63"/>
      <c r="D33" s="64" t="s">
        <v>37</v>
      </c>
      <c r="E33" s="64"/>
      <c r="F33" s="403">
        <f>+F31/F48</f>
        <v>0.87534626038781183</v>
      </c>
      <c r="G33" s="403"/>
      <c r="H33" s="408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65"/>
    </row>
    <row r="34" spans="3:20" s="63" customFormat="1" ht="13">
      <c r="C34" s="28"/>
      <c r="D34" s="96"/>
      <c r="E34" s="96"/>
      <c r="F34" s="96"/>
      <c r="G34" s="96"/>
      <c r="H34" s="16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 ht="13">
      <c r="C35" s="28"/>
      <c r="D35" s="96" t="s">
        <v>5</v>
      </c>
      <c r="E35" s="96"/>
      <c r="F35" s="151">
        <f>F27+F31</f>
        <v>77.099999999999994</v>
      </c>
      <c r="G35" s="151">
        <f t="shared" ref="G35:S35" si="8">G27+G31</f>
        <v>74.599999999999994</v>
      </c>
      <c r="H35" s="151">
        <f t="shared" si="8"/>
        <v>62.2</v>
      </c>
      <c r="I35" s="151">
        <f t="shared" si="8"/>
        <v>58.147209662938678</v>
      </c>
      <c r="J35" s="151">
        <f t="shared" si="8"/>
        <v>52.225305088518972</v>
      </c>
      <c r="K35" s="151">
        <f t="shared" si="8"/>
        <v>64.496736237191939</v>
      </c>
      <c r="L35" s="151">
        <f t="shared" si="8"/>
        <v>72.494941019202571</v>
      </c>
      <c r="M35" s="151">
        <f t="shared" si="8"/>
        <v>72.668129354923792</v>
      </c>
      <c r="N35" s="151">
        <f t="shared" si="8"/>
        <v>77.495540000000005</v>
      </c>
      <c r="O35" s="151">
        <f t="shared" si="8"/>
        <v>81.305495400000012</v>
      </c>
      <c r="P35" s="151">
        <f t="shared" si="8"/>
        <v>84.128550353999998</v>
      </c>
      <c r="Q35" s="151">
        <f t="shared" si="8"/>
        <v>86.46483585754001</v>
      </c>
      <c r="R35" s="151">
        <f t="shared" si="8"/>
        <v>88.814484216115403</v>
      </c>
      <c r="S35" s="151">
        <f t="shared" si="8"/>
        <v>91.724568710616751</v>
      </c>
      <c r="T35" s="151"/>
    </row>
    <row r="36" spans="3:20" ht="13">
      <c r="C36" s="63"/>
      <c r="D36" s="64" t="s">
        <v>1</v>
      </c>
      <c r="E36" s="64"/>
      <c r="F36" s="406">
        <f>F35/F24</f>
        <v>7.0410958904109588E-2</v>
      </c>
      <c r="G36" s="406">
        <f t="shared" ref="G36:S36" si="9">G35/G24</f>
        <v>6.5721081843009427E-2</v>
      </c>
      <c r="H36" s="406">
        <f t="shared" si="9"/>
        <v>5.4628491129457238E-2</v>
      </c>
      <c r="I36" s="406">
        <f t="shared" si="9"/>
        <v>5.0606796921617646E-2</v>
      </c>
      <c r="J36" s="406">
        <f t="shared" si="9"/>
        <v>4.1580656917610648E-2</v>
      </c>
      <c r="K36" s="406">
        <f t="shared" si="9"/>
        <v>4.7634221740909852E-2</v>
      </c>
      <c r="L36" s="406">
        <f t="shared" si="9"/>
        <v>6.3203959040281227E-2</v>
      </c>
      <c r="M36" s="406">
        <f t="shared" si="9"/>
        <v>5.0359064002026187E-2</v>
      </c>
      <c r="N36" s="406">
        <f t="shared" si="9"/>
        <v>5.2651434239669531E-2</v>
      </c>
      <c r="O36" s="406">
        <f t="shared" si="9"/>
        <v>5.4693034999965702E-2</v>
      </c>
      <c r="P36" s="406">
        <f t="shared" si="9"/>
        <v>5.6031745923088752E-2</v>
      </c>
      <c r="Q36" s="406">
        <f t="shared" si="9"/>
        <v>5.7017595304926588E-2</v>
      </c>
      <c r="R36" s="406">
        <f t="shared" si="9"/>
        <v>5.7987154781749775E-2</v>
      </c>
      <c r="S36" s="406">
        <f t="shared" si="9"/>
        <v>5.9294212655197805E-2</v>
      </c>
      <c r="T36" s="65"/>
    </row>
    <row r="37" spans="3:20" ht="13">
      <c r="C37" s="63"/>
      <c r="D37" s="64" t="s">
        <v>0</v>
      </c>
      <c r="E37" s="64"/>
      <c r="F37" s="404"/>
      <c r="G37" s="405">
        <f>IF(ISERROR(G35/F35-1),"n.a.",G35/F35-1)</f>
        <v>-3.2425421530479892E-2</v>
      </c>
      <c r="H37" s="405">
        <f t="shared" ref="H37:S37" si="10">IF(ISERROR(H35/G35-1),"n.a.",H35/G35-1)</f>
        <v>-0.16621983914209104</v>
      </c>
      <c r="I37" s="405">
        <f t="shared" si="10"/>
        <v>-6.5157400917384645E-2</v>
      </c>
      <c r="J37" s="405">
        <f t="shared" si="10"/>
        <v>-0.10184331473078667</v>
      </c>
      <c r="K37" s="405">
        <f t="shared" si="10"/>
        <v>0.23497098059788413</v>
      </c>
      <c r="L37" s="405">
        <f t="shared" si="10"/>
        <v>0.12400944991381557</v>
      </c>
      <c r="M37" s="405">
        <f t="shared" si="10"/>
        <v>2.3889713307767568E-3</v>
      </c>
      <c r="N37" s="405">
        <f t="shared" si="10"/>
        <v>6.6430919413079881E-2</v>
      </c>
      <c r="O37" s="405">
        <f t="shared" si="10"/>
        <v>4.91635441213778E-2</v>
      </c>
      <c r="P37" s="405">
        <f t="shared" si="10"/>
        <v>3.4721576199878701E-2</v>
      </c>
      <c r="Q37" s="405">
        <f t="shared" si="10"/>
        <v>2.7770423877616857E-2</v>
      </c>
      <c r="R37" s="405">
        <f t="shared" si="10"/>
        <v>2.7174611913294955E-2</v>
      </c>
      <c r="S37" s="405">
        <f t="shared" si="10"/>
        <v>3.2765877324920645E-2</v>
      </c>
      <c r="T37" s="65"/>
    </row>
    <row r="38" spans="3:20" s="63" customFormat="1" ht="13">
      <c r="C38" s="28"/>
      <c r="D38" s="96"/>
      <c r="E38" s="96"/>
      <c r="F38" s="96"/>
      <c r="G38" s="96"/>
      <c r="H38" s="16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4"/>
      <c r="G39" s="164"/>
      <c r="H39" s="302"/>
      <c r="I39" s="409">
        <f>-I35*I40</f>
        <v>-11.04796983595835</v>
      </c>
      <c r="J39" s="409">
        <f>-J35*J40</f>
        <v>-8.8783018650482255</v>
      </c>
      <c r="K39" s="409">
        <f t="shared" ref="J39:N39" si="11">-K35*K40</f>
        <v>-10.964445160322631</v>
      </c>
      <c r="L39" s="409">
        <f t="shared" si="11"/>
        <v>-12.324139973264439</v>
      </c>
      <c r="M39" s="409">
        <f t="shared" si="11"/>
        <v>-12.353581990337046</v>
      </c>
      <c r="N39" s="409">
        <f t="shared" si="11"/>
        <v>-13.174241800000003</v>
      </c>
      <c r="O39" s="409">
        <v>-12</v>
      </c>
      <c r="P39" s="409">
        <v>-12</v>
      </c>
      <c r="Q39" s="409">
        <v>-12</v>
      </c>
      <c r="R39" s="409">
        <v>-12</v>
      </c>
      <c r="S39" s="409">
        <v>-12</v>
      </c>
      <c r="T39" s="409" t="s">
        <v>165</v>
      </c>
    </row>
    <row r="40" spans="3:20" ht="13">
      <c r="C40" s="63"/>
      <c r="D40" s="64" t="s">
        <v>6</v>
      </c>
      <c r="E40" s="64"/>
      <c r="F40" s="142"/>
      <c r="G40" s="142"/>
      <c r="H40" s="303"/>
      <c r="I40" s="396">
        <v>0.19</v>
      </c>
      <c r="J40" s="396">
        <v>0.17</v>
      </c>
      <c r="K40" s="396">
        <v>0.17</v>
      </c>
      <c r="L40" s="396">
        <v>0.17</v>
      </c>
      <c r="M40" s="396">
        <v>0.17</v>
      </c>
      <c r="N40" s="396">
        <v>0.17</v>
      </c>
      <c r="O40" s="396">
        <v>0.17</v>
      </c>
      <c r="P40" s="396">
        <v>0.17</v>
      </c>
      <c r="Q40" s="396">
        <v>0.17</v>
      </c>
      <c r="R40" s="396">
        <v>0.17</v>
      </c>
      <c r="S40" s="396">
        <v>0.17</v>
      </c>
      <c r="T40" s="142"/>
    </row>
    <row r="41" spans="3:20" s="63" customFormat="1" ht="13">
      <c r="C41" s="28"/>
      <c r="D41" s="96"/>
      <c r="E41" s="96"/>
      <c r="F41" s="96"/>
      <c r="G41" s="96"/>
      <c r="H41" s="16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 ht="13">
      <c r="C42" s="28"/>
      <c r="D42" s="96" t="s">
        <v>38</v>
      </c>
      <c r="E42" s="96"/>
      <c r="F42" s="164"/>
      <c r="G42" s="164"/>
      <c r="H42" s="302"/>
      <c r="I42" s="409">
        <f>I35+I39</f>
        <v>47.09923982698033</v>
      </c>
      <c r="J42" s="409">
        <f t="shared" ref="J42:S42" si="12">J35+J39</f>
        <v>43.34700322347075</v>
      </c>
      <c r="K42" s="409">
        <f t="shared" si="12"/>
        <v>53.532291076869306</v>
      </c>
      <c r="L42" s="409">
        <f t="shared" si="12"/>
        <v>60.170801045938134</v>
      </c>
      <c r="M42" s="409">
        <f t="shared" si="12"/>
        <v>60.314547364586744</v>
      </c>
      <c r="N42" s="409">
        <f t="shared" si="12"/>
        <v>64.321298200000001</v>
      </c>
      <c r="O42" s="409">
        <f t="shared" si="12"/>
        <v>69.305495400000012</v>
      </c>
      <c r="P42" s="409">
        <f t="shared" si="12"/>
        <v>72.128550353999998</v>
      </c>
      <c r="Q42" s="409">
        <f t="shared" si="12"/>
        <v>74.46483585754001</v>
      </c>
      <c r="R42" s="409">
        <f t="shared" si="12"/>
        <v>76.814484216115403</v>
      </c>
      <c r="S42" s="409">
        <f t="shared" si="12"/>
        <v>79.724568710616751</v>
      </c>
      <c r="T42" s="409" t="s">
        <v>166</v>
      </c>
    </row>
    <row r="43" spans="3:20" ht="13">
      <c r="C43" s="63"/>
      <c r="D43" s="64" t="s">
        <v>1</v>
      </c>
      <c r="E43" s="64"/>
      <c r="F43" s="65"/>
      <c r="G43" s="65"/>
      <c r="H43" s="85"/>
      <c r="I43" s="406">
        <f>I42/I24</f>
        <v>4.0991505506510297E-2</v>
      </c>
      <c r="J43" s="406">
        <f t="shared" ref="J43:S43" si="13">J42/J24</f>
        <v>3.451194524161684E-2</v>
      </c>
      <c r="K43" s="406">
        <f t="shared" si="13"/>
        <v>3.9536404044955176E-2</v>
      </c>
      <c r="L43" s="406">
        <f t="shared" si="13"/>
        <v>5.2459286003433421E-2</v>
      </c>
      <c r="M43" s="406">
        <f t="shared" si="13"/>
        <v>4.1798023121681738E-2</v>
      </c>
      <c r="N43" s="406">
        <f t="shared" si="13"/>
        <v>4.3700690418925707E-2</v>
      </c>
      <c r="O43" s="406">
        <f t="shared" si="13"/>
        <v>4.6620807941134101E-2</v>
      </c>
      <c r="P43" s="406">
        <f t="shared" si="13"/>
        <v>4.8039441904443599E-2</v>
      </c>
      <c r="Q43" s="406">
        <f t="shared" si="13"/>
        <v>4.910442300923832E-2</v>
      </c>
      <c r="R43" s="406">
        <f t="shared" si="13"/>
        <v>5.0152330726612876E-2</v>
      </c>
      <c r="S43" s="406">
        <f t="shared" si="13"/>
        <v>5.1536961115458302E-2</v>
      </c>
      <c r="T43" s="65"/>
    </row>
    <row r="44" spans="3:20" ht="13">
      <c r="C44" s="63"/>
      <c r="D44" s="64" t="s">
        <v>0</v>
      </c>
      <c r="E44" s="64"/>
      <c r="F44" s="64"/>
      <c r="G44" s="309"/>
      <c r="H44" s="310"/>
      <c r="I44" s="415"/>
      <c r="J44" s="405">
        <f>IF(ISERROR(J42/I42-1),"n.a.",J42/I42-1)</f>
        <v>-7.9666606452534428E-2</v>
      </c>
      <c r="K44" s="405">
        <f t="shared" ref="K44:S44" si="14">IF(ISERROR(K42/J42-1),"n.a.",K42/J42-1)</f>
        <v>0.23497098059788391</v>
      </c>
      <c r="L44" s="405">
        <f t="shared" si="14"/>
        <v>0.12400944991381579</v>
      </c>
      <c r="M44" s="405">
        <f t="shared" si="14"/>
        <v>2.3889713307765348E-3</v>
      </c>
      <c r="N44" s="405">
        <f t="shared" si="14"/>
        <v>6.6430919413079881E-2</v>
      </c>
      <c r="O44" s="405">
        <f t="shared" si="14"/>
        <v>7.7489064112204353E-2</v>
      </c>
      <c r="P44" s="405">
        <f t="shared" si="14"/>
        <v>4.0733493609800941E-2</v>
      </c>
      <c r="Q44" s="405">
        <f t="shared" si="14"/>
        <v>3.2390578932665948E-2</v>
      </c>
      <c r="R44" s="405">
        <f t="shared" si="14"/>
        <v>3.1553797594753963E-2</v>
      </c>
      <c r="S44" s="405">
        <f t="shared" si="14"/>
        <v>3.7884580287148806E-2</v>
      </c>
      <c r="T44" s="65"/>
    </row>
    <row r="45" spans="3:20">
      <c r="D45" s="96"/>
      <c r="E45" s="96"/>
      <c r="F45" s="96"/>
      <c r="G45" s="96"/>
      <c r="H45" s="16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4"/>
      <c r="G46" s="164"/>
      <c r="H46" s="302"/>
      <c r="I46" s="164">
        <f t="shared" ref="I46" si="15">-I31</f>
        <v>36</v>
      </c>
      <c r="J46" s="409">
        <f>-J31</f>
        <v>40.4</v>
      </c>
      <c r="K46" s="409">
        <f t="shared" ref="K46:S46" si="16">-K31</f>
        <v>47.3</v>
      </c>
      <c r="L46" s="409">
        <f t="shared" si="16"/>
        <v>51.9</v>
      </c>
      <c r="M46" s="409">
        <f t="shared" si="16"/>
        <v>54.9</v>
      </c>
      <c r="N46" s="409">
        <f t="shared" si="16"/>
        <v>53.5</v>
      </c>
      <c r="O46" s="409">
        <f t="shared" si="16"/>
        <v>51</v>
      </c>
      <c r="P46" s="409">
        <f t="shared" si="16"/>
        <v>49.5</v>
      </c>
      <c r="Q46" s="409">
        <f t="shared" si="16"/>
        <v>48.5</v>
      </c>
      <c r="R46" s="409">
        <f t="shared" si="16"/>
        <v>47.5</v>
      </c>
      <c r="S46" s="409">
        <f t="shared" si="16"/>
        <v>47.5</v>
      </c>
      <c r="T46" s="410"/>
    </row>
    <row r="47" spans="3:20" s="63" customFormat="1" ht="13">
      <c r="C47" s="28"/>
      <c r="D47" s="96"/>
      <c r="E47" s="96"/>
      <c r="F47" s="96"/>
      <c r="G47" s="96"/>
      <c r="H47" s="163"/>
      <c r="I47" s="96"/>
      <c r="J47" s="96"/>
      <c r="K47" s="179"/>
      <c r="L47" s="179"/>
      <c r="M47" s="179"/>
      <c r="N47" s="179"/>
      <c r="O47" s="179"/>
      <c r="P47" s="179"/>
      <c r="Q47" s="179"/>
      <c r="R47" s="179"/>
      <c r="S47" s="179"/>
      <c r="T47" s="411"/>
    </row>
    <row r="48" spans="3:20" s="63" customFormat="1" ht="13">
      <c r="C48" s="28"/>
      <c r="D48" s="96" t="s">
        <v>7</v>
      </c>
      <c r="E48" s="96"/>
      <c r="F48" s="394">
        <v>-36.1</v>
      </c>
      <c r="G48" s="394">
        <v>-37.299999999999997</v>
      </c>
      <c r="H48" s="395">
        <v>-31</v>
      </c>
      <c r="I48" s="394">
        <v>-36</v>
      </c>
      <c r="J48" s="394">
        <v>-51</v>
      </c>
      <c r="K48" s="394">
        <v>-50</v>
      </c>
      <c r="L48" s="394">
        <v>-50</v>
      </c>
      <c r="M48" s="394">
        <v>-50</v>
      </c>
      <c r="N48" s="394">
        <v>-50</v>
      </c>
      <c r="O48" s="394">
        <v>-50</v>
      </c>
      <c r="P48" s="394">
        <v>-50</v>
      </c>
      <c r="Q48" s="394">
        <v>-50</v>
      </c>
      <c r="R48" s="394">
        <v>-50</v>
      </c>
      <c r="S48" s="394">
        <v>-50</v>
      </c>
      <c r="T48" s="410"/>
    </row>
    <row r="49" spans="3:20" ht="13">
      <c r="C49" s="63"/>
      <c r="D49" s="64" t="s">
        <v>24</v>
      </c>
      <c r="E49" s="64"/>
      <c r="F49" s="406">
        <f>-F48/F24</f>
        <v>3.2968036529680368E-2</v>
      </c>
      <c r="G49" s="406">
        <f t="shared" ref="G49:S49" si="17">-G48/G24</f>
        <v>3.2860540921504713E-2</v>
      </c>
      <c r="H49" s="406">
        <f t="shared" si="17"/>
        <v>2.7226418408571932E-2</v>
      </c>
      <c r="I49" s="406">
        <f t="shared" si="17"/>
        <v>3.1331592689295036E-2</v>
      </c>
      <c r="J49" s="406">
        <f t="shared" si="17"/>
        <v>4.0605095541401272E-2</v>
      </c>
      <c r="K49" s="406">
        <f t="shared" si="17"/>
        <v>3.6927621861152143E-2</v>
      </c>
      <c r="L49" s="406">
        <f t="shared" si="17"/>
        <v>4.3591979075850044E-2</v>
      </c>
      <c r="M49" s="406">
        <f t="shared" si="17"/>
        <v>3.4650034650034647E-2</v>
      </c>
      <c r="N49" s="406">
        <f t="shared" si="17"/>
        <v>3.3970622205916318E-2</v>
      </c>
      <c r="O49" s="406">
        <f t="shared" si="17"/>
        <v>3.3634279411798342E-2</v>
      </c>
      <c r="P49" s="406">
        <f t="shared" si="17"/>
        <v>3.3301266744354789E-2</v>
      </c>
      <c r="Q49" s="406">
        <f t="shared" si="17"/>
        <v>3.2971551232034442E-2</v>
      </c>
      <c r="R49" s="406">
        <f t="shared" si="17"/>
        <v>3.2645100229737073E-2</v>
      </c>
      <c r="S49" s="406">
        <f t="shared" si="17"/>
        <v>3.2321881415581261E-2</v>
      </c>
      <c r="T49" s="412"/>
    </row>
    <row r="50" spans="3:20" ht="13">
      <c r="C50" s="63"/>
      <c r="D50" s="64" t="s">
        <v>27</v>
      </c>
      <c r="E50" s="64"/>
      <c r="F50" s="406"/>
      <c r="G50" s="406"/>
      <c r="H50" s="406"/>
      <c r="I50" s="406">
        <f t="shared" ref="I50:S50" si="18">-I48/I46</f>
        <v>1</v>
      </c>
      <c r="J50" s="406">
        <f>-J48/J46</f>
        <v>1.2623762376237624</v>
      </c>
      <c r="K50" s="406">
        <f t="shared" si="18"/>
        <v>1.0570824524312896</v>
      </c>
      <c r="L50" s="406">
        <f t="shared" si="18"/>
        <v>0.96339113680154143</v>
      </c>
      <c r="M50" s="406">
        <f t="shared" si="18"/>
        <v>0.91074681238615662</v>
      </c>
      <c r="N50" s="406">
        <f t="shared" si="18"/>
        <v>0.93457943925233644</v>
      </c>
      <c r="O50" s="406">
        <f t="shared" si="18"/>
        <v>0.98039215686274506</v>
      </c>
      <c r="P50" s="406">
        <f t="shared" si="18"/>
        <v>1.0101010101010102</v>
      </c>
      <c r="Q50" s="406">
        <f t="shared" si="18"/>
        <v>1.0309278350515463</v>
      </c>
      <c r="R50" s="406">
        <f t="shared" si="18"/>
        <v>1.0526315789473684</v>
      </c>
      <c r="S50" s="406">
        <f t="shared" si="18"/>
        <v>1.0526315789473684</v>
      </c>
      <c r="T50" s="412"/>
    </row>
    <row r="51" spans="3:20" s="360" customFormat="1" ht="13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412"/>
    </row>
    <row r="52" spans="3:20">
      <c r="D52" s="96" t="s">
        <v>39</v>
      </c>
      <c r="E52" s="96"/>
      <c r="F52" s="394">
        <v>-16.300000000000004</v>
      </c>
      <c r="G52" s="394">
        <v>-12.6</v>
      </c>
      <c r="H52" s="395">
        <v>-10.399999999999999</v>
      </c>
      <c r="I52" s="394">
        <v>6</v>
      </c>
      <c r="J52" s="394">
        <v>16</v>
      </c>
      <c r="K52" s="394">
        <v>15</v>
      </c>
      <c r="L52" s="394">
        <v>11</v>
      </c>
      <c r="M52" s="394">
        <v>4</v>
      </c>
      <c r="N52" s="394">
        <v>0</v>
      </c>
      <c r="O52" s="394">
        <v>0</v>
      </c>
      <c r="P52" s="394">
        <v>0</v>
      </c>
      <c r="Q52" s="394">
        <v>0</v>
      </c>
      <c r="R52" s="394">
        <v>0</v>
      </c>
      <c r="S52" s="394">
        <v>0</v>
      </c>
      <c r="T52" s="410"/>
    </row>
    <row r="53" spans="3:20" ht="13">
      <c r="C53" s="63"/>
      <c r="D53" s="64" t="s">
        <v>24</v>
      </c>
      <c r="E53" s="64"/>
      <c r="F53" s="406">
        <f>-F52/F24</f>
        <v>1.4885844748858451E-2</v>
      </c>
      <c r="G53" s="406">
        <f t="shared" ref="G53:S53" si="19">-G52/G24</f>
        <v>1.1100343582063256E-2</v>
      </c>
      <c r="H53" s="406">
        <f t="shared" si="19"/>
        <v>9.1340242402950991E-3</v>
      </c>
      <c r="I53" s="406">
        <f t="shared" si="19"/>
        <v>-5.2219321148825066E-3</v>
      </c>
      <c r="J53" s="406">
        <f t="shared" si="19"/>
        <v>-1.2738853503184714E-2</v>
      </c>
      <c r="K53" s="406">
        <f t="shared" si="19"/>
        <v>-1.1078286558345642E-2</v>
      </c>
      <c r="L53" s="406">
        <f t="shared" si="19"/>
        <v>-9.5902353966870104E-3</v>
      </c>
      <c r="M53" s="406">
        <f t="shared" si="19"/>
        <v>-2.772002772002772E-3</v>
      </c>
      <c r="N53" s="406">
        <f t="shared" si="19"/>
        <v>0</v>
      </c>
      <c r="O53" s="406">
        <f t="shared" si="19"/>
        <v>0</v>
      </c>
      <c r="P53" s="406">
        <f t="shared" si="19"/>
        <v>0</v>
      </c>
      <c r="Q53" s="406">
        <f t="shared" si="19"/>
        <v>0</v>
      </c>
      <c r="R53" s="406">
        <f t="shared" si="19"/>
        <v>0</v>
      </c>
      <c r="S53" s="406">
        <f t="shared" si="19"/>
        <v>0</v>
      </c>
      <c r="T53" s="65"/>
    </row>
    <row r="54" spans="3:20" s="360" customFormat="1" ht="13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0" customFormat="1" ht="13">
      <c r="C55" s="63"/>
      <c r="D55" s="96" t="s">
        <v>130</v>
      </c>
      <c r="E55" s="64"/>
      <c r="F55" s="394">
        <v>0</v>
      </c>
      <c r="G55" s="394">
        <v>-1.5</v>
      </c>
      <c r="H55" s="395">
        <v>0.74</v>
      </c>
      <c r="I55" s="394">
        <v>0</v>
      </c>
      <c r="J55" s="394">
        <v>0</v>
      </c>
      <c r="K55" s="394">
        <v>-5</v>
      </c>
      <c r="L55" s="394">
        <v>-5</v>
      </c>
      <c r="M55" s="394">
        <v>-5</v>
      </c>
      <c r="N55" s="394">
        <v>-5</v>
      </c>
      <c r="O55" s="394">
        <v>-5</v>
      </c>
      <c r="P55" s="394">
        <v>-5</v>
      </c>
      <c r="Q55" s="394">
        <v>-5</v>
      </c>
      <c r="R55" s="394">
        <v>-5</v>
      </c>
      <c r="S55" s="394">
        <v>-5</v>
      </c>
      <c r="T55" s="65"/>
    </row>
    <row r="56" spans="3:20" s="360" customFormat="1" ht="13">
      <c r="C56" s="63"/>
      <c r="D56" s="64" t="s">
        <v>24</v>
      </c>
      <c r="E56" s="64"/>
      <c r="F56" s="406">
        <f>F55/F24</f>
        <v>0</v>
      </c>
      <c r="G56" s="406">
        <f t="shared" ref="G56:S56" si="20">G55/G24</f>
        <v>-1.3214694740551493E-3</v>
      </c>
      <c r="H56" s="406">
        <f t="shared" si="20"/>
        <v>6.4992095555945904E-4</v>
      </c>
      <c r="I56" s="406">
        <f t="shared" si="20"/>
        <v>0</v>
      </c>
      <c r="J56" s="406">
        <f t="shared" si="20"/>
        <v>0</v>
      </c>
      <c r="K56" s="406">
        <f t="shared" si="20"/>
        <v>-3.692762186115214E-3</v>
      </c>
      <c r="L56" s="406">
        <f t="shared" si="20"/>
        <v>-4.3591979075850041E-3</v>
      </c>
      <c r="M56" s="406">
        <f t="shared" si="20"/>
        <v>-3.4650034650034649E-3</v>
      </c>
      <c r="N56" s="406">
        <f t="shared" si="20"/>
        <v>-3.3970622205916319E-3</v>
      </c>
      <c r="O56" s="406">
        <f t="shared" si="20"/>
        <v>-3.3634279411798337E-3</v>
      </c>
      <c r="P56" s="406">
        <f t="shared" si="20"/>
        <v>-3.3301266744354789E-3</v>
      </c>
      <c r="Q56" s="406">
        <f t="shared" si="20"/>
        <v>-3.2971551232034444E-3</v>
      </c>
      <c r="R56" s="406">
        <f t="shared" si="20"/>
        <v>-3.2645100229737076E-3</v>
      </c>
      <c r="S56" s="406">
        <f t="shared" si="20"/>
        <v>-3.2321881415581263E-3</v>
      </c>
      <c r="T56" s="65"/>
    </row>
    <row r="57" spans="3:20" s="360" customFormat="1" ht="13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0" customFormat="1" ht="13">
      <c r="C58" s="63"/>
      <c r="D58" s="96" t="s">
        <v>131</v>
      </c>
      <c r="E58" s="64"/>
      <c r="F58" s="394">
        <f>' Financials'!I53</f>
        <v>0</v>
      </c>
      <c r="G58" s="394">
        <f>' Financials'!J53</f>
        <v>0</v>
      </c>
      <c r="H58" s="394">
        <f>' Financials'!K53</f>
        <v>0</v>
      </c>
      <c r="I58" s="394">
        <f>' Financials'!L53</f>
        <v>0</v>
      </c>
      <c r="J58" s="394">
        <f>' Financials'!M53</f>
        <v>-18.004468664734777</v>
      </c>
      <c r="K58" s="394">
        <f>' Financials'!N53</f>
        <v>-6.7527180429793674</v>
      </c>
      <c r="L58" s="394">
        <f>' Financials'!O53</f>
        <v>25.138454026318882</v>
      </c>
      <c r="M58" s="394">
        <f>' Financials'!P53</f>
        <v>-4.8650405710493061</v>
      </c>
      <c r="N58" s="394">
        <f>' Financials'!Q53</f>
        <v>0</v>
      </c>
      <c r="O58" s="394">
        <f>' Financials'!R53</f>
        <v>0</v>
      </c>
      <c r="P58" s="394">
        <f>' Financials'!S53</f>
        <v>0</v>
      </c>
      <c r="Q58" s="394">
        <f>' Financials'!T53</f>
        <v>0</v>
      </c>
      <c r="R58" s="394">
        <f>' Financials'!U53</f>
        <v>0</v>
      </c>
      <c r="S58" s="394">
        <f>' Financials'!V53</f>
        <v>0</v>
      </c>
      <c r="T58" s="65"/>
    </row>
    <row r="59" spans="3:20" s="360" customFormat="1" ht="13">
      <c r="C59" s="63"/>
      <c r="D59" s="64" t="s">
        <v>24</v>
      </c>
      <c r="E59" s="64"/>
      <c r="F59" s="406">
        <f>F58/F24</f>
        <v>0</v>
      </c>
      <c r="G59" s="406">
        <f t="shared" ref="G59:S59" si="21">G58/G24</f>
        <v>0</v>
      </c>
      <c r="H59" s="406">
        <f t="shared" si="21"/>
        <v>0</v>
      </c>
      <c r="I59" s="406">
        <f t="shared" si="21"/>
        <v>0</v>
      </c>
      <c r="J59" s="406">
        <f t="shared" si="21"/>
        <v>-1.4334768045171E-2</v>
      </c>
      <c r="K59" s="406">
        <f t="shared" si="21"/>
        <v>-4.9872363685224278E-3</v>
      </c>
      <c r="L59" s="406">
        <f t="shared" si="21"/>
        <v>2.1916699238290219E-2</v>
      </c>
      <c r="M59" s="406">
        <f t="shared" si="21"/>
        <v>-3.3714764872136561E-3</v>
      </c>
      <c r="N59" s="406">
        <f t="shared" si="21"/>
        <v>0</v>
      </c>
      <c r="O59" s="406">
        <f t="shared" si="21"/>
        <v>0</v>
      </c>
      <c r="P59" s="406">
        <f t="shared" si="21"/>
        <v>0</v>
      </c>
      <c r="Q59" s="406">
        <f t="shared" si="21"/>
        <v>0</v>
      </c>
      <c r="R59" s="406">
        <f t="shared" si="21"/>
        <v>0</v>
      </c>
      <c r="S59" s="406">
        <f t="shared" si="21"/>
        <v>0</v>
      </c>
      <c r="T59" s="65"/>
    </row>
    <row r="60" spans="3:20" ht="13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40</v>
      </c>
      <c r="E61" s="165"/>
      <c r="F61" s="166"/>
      <c r="G61" s="166"/>
      <c r="H61" s="167"/>
      <c r="I61" s="413">
        <f>I42+I46+I48+I52+I55+I58</f>
        <v>53.099239826980323</v>
      </c>
      <c r="J61" s="413">
        <f>J42+J46+J48+J52+J55+J58</f>
        <v>30.742534558735979</v>
      </c>
      <c r="K61" s="413">
        <f t="shared" ref="J61:S61" si="22">K42+K46+K48+K52+K55+K58</f>
        <v>54.079573033889929</v>
      </c>
      <c r="L61" s="413">
        <f t="shared" si="22"/>
        <v>93.209255072257022</v>
      </c>
      <c r="M61" s="413">
        <f t="shared" si="22"/>
        <v>59.349506793537429</v>
      </c>
      <c r="N61" s="413">
        <f t="shared" si="22"/>
        <v>62.821298200000001</v>
      </c>
      <c r="O61" s="413">
        <f t="shared" si="22"/>
        <v>65.305495400000012</v>
      </c>
      <c r="P61" s="413">
        <f t="shared" si="22"/>
        <v>66.628550353999998</v>
      </c>
      <c r="Q61" s="413">
        <f t="shared" si="22"/>
        <v>67.96483585754001</v>
      </c>
      <c r="R61" s="413">
        <f t="shared" si="22"/>
        <v>69.314484216115403</v>
      </c>
      <c r="S61" s="413">
        <f t="shared" si="22"/>
        <v>72.224568710616751</v>
      </c>
      <c r="T61" s="166" t="s">
        <v>167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63</v>
      </c>
      <c r="E63" s="158"/>
      <c r="F63" s="158"/>
      <c r="G63" s="158"/>
      <c r="H63" s="163"/>
      <c r="I63" s="304">
        <f t="shared" ref="I63:S63" si="23">-I18*I61</f>
        <v>-53.099239826980323</v>
      </c>
      <c r="J63" s="27">
        <f t="shared" si="23"/>
        <v>-2.1042118110017525E-2</v>
      </c>
      <c r="K63" s="27">
        <f t="shared" si="23"/>
        <v>0</v>
      </c>
      <c r="L63" s="27">
        <f t="shared" si="23"/>
        <v>0</v>
      </c>
      <c r="M63" s="27">
        <f t="shared" si="23"/>
        <v>0</v>
      </c>
      <c r="N63" s="27">
        <f t="shared" si="23"/>
        <v>0</v>
      </c>
      <c r="O63" s="27">
        <f t="shared" si="23"/>
        <v>0</v>
      </c>
      <c r="P63" s="27">
        <f t="shared" si="23"/>
        <v>0</v>
      </c>
      <c r="Q63" s="27">
        <f t="shared" si="23"/>
        <v>0</v>
      </c>
      <c r="R63" s="27">
        <f t="shared" si="23"/>
        <v>0</v>
      </c>
      <c r="S63" s="27">
        <f t="shared" si="23"/>
        <v>0</v>
      </c>
      <c r="T63" s="27"/>
    </row>
    <row r="64" spans="3:20">
      <c r="D64" s="165" t="s">
        <v>41</v>
      </c>
      <c r="E64" s="165"/>
      <c r="F64" s="165"/>
      <c r="G64" s="165"/>
      <c r="H64" s="306"/>
      <c r="I64" s="168">
        <f>I63+I61</f>
        <v>0</v>
      </c>
      <c r="J64" s="169">
        <f t="shared" ref="J64:O64" si="24">J63+J61</f>
        <v>30.721492440625962</v>
      </c>
      <c r="K64" s="169">
        <f t="shared" si="24"/>
        <v>54.079573033889929</v>
      </c>
      <c r="L64" s="169">
        <f t="shared" si="24"/>
        <v>93.209255072257022</v>
      </c>
      <c r="M64" s="169">
        <f>M63+M61</f>
        <v>59.349506793537429</v>
      </c>
      <c r="N64" s="169">
        <f t="shared" si="24"/>
        <v>62.821298200000001</v>
      </c>
      <c r="O64" s="169">
        <f t="shared" si="24"/>
        <v>65.305495400000012</v>
      </c>
      <c r="P64" s="169">
        <f>P63+P61</f>
        <v>66.628550353999998</v>
      </c>
      <c r="Q64" s="169">
        <f>Q63+Q61</f>
        <v>67.96483585754001</v>
      </c>
      <c r="R64" s="169">
        <f>R63+R61</f>
        <v>69.314484216115403</v>
      </c>
      <c r="S64" s="169">
        <f>S63+S61</f>
        <v>72.224568710616751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42</v>
      </c>
      <c r="E66" s="97"/>
      <c r="F66" s="97"/>
      <c r="G66" s="97"/>
      <c r="H66" s="307"/>
      <c r="I66" s="155">
        <f>(I22-F7)/2</f>
        <v>0</v>
      </c>
      <c r="J66" s="170">
        <f t="shared" ref="J66:S66" si="25">I66+365.25</f>
        <v>365.25</v>
      </c>
      <c r="K66" s="170">
        <f t="shared" si="25"/>
        <v>730.5</v>
      </c>
      <c r="L66" s="170">
        <f t="shared" si="25"/>
        <v>1095.75</v>
      </c>
      <c r="M66" s="170">
        <f t="shared" si="25"/>
        <v>1461</v>
      </c>
      <c r="N66" s="170">
        <f t="shared" si="25"/>
        <v>1826.25</v>
      </c>
      <c r="O66" s="170">
        <f t="shared" si="25"/>
        <v>2191.5</v>
      </c>
      <c r="P66" s="170">
        <f t="shared" si="25"/>
        <v>2556.75</v>
      </c>
      <c r="Q66" s="170">
        <f t="shared" si="25"/>
        <v>2922</v>
      </c>
      <c r="R66" s="170">
        <f t="shared" si="25"/>
        <v>3287.25</v>
      </c>
      <c r="S66" s="170">
        <f t="shared" si="25"/>
        <v>3652.5</v>
      </c>
      <c r="T66" s="170"/>
    </row>
    <row r="67" spans="4:20">
      <c r="D67" s="171" t="s">
        <v>43</v>
      </c>
      <c r="E67" s="171"/>
      <c r="F67" s="171"/>
      <c r="G67" s="171"/>
      <c r="H67" s="308"/>
      <c r="I67" s="156">
        <f>1/((1+$F$11)^(I66/365.25))</f>
        <v>1</v>
      </c>
      <c r="J67" s="172">
        <f t="shared" ref="J67:Q67" si="26">1/((1+$F$11)^(J66/365.25))</f>
        <v>0.92165898617511521</v>
      </c>
      <c r="K67" s="172">
        <f t="shared" si="26"/>
        <v>0.84945528679734128</v>
      </c>
      <c r="L67" s="172">
        <f t="shared" si="26"/>
        <v>0.78290809843072917</v>
      </c>
      <c r="M67" s="172">
        <f t="shared" si="26"/>
        <v>0.72157428426795334</v>
      </c>
      <c r="N67" s="172">
        <f t="shared" si="26"/>
        <v>0.66504542328843619</v>
      </c>
      <c r="O67" s="172">
        <f t="shared" si="26"/>
        <v>0.6129450905884205</v>
      </c>
      <c r="P67" s="172">
        <f t="shared" si="26"/>
        <v>0.56492635077273778</v>
      </c>
      <c r="Q67" s="172">
        <f t="shared" si="26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>
        <f>S64*(1+F9)/(F11-F9)</f>
        <v>907.32114442712282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>S27*F10</f>
        <v>1183.4088340402425</v>
      </c>
    </row>
    <row r="71" spans="4:20">
      <c r="Q71" s="2"/>
      <c r="R71" s="2"/>
      <c r="S71" s="2"/>
      <c r="T71" s="2"/>
    </row>
    <row r="72" spans="4:20" ht="13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59" t="s">
        <v>143</v>
      </c>
      <c r="I74" s="159" t="s">
        <v>21</v>
      </c>
      <c r="L74" s="40" t="s">
        <v>49</v>
      </c>
      <c r="M74" s="90"/>
      <c r="N74" s="159" t="s">
        <v>143</v>
      </c>
      <c r="O74" s="159" t="s">
        <v>21</v>
      </c>
    </row>
    <row r="75" spans="4:20">
      <c r="F75" s="28" t="s">
        <v>50</v>
      </c>
      <c r="H75" s="367">
        <f>SUMPRODUCT($I$64:$T$64,$I$67:$T$67)</f>
        <v>410.09389986295156</v>
      </c>
      <c r="I75" s="61">
        <f>H75/$H$77</f>
        <v>0.505422179128456</v>
      </c>
      <c r="L75" s="28" t="s">
        <v>50</v>
      </c>
      <c r="N75" s="44">
        <f>SUMPRODUCT($G$64:$T$64,$G$67:$T$67)</f>
        <v>410.09389986295156</v>
      </c>
      <c r="O75" s="61">
        <f>N75/$N$77</f>
        <v>0.41932416961242064</v>
      </c>
    </row>
    <row r="76" spans="4:20">
      <c r="F76" s="28" t="s">
        <v>51</v>
      </c>
      <c r="H76" s="367">
        <f>T69*S67</f>
        <v>401.2949089347008</v>
      </c>
      <c r="I76" s="61">
        <f>H76/$H$77</f>
        <v>0.49457782087154406</v>
      </c>
      <c r="L76" s="28" t="s">
        <v>51</v>
      </c>
      <c r="N76" s="44">
        <f>T70*R67</f>
        <v>567.89384704417148</v>
      </c>
      <c r="O76" s="61">
        <f>N76/$N$77</f>
        <v>0.58067583038757942</v>
      </c>
    </row>
    <row r="77" spans="4:20" ht="13">
      <c r="F77" s="25" t="s">
        <v>52</v>
      </c>
      <c r="G77" s="66"/>
      <c r="H77" s="368">
        <f>SUM(H75:H76)</f>
        <v>811.38880879765236</v>
      </c>
      <c r="I77" s="68">
        <f>SUM(I75:I76)</f>
        <v>1</v>
      </c>
      <c r="L77" s="25" t="s">
        <v>52</v>
      </c>
      <c r="M77" s="66"/>
      <c r="N77" s="56">
        <f>SUM(N75:N76)</f>
        <v>977.98774690712298</v>
      </c>
      <c r="O77" s="68">
        <f>SUM(O75:O76)</f>
        <v>1</v>
      </c>
    </row>
    <row r="78" spans="4:20" ht="13">
      <c r="F78" s="96" t="s">
        <v>67</v>
      </c>
      <c r="G78" s="59"/>
      <c r="H78" s="187">
        <f>-SUM(Assumptions!$D$19:$D$22)</f>
        <v>-84.616813539584982</v>
      </c>
      <c r="I78" s="95"/>
      <c r="L78" s="96" t="s">
        <v>67</v>
      </c>
      <c r="M78" s="59"/>
      <c r="N78" s="187">
        <f>-SUM(Assumptions!$D$19:$D$22)</f>
        <v>-84.616813539584982</v>
      </c>
      <c r="O78" s="95"/>
    </row>
    <row r="79" spans="4:20" ht="13">
      <c r="F79" s="25" t="s">
        <v>68</v>
      </c>
      <c r="G79" s="66"/>
      <c r="H79" s="368">
        <f>H77+H78</f>
        <v>726.77199525806736</v>
      </c>
      <c r="I79" s="68"/>
      <c r="L79" s="25" t="s">
        <v>68</v>
      </c>
      <c r="M79" s="66"/>
      <c r="N79" s="56">
        <f>N77+N78</f>
        <v>893.37093336753799</v>
      </c>
      <c r="O79" s="68"/>
    </row>
    <row r="80" spans="4:20" ht="13">
      <c r="F80" s="97" t="s">
        <v>64</v>
      </c>
      <c r="G80" s="67"/>
      <c r="H80" s="369">
        <f>H79/Assumptions!$D$17*100</f>
        <v>365.21205791862684</v>
      </c>
      <c r="I80" s="99"/>
      <c r="L80" s="97" t="s">
        <v>64</v>
      </c>
      <c r="M80" s="67"/>
      <c r="N80" s="98">
        <f>N79/Assumptions!$D$17*100</f>
        <v>448.93011727011958</v>
      </c>
      <c r="O80" s="99"/>
    </row>
    <row r="81" spans="4:20" ht="13">
      <c r="F81" s="100" t="s">
        <v>28</v>
      </c>
      <c r="G81" s="47"/>
      <c r="H81" s="370">
        <f>H80/Assumptions!$D$16-1</f>
        <v>1.2134064116280414</v>
      </c>
      <c r="I81" s="102"/>
      <c r="L81" s="100" t="s">
        <v>28</v>
      </c>
      <c r="M81" s="47"/>
      <c r="N81" s="101">
        <f>N80/Assumptions!$D$16-1</f>
        <v>1.7207885895158763</v>
      </c>
      <c r="O81" s="102"/>
    </row>
    <row r="82" spans="4:20">
      <c r="H82" s="2"/>
    </row>
    <row r="83" spans="4:20" ht="13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397">
        <v>5.0000000000000001E-3</v>
      </c>
      <c r="G87" s="29" t="s">
        <v>54</v>
      </c>
      <c r="I87" s="399">
        <v>2.5000000000000001E-3</v>
      </c>
      <c r="L87" s="29" t="s">
        <v>55</v>
      </c>
      <c r="M87" s="400">
        <v>8.5</v>
      </c>
      <c r="N87" s="29" t="s">
        <v>56</v>
      </c>
      <c r="P87" s="401">
        <v>0.5</v>
      </c>
    </row>
    <row r="88" spans="4:20" ht="13">
      <c r="E88" s="29" t="s">
        <v>35</v>
      </c>
      <c r="F88" s="398">
        <v>8.5000000000000006E-2</v>
      </c>
      <c r="G88" s="29" t="s">
        <v>57</v>
      </c>
      <c r="I88" s="399">
        <v>5.0000000000000001E-3</v>
      </c>
      <c r="L88" s="29" t="s">
        <v>35</v>
      </c>
      <c r="M88" s="60">
        <f>F88</f>
        <v>8.5000000000000006E-2</v>
      </c>
      <c r="N88" s="29" t="s">
        <v>57</v>
      </c>
      <c r="P88" s="143">
        <f>I88</f>
        <v>5.0000000000000001E-3</v>
      </c>
    </row>
    <row r="90" spans="4:20" ht="13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 ht="13">
      <c r="E92" s="86" t="s">
        <v>144</v>
      </c>
      <c r="F92" s="40"/>
      <c r="G92" s="40"/>
      <c r="H92" s="40"/>
      <c r="I92" s="40"/>
      <c r="J92" s="40"/>
      <c r="L92" s="86" t="s">
        <v>144</v>
      </c>
      <c r="M92" s="40"/>
      <c r="N92" s="40"/>
      <c r="O92" s="40"/>
      <c r="P92" s="40"/>
      <c r="Q92" s="40"/>
      <c r="R92" s="127"/>
    </row>
    <row r="93" spans="4:20" ht="13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>
        <f>H77</f>
        <v>811.38880879765236</v>
      </c>
      <c r="F94" s="70">
        <f>G94-$I$87</f>
        <v>0</v>
      </c>
      <c r="G94" s="70">
        <f>H94-$I$87</f>
        <v>2.5000000000000001E-3</v>
      </c>
      <c r="H94" s="189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>N77</f>
        <v>977.98774690712298</v>
      </c>
      <c r="M94" s="334">
        <f>N94-$P$87</f>
        <v>7.5</v>
      </c>
      <c r="N94" s="334">
        <f>O94-$P$87</f>
        <v>8</v>
      </c>
      <c r="O94" s="335">
        <f>$M$87</f>
        <v>8.5</v>
      </c>
      <c r="P94" s="334">
        <f>O94+$P$87</f>
        <v>9</v>
      </c>
      <c r="Q94" s="336">
        <f>P94+$P$87</f>
        <v>9.5</v>
      </c>
      <c r="R94" s="127"/>
    </row>
    <row r="95" spans="4:20" ht="12.75" customHeight="1">
      <c r="E95" s="30">
        <f>E96-$I$88</f>
        <v>7.4999999999999997E-2</v>
      </c>
      <c r="F95" s="311">
        <f t="dataTable" ref="F95:J99" dt2D="1" dtr="1" r1="F9" r2="F11" ca="1"/>
        <v>897.62372837141447</v>
      </c>
      <c r="G95" s="312">
        <v>914.94379337303599</v>
      </c>
      <c r="H95" s="313">
        <v>933.50100587477345</v>
      </c>
      <c r="I95" s="312">
        <v>953.43282670997291</v>
      </c>
      <c r="J95" s="314">
        <v>974.89786453249519</v>
      </c>
      <c r="L95" s="30">
        <f>L96-$I$88</f>
        <v>7.4999999999999997E-2</v>
      </c>
      <c r="M95" s="337">
        <f t="dataTable" ref="M95:Q99" dt2D="1" dtr="1" r1="F10" r2="F11"/>
        <v>975.01402102027112</v>
      </c>
      <c r="N95" s="338">
        <v>1011.3226380524911</v>
      </c>
      <c r="O95" s="338">
        <v>1047.631255084711</v>
      </c>
      <c r="P95" s="338">
        <v>1083.9398721169309</v>
      </c>
      <c r="Q95" s="339">
        <v>1120.2484891491508</v>
      </c>
      <c r="R95" s="127"/>
    </row>
    <row r="96" spans="4:20" ht="12.75" customHeight="1">
      <c r="E96" s="30">
        <f>E97-$I$88</f>
        <v>0.08</v>
      </c>
      <c r="F96" s="315">
        <v>838.23440251122656</v>
      </c>
      <c r="G96" s="316">
        <v>852.80305811566245</v>
      </c>
      <c r="H96" s="313">
        <v>868.34295742706081</v>
      </c>
      <c r="I96" s="316">
        <v>884.95457393234881</v>
      </c>
      <c r="J96" s="317">
        <v>902.75273447372865</v>
      </c>
      <c r="L96" s="30">
        <f>L97-$I$88</f>
        <v>0.08</v>
      </c>
      <c r="M96" s="340">
        <v>942.41212890626173</v>
      </c>
      <c r="N96" s="341">
        <v>977.23560225466622</v>
      </c>
      <c r="O96" s="342">
        <v>1012.0590756030707</v>
      </c>
      <c r="P96" s="341">
        <v>1046.8825489514752</v>
      </c>
      <c r="Q96" s="343">
        <v>1081.7060222998796</v>
      </c>
      <c r="R96" s="77"/>
      <c r="S96" s="77"/>
      <c r="T96" s="77"/>
    </row>
    <row r="97" spans="4:20" ht="12.75" customHeight="1">
      <c r="E97" s="190">
        <f>$F$88</f>
        <v>8.5000000000000006E-2</v>
      </c>
      <c r="F97" s="315">
        <v>785.90417454572673</v>
      </c>
      <c r="G97" s="313">
        <v>798.26036084969064</v>
      </c>
      <c r="H97" s="316">
        <v>811.38880879765236</v>
      </c>
      <c r="I97" s="313">
        <v>825.3642533874181</v>
      </c>
      <c r="J97" s="317">
        <v>840.27139428316809</v>
      </c>
      <c r="L97" s="190">
        <f>$M$88</f>
        <v>8.5000000000000006E-2</v>
      </c>
      <c r="M97" s="340">
        <v>911.17670607839682</v>
      </c>
      <c r="N97" s="342">
        <v>944.5822264927599</v>
      </c>
      <c r="O97" s="341">
        <v>977.98774690712298</v>
      </c>
      <c r="P97" s="342">
        <v>1011.3932673214861</v>
      </c>
      <c r="Q97" s="343">
        <v>1044.7987877358489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315">
        <v>739.45370929858063</v>
      </c>
      <c r="G98" s="316">
        <v>750.01059748840657</v>
      </c>
      <c r="H98" s="313">
        <v>761.18847910116347</v>
      </c>
      <c r="I98" s="316">
        <v>773.04380808439055</v>
      </c>
      <c r="J98" s="317">
        <v>785.6400951290691</v>
      </c>
      <c r="L98" s="160">
        <f>L97+$I$88</f>
        <v>9.0000000000000011E-2</v>
      </c>
      <c r="M98" s="340">
        <v>881.24250369299625</v>
      </c>
      <c r="N98" s="341">
        <v>913.29393320576833</v>
      </c>
      <c r="O98" s="342">
        <v>945.3453627185404</v>
      </c>
      <c r="P98" s="341">
        <v>977.39679223131225</v>
      </c>
      <c r="Q98" s="343">
        <v>1009.4482217440843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318">
        <v>697.95208689378887</v>
      </c>
      <c r="G99" s="319">
        <v>707.03097273331355</v>
      </c>
      <c r="H99" s="319">
        <v>716.61424111947849</v>
      </c>
      <c r="I99" s="319">
        <v>726.7451248419959</v>
      </c>
      <c r="J99" s="320">
        <v>737.4719429011318</v>
      </c>
      <c r="L99" s="161">
        <f>L98+$I$88</f>
        <v>9.5000000000000015E-2</v>
      </c>
      <c r="M99" s="344">
        <v>852.54771420776115</v>
      </c>
      <c r="N99" s="345">
        <v>883.30576522579565</v>
      </c>
      <c r="O99" s="345">
        <v>914.06381624383005</v>
      </c>
      <c r="P99" s="345">
        <v>944.82186726186444</v>
      </c>
      <c r="Q99" s="346">
        <v>975.57991827989883</v>
      </c>
      <c r="R99" s="77"/>
      <c r="S99" s="77"/>
      <c r="T99" s="77"/>
    </row>
    <row r="101" spans="4:20" s="127" customFormat="1" ht="13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 ht="13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2">
        <f>H80</f>
        <v>365.21205791862684</v>
      </c>
      <c r="F103" s="331">
        <f>G103-$I$87</f>
        <v>0</v>
      </c>
      <c r="G103" s="331">
        <f>H103-$I$87</f>
        <v>2.5000000000000001E-3</v>
      </c>
      <c r="H103" s="332">
        <f>$F$87</f>
        <v>5.0000000000000001E-3</v>
      </c>
      <c r="I103" s="331">
        <f>H103+$I$87</f>
        <v>7.4999999999999997E-3</v>
      </c>
      <c r="J103" s="333">
        <f>I103+$I$87</f>
        <v>0.01</v>
      </c>
      <c r="L103" s="192">
        <f>N80</f>
        <v>448.93011727011958</v>
      </c>
      <c r="M103" s="175">
        <f>N103-$P$87</f>
        <v>7.5</v>
      </c>
      <c r="N103" s="175">
        <f>O103-$P$87</f>
        <v>8</v>
      </c>
      <c r="O103" s="188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21">
        <f>(F95-SUM(Assumptions!$D$19:$D$22))/Assumptions!$D$17*100</f>
        <v>408.54618835770327</v>
      </c>
      <c r="G104" s="322">
        <f>(G95-SUM(Assumptions!$D$19:$D$22))/Assumptions!$D$17*100</f>
        <v>417.2497386097744</v>
      </c>
      <c r="H104" s="323">
        <f>(H95-SUM(Assumptions!$D$19:$D$22))/Assumptions!$D$17*100</f>
        <v>426.57497102270776</v>
      </c>
      <c r="I104" s="322">
        <f>(I95-SUM(Assumptions!$D$19:$D$22))/Assumptions!$D$17*100</f>
        <v>436.59096139215478</v>
      </c>
      <c r="J104" s="324">
        <f>(J95-SUM(Assumptions!$D$19:$D$22))/Assumptions!$D$17*100</f>
        <v>447.37741255925141</v>
      </c>
      <c r="L104" s="30">
        <f>L105-$I$88</f>
        <v>7.4999999999999997E-2</v>
      </c>
      <c r="M104" s="72">
        <f>(M95-SUM(Assumptions!$D$19:$D$22))/Assumptions!$D$17*100</f>
        <v>447.43578265361111</v>
      </c>
      <c r="N104" s="73">
        <f>(N95-SUM(Assumptions!$D$19:$D$22))/Assumptions!$D$17*100</f>
        <v>465.68131885070659</v>
      </c>
      <c r="O104" s="77">
        <f>(O95-SUM(Assumptions!$D$19:$D$22))/Assumptions!$D$17*100</f>
        <v>483.92685504780201</v>
      </c>
      <c r="P104" s="73">
        <f>(P95-SUM(Assumptions!$D$19:$D$22))/Assumptions!$D$17*100</f>
        <v>502.17239124489748</v>
      </c>
      <c r="Q104" s="74">
        <f>(Q95-SUM(Assumptions!$D$19:$D$22))/Assumptions!$D$17*100</f>
        <v>520.4179274419929</v>
      </c>
    </row>
    <row r="105" spans="4:20" s="127" customFormat="1">
      <c r="E105" s="30">
        <f>E106-$I$88</f>
        <v>0.08</v>
      </c>
      <c r="F105" s="325">
        <f>(F96-SUM(Assumptions!$D$19:$D$22))/Assumptions!$D$17*100</f>
        <v>378.70230601590026</v>
      </c>
      <c r="G105" s="326">
        <f>(G96-SUM(Assumptions!$D$19:$D$22))/Assumptions!$D$17*100</f>
        <v>386.02323848044091</v>
      </c>
      <c r="H105" s="323">
        <f>(H96-SUM(Assumptions!$D$19:$D$22))/Assumptions!$D$17*100</f>
        <v>393.83223310928435</v>
      </c>
      <c r="I105" s="326">
        <f>(I96-SUM(Assumptions!$D$19:$D$22))/Assumptions!$D$17*100</f>
        <v>402.17977909184111</v>
      </c>
      <c r="J105" s="327">
        <f>(J96-SUM(Assumptions!$D$19:$D$22))/Assumptions!$D$17*100</f>
        <v>411.1235783588661</v>
      </c>
      <c r="L105" s="30">
        <f>L106-$I$88</f>
        <v>0.08</v>
      </c>
      <c r="M105" s="75">
        <f>(M96-SUM(Assumptions!$D$19:$D$22))/Assumptions!$D$17*100</f>
        <v>431.05292229481245</v>
      </c>
      <c r="N105" s="76">
        <f>(N96-SUM(Assumptions!$D$19:$D$22))/Assumptions!$D$17*100</f>
        <v>448.55215513320667</v>
      </c>
      <c r="O105" s="77">
        <f>(O96-SUM(Assumptions!$D$19:$D$22))/Assumptions!$D$17*100</f>
        <v>466.05138797160083</v>
      </c>
      <c r="P105" s="76">
        <f>(P96-SUM(Assumptions!$D$19:$D$22))/Assumptions!$D$17*100</f>
        <v>483.55062080999511</v>
      </c>
      <c r="Q105" s="78">
        <f>(Q96-SUM(Assumptions!$D$19:$D$22))/Assumptions!$D$17*100</f>
        <v>501.04985364838922</v>
      </c>
    </row>
    <row r="106" spans="4:20" s="127" customFormat="1">
      <c r="E106" s="190">
        <f>$F$88</f>
        <v>8.5000000000000006E-2</v>
      </c>
      <c r="F106" s="325">
        <f>(F97-SUM(Assumptions!$D$19:$D$22))/Assumptions!$D$17*100</f>
        <v>352.40570904831242</v>
      </c>
      <c r="G106" s="323">
        <f>(G97-SUM(Assumptions!$D$19:$D$22))/Assumptions!$D$17*100</f>
        <v>358.6148478945255</v>
      </c>
      <c r="H106" s="326">
        <f>(H97-SUM(Assumptions!$D$19:$D$22))/Assumptions!$D$17*100</f>
        <v>365.21205791862684</v>
      </c>
      <c r="I106" s="323">
        <f>(I97-SUM(Assumptions!$D$19:$D$22))/Assumptions!$D$17*100</f>
        <v>372.23489439589605</v>
      </c>
      <c r="J106" s="327">
        <f>(J97-SUM(Assumptions!$D$19:$D$22))/Assumptions!$D$17*100</f>
        <v>379.72591997164977</v>
      </c>
      <c r="L106" s="190">
        <f>$M$88</f>
        <v>8.5000000000000006E-2</v>
      </c>
      <c r="M106" s="75">
        <f>(M97-SUM(Assumptions!$D$19:$D$22))/Assumptions!$D$17*100</f>
        <v>415.35672991900094</v>
      </c>
      <c r="N106" s="77">
        <f>(N97-SUM(Assumptions!$D$19:$D$22))/Assumptions!$D$17*100</f>
        <v>432.14342359456026</v>
      </c>
      <c r="O106" s="76">
        <f>(O97-SUM(Assumptions!$D$19:$D$22))/Assumptions!$D$17*100</f>
        <v>448.93011727011958</v>
      </c>
      <c r="P106" s="77">
        <f>(P97-SUM(Assumptions!$D$19:$D$22))/Assumptions!$D$17*100</f>
        <v>465.7168109456789</v>
      </c>
      <c r="Q106" s="78">
        <f>(Q97-SUM(Assumptions!$D$19:$D$22))/Assumptions!$D$17*100</f>
        <v>482.50350462123811</v>
      </c>
    </row>
    <row r="107" spans="4:20" s="127" customFormat="1">
      <c r="E107" s="160">
        <f>E106+$I$88</f>
        <v>9.0000000000000011E-2</v>
      </c>
      <c r="F107" s="325">
        <f>(F98-SUM(Assumptions!$D$19:$D$22))/Assumptions!$D$17*100</f>
        <v>329.06376671306316</v>
      </c>
      <c r="G107" s="326">
        <f>(G98-SUM(Assumptions!$D$19:$D$22))/Assumptions!$D$17*100</f>
        <v>334.36873565267416</v>
      </c>
      <c r="H107" s="323">
        <f>(H98-SUM(Assumptions!$D$19:$D$22))/Assumptions!$D$17*100</f>
        <v>339.98576158873288</v>
      </c>
      <c r="I107" s="326">
        <f>(I98-SUM(Assumptions!$D$19:$D$22))/Assumptions!$D$17*100</f>
        <v>345.94321333909829</v>
      </c>
      <c r="J107" s="327">
        <f>(J98-SUM(Assumptions!$D$19:$D$22))/Assumptions!$D$17*100</f>
        <v>352.27300582386135</v>
      </c>
      <c r="L107" s="160">
        <f>L106+$I$88</f>
        <v>9.0000000000000011E-2</v>
      </c>
      <c r="M107" s="75">
        <f>(M98-SUM(Assumptions!$D$19:$D$22))/Assumptions!$D$17*100</f>
        <v>400.31441716251823</v>
      </c>
      <c r="N107" s="76">
        <f>(N98-SUM(Assumptions!$D$19:$D$22))/Assumptions!$D$17*100</f>
        <v>416.42066314883584</v>
      </c>
      <c r="O107" s="77">
        <f>(O98-SUM(Assumptions!$D$19:$D$22))/Assumptions!$D$17*100</f>
        <v>432.52690913515346</v>
      </c>
      <c r="P107" s="76">
        <f>(P98-SUM(Assumptions!$D$19:$D$22))/Assumptions!$D$17*100</f>
        <v>448.63315512147102</v>
      </c>
      <c r="Q107" s="78">
        <f>(Q98-SUM(Assumptions!$D$19:$D$22))/Assumptions!$D$17*100</f>
        <v>464.73940110778864</v>
      </c>
    </row>
    <row r="108" spans="4:20" s="127" customFormat="1">
      <c r="E108" s="161">
        <f>E107+$I$88</f>
        <v>9.5000000000000015E-2</v>
      </c>
      <c r="F108" s="328">
        <f>(F99-SUM(Assumptions!$D$19:$D$22))/Assumptions!$D$17*100</f>
        <v>308.20868007748936</v>
      </c>
      <c r="G108" s="329">
        <f>(G99-SUM(Assumptions!$D$19:$D$22))/Assumptions!$D$17*100</f>
        <v>312.77093426820528</v>
      </c>
      <c r="H108" s="329">
        <f>(H99-SUM(Assumptions!$D$19:$D$22))/Assumptions!$D$17*100</f>
        <v>317.58664702507212</v>
      </c>
      <c r="I108" s="329">
        <f>(I99-SUM(Assumptions!$D$19:$D$22))/Assumptions!$D$17*100</f>
        <v>322.67754336804569</v>
      </c>
      <c r="J108" s="330">
        <f>(J99-SUM(Assumptions!$D$19:$D$22))/Assumptions!$D$17*100</f>
        <v>328.06790420178231</v>
      </c>
      <c r="L108" s="161">
        <f>L107+$I$88</f>
        <v>9.5000000000000015E-2</v>
      </c>
      <c r="M108" s="79">
        <f>(M99-SUM(Assumptions!$D$19:$D$22))/Assumptions!$D$17*100</f>
        <v>385.89492495888248</v>
      </c>
      <c r="N108" s="80">
        <f>(N99-SUM(Assumptions!$D$19:$D$22))/Assumptions!$D$17*100</f>
        <v>401.35123200312091</v>
      </c>
      <c r="O108" s="80">
        <f>(O99-SUM(Assumptions!$D$19:$D$22))/Assumptions!$D$17*100</f>
        <v>416.80753904735928</v>
      </c>
      <c r="P108" s="80">
        <f>(P99-SUM(Assumptions!$D$19:$D$22))/Assumptions!$D$17*100</f>
        <v>432.26384609159771</v>
      </c>
      <c r="Q108" s="81">
        <f>(Q99-SUM(Assumptions!$D$19:$D$22))/Assumptions!$D$17*100</f>
        <v>447.72015313583609</v>
      </c>
    </row>
    <row r="109" spans="4:20" s="127" customFormat="1"/>
    <row r="110" spans="4:20" ht="13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99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27">F22</f>
        <v>42825</v>
      </c>
      <c r="G111" s="118">
        <f t="shared" si="27"/>
        <v>43190</v>
      </c>
      <c r="H111" s="177">
        <f t="shared" si="27"/>
        <v>43555</v>
      </c>
      <c r="I111" s="177">
        <f t="shared" si="27"/>
        <v>43921</v>
      </c>
      <c r="J111" s="177">
        <f t="shared" si="27"/>
        <v>44286</v>
      </c>
      <c r="K111" s="177">
        <f t="shared" si="27"/>
        <v>44651</v>
      </c>
      <c r="L111" s="177">
        <f t="shared" si="27"/>
        <v>45016</v>
      </c>
      <c r="M111" s="177">
        <f t="shared" si="27"/>
        <v>45382</v>
      </c>
      <c r="N111" s="177">
        <f t="shared" si="27"/>
        <v>45747</v>
      </c>
      <c r="O111" s="177">
        <f t="shared" si="27"/>
        <v>46112</v>
      </c>
      <c r="P111" s="177">
        <f t="shared" si="27"/>
        <v>46477</v>
      </c>
      <c r="Q111" s="177">
        <f t="shared" si="27"/>
        <v>46843</v>
      </c>
      <c r="R111" s="177">
        <f t="shared" si="27"/>
        <v>47208</v>
      </c>
      <c r="S111" s="177">
        <f t="shared" si="27"/>
        <v>47573</v>
      </c>
      <c r="T111" s="177"/>
    </row>
    <row r="112" spans="4:20">
      <c r="D112" s="42" t="s">
        <v>3</v>
      </c>
      <c r="E112" s="110"/>
      <c r="F112" s="144">
        <f t="shared" ref="F112:S112" si="28">F27</f>
        <v>108.7</v>
      </c>
      <c r="G112" s="144">
        <f t="shared" si="28"/>
        <v>109.5</v>
      </c>
      <c r="H112" s="144">
        <f t="shared" si="28"/>
        <v>98.2</v>
      </c>
      <c r="I112" s="144">
        <f t="shared" si="28"/>
        <v>94.147209662938678</v>
      </c>
      <c r="J112" s="144">
        <f t="shared" si="28"/>
        <v>92.625305088518971</v>
      </c>
      <c r="K112" s="144">
        <f t="shared" si="28"/>
        <v>111.79673623719194</v>
      </c>
      <c r="L112" s="144">
        <f t="shared" si="28"/>
        <v>124.39494101920258</v>
      </c>
      <c r="M112" s="144">
        <f t="shared" si="28"/>
        <v>127.56812935492378</v>
      </c>
      <c r="N112" s="144">
        <f t="shared" si="28"/>
        <v>130.99554000000001</v>
      </c>
      <c r="O112" s="144">
        <f t="shared" si="28"/>
        <v>132.30549540000001</v>
      </c>
      <c r="P112" s="144">
        <f t="shared" si="28"/>
        <v>133.628550354</v>
      </c>
      <c r="Q112" s="144">
        <f t="shared" si="28"/>
        <v>134.96483585754001</v>
      </c>
      <c r="R112" s="144">
        <f t="shared" si="28"/>
        <v>136.3144842161154</v>
      </c>
      <c r="S112" s="144">
        <f t="shared" si="28"/>
        <v>139.22456871061675</v>
      </c>
      <c r="T112" s="144"/>
    </row>
    <row r="113" spans="4:20" ht="13">
      <c r="D113" s="43" t="s">
        <v>1</v>
      </c>
      <c r="E113" s="111"/>
      <c r="F113" s="148">
        <f>F112/F$24</f>
        <v>9.9269406392694062E-2</v>
      </c>
      <c r="G113" s="148">
        <f t="shared" ref="G113:R113" si="29">G112/G$24</f>
        <v>9.6467271606025903E-2</v>
      </c>
      <c r="H113" s="148">
        <f t="shared" si="29"/>
        <v>8.6246267345863353E-2</v>
      </c>
      <c r="I113" s="148">
        <f t="shared" si="29"/>
        <v>8.1938389610912682E-2</v>
      </c>
      <c r="J113" s="148">
        <f t="shared" si="29"/>
        <v>7.3746262013152042E-2</v>
      </c>
      <c r="K113" s="148">
        <f t="shared" si="29"/>
        <v>8.2567752021559776E-2</v>
      </c>
      <c r="L113" s="148">
        <f t="shared" si="29"/>
        <v>0.10845243332101358</v>
      </c>
      <c r="M113" s="148">
        <f t="shared" si="29"/>
        <v>8.8404802047764228E-2</v>
      </c>
      <c r="N113" s="148">
        <f t="shared" si="29"/>
        <v>8.8999999999999996E-2</v>
      </c>
      <c r="O113" s="148">
        <f t="shared" si="29"/>
        <v>8.900000000000001E-2</v>
      </c>
      <c r="P113" s="148">
        <f t="shared" si="29"/>
        <v>8.8999999999999996E-2</v>
      </c>
      <c r="Q113" s="148">
        <f t="shared" si="29"/>
        <v>8.8999999999999996E-2</v>
      </c>
      <c r="R113" s="148">
        <f t="shared" si="29"/>
        <v>8.8999999999999996E-2</v>
      </c>
      <c r="S113" s="148">
        <f t="shared" ref="S113" si="30">S112/S$24</f>
        <v>9.0000000000000011E-2</v>
      </c>
      <c r="T113" s="148"/>
    </row>
    <row r="114" spans="4:20" ht="13">
      <c r="D114" s="42" t="s">
        <v>4</v>
      </c>
      <c r="E114" s="111"/>
      <c r="F114" s="145">
        <f t="shared" ref="F114:S114" si="31">F46</f>
        <v>0</v>
      </c>
      <c r="G114" s="145">
        <f t="shared" si="31"/>
        <v>0</v>
      </c>
      <c r="H114" s="145">
        <f t="shared" si="31"/>
        <v>0</v>
      </c>
      <c r="I114" s="145">
        <f t="shared" si="31"/>
        <v>36</v>
      </c>
      <c r="J114" s="145">
        <f t="shared" si="31"/>
        <v>40.4</v>
      </c>
      <c r="K114" s="145">
        <f t="shared" si="31"/>
        <v>47.3</v>
      </c>
      <c r="L114" s="145">
        <f t="shared" si="31"/>
        <v>51.9</v>
      </c>
      <c r="M114" s="145">
        <f t="shared" si="31"/>
        <v>54.9</v>
      </c>
      <c r="N114" s="145">
        <f t="shared" si="31"/>
        <v>53.5</v>
      </c>
      <c r="O114" s="145">
        <f t="shared" si="31"/>
        <v>51</v>
      </c>
      <c r="P114" s="145">
        <f t="shared" si="31"/>
        <v>49.5</v>
      </c>
      <c r="Q114" s="145">
        <f t="shared" si="31"/>
        <v>48.5</v>
      </c>
      <c r="R114" s="145">
        <f t="shared" si="31"/>
        <v>47.5</v>
      </c>
      <c r="S114" s="145">
        <f t="shared" si="31"/>
        <v>47.5</v>
      </c>
      <c r="T114" s="145"/>
    </row>
    <row r="115" spans="4:20" ht="13">
      <c r="D115" s="43" t="s">
        <v>37</v>
      </c>
      <c r="E115" s="111"/>
      <c r="F115" s="148">
        <f t="shared" ref="F115:S115" si="32">-F114/F48</f>
        <v>0</v>
      </c>
      <c r="G115" s="148">
        <f t="shared" si="32"/>
        <v>0</v>
      </c>
      <c r="H115" s="148">
        <f t="shared" si="32"/>
        <v>0</v>
      </c>
      <c r="I115" s="148">
        <f t="shared" si="32"/>
        <v>1</v>
      </c>
      <c r="J115" s="148">
        <f t="shared" si="32"/>
        <v>0.792156862745098</v>
      </c>
      <c r="K115" s="148">
        <f t="shared" si="32"/>
        <v>0.94599999999999995</v>
      </c>
      <c r="L115" s="148">
        <f t="shared" si="32"/>
        <v>1.038</v>
      </c>
      <c r="M115" s="148">
        <f t="shared" si="32"/>
        <v>1.0979999999999999</v>
      </c>
      <c r="N115" s="148">
        <f t="shared" si="32"/>
        <v>1.07</v>
      </c>
      <c r="O115" s="148">
        <f t="shared" si="32"/>
        <v>1.02</v>
      </c>
      <c r="P115" s="148">
        <f t="shared" si="32"/>
        <v>0.99</v>
      </c>
      <c r="Q115" s="148">
        <f t="shared" si="32"/>
        <v>0.97</v>
      </c>
      <c r="R115" s="148">
        <f t="shared" si="32"/>
        <v>0.95</v>
      </c>
      <c r="S115" s="148">
        <f t="shared" si="32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33">F35</f>
        <v>77.099999999999994</v>
      </c>
      <c r="G116" s="146">
        <f t="shared" si="33"/>
        <v>74.599999999999994</v>
      </c>
      <c r="H116" s="146">
        <f t="shared" si="33"/>
        <v>62.2</v>
      </c>
      <c r="I116" s="146">
        <f t="shared" si="33"/>
        <v>58.147209662938678</v>
      </c>
      <c r="J116" s="146">
        <f t="shared" si="33"/>
        <v>52.225305088518972</v>
      </c>
      <c r="K116" s="146">
        <f t="shared" si="33"/>
        <v>64.496736237191939</v>
      </c>
      <c r="L116" s="146">
        <f t="shared" si="33"/>
        <v>72.494941019202571</v>
      </c>
      <c r="M116" s="146">
        <f t="shared" si="33"/>
        <v>72.668129354923792</v>
      </c>
      <c r="N116" s="146">
        <f t="shared" si="33"/>
        <v>77.495540000000005</v>
      </c>
      <c r="O116" s="146">
        <f t="shared" si="33"/>
        <v>81.305495400000012</v>
      </c>
      <c r="P116" s="146">
        <f t="shared" si="33"/>
        <v>84.128550353999998</v>
      </c>
      <c r="Q116" s="146">
        <f t="shared" si="33"/>
        <v>86.46483585754001</v>
      </c>
      <c r="R116" s="146">
        <f t="shared" si="33"/>
        <v>88.814484216115403</v>
      </c>
      <c r="S116" s="146">
        <f t="shared" si="33"/>
        <v>91.724568710616751</v>
      </c>
      <c r="T116" s="146"/>
    </row>
    <row r="117" spans="4:20" ht="13">
      <c r="D117" s="43" t="s">
        <v>1</v>
      </c>
      <c r="E117" s="112"/>
      <c r="F117" s="148">
        <f>F116/F$24</f>
        <v>7.0410958904109588E-2</v>
      </c>
      <c r="G117" s="148">
        <f t="shared" ref="G117:R117" si="34">G116/G$24</f>
        <v>6.5721081843009427E-2</v>
      </c>
      <c r="H117" s="148">
        <f t="shared" si="34"/>
        <v>5.4628491129457238E-2</v>
      </c>
      <c r="I117" s="148">
        <f t="shared" si="34"/>
        <v>5.0606796921617646E-2</v>
      </c>
      <c r="J117" s="148">
        <f t="shared" si="34"/>
        <v>4.1580656917610648E-2</v>
      </c>
      <c r="K117" s="148">
        <f t="shared" si="34"/>
        <v>4.7634221740909852E-2</v>
      </c>
      <c r="L117" s="148">
        <f t="shared" si="34"/>
        <v>6.3203959040281227E-2</v>
      </c>
      <c r="M117" s="148">
        <f t="shared" si="34"/>
        <v>5.0359064002026187E-2</v>
      </c>
      <c r="N117" s="148">
        <f t="shared" si="34"/>
        <v>5.2651434239669531E-2</v>
      </c>
      <c r="O117" s="148">
        <f t="shared" si="34"/>
        <v>5.4693034999965702E-2</v>
      </c>
      <c r="P117" s="148">
        <f t="shared" si="34"/>
        <v>5.6031745923088752E-2</v>
      </c>
      <c r="Q117" s="148">
        <f t="shared" si="34"/>
        <v>5.7017595304926588E-2</v>
      </c>
      <c r="R117" s="148">
        <f t="shared" si="34"/>
        <v>5.7987154781749775E-2</v>
      </c>
      <c r="S117" s="148">
        <f t="shared" ref="S117" si="35">S116/S$24</f>
        <v>5.9294212655197805E-2</v>
      </c>
      <c r="T117" s="148"/>
    </row>
    <row r="118" spans="4:20" ht="13">
      <c r="D118" s="42" t="s">
        <v>10</v>
      </c>
      <c r="E118" s="112"/>
      <c r="F118" s="145">
        <f t="shared" ref="F118:S118" si="36">F39</f>
        <v>0</v>
      </c>
      <c r="G118" s="145">
        <f t="shared" si="36"/>
        <v>0</v>
      </c>
      <c r="H118" s="145">
        <f t="shared" si="36"/>
        <v>0</v>
      </c>
      <c r="I118" s="145">
        <f t="shared" si="36"/>
        <v>-11.04796983595835</v>
      </c>
      <c r="J118" s="145">
        <f t="shared" si="36"/>
        <v>-8.8783018650482255</v>
      </c>
      <c r="K118" s="145">
        <f t="shared" si="36"/>
        <v>-10.964445160322631</v>
      </c>
      <c r="L118" s="145">
        <f t="shared" si="36"/>
        <v>-12.324139973264439</v>
      </c>
      <c r="M118" s="145">
        <f t="shared" si="36"/>
        <v>-12.353581990337046</v>
      </c>
      <c r="N118" s="145">
        <f t="shared" si="36"/>
        <v>-13.174241800000003</v>
      </c>
      <c r="O118" s="145">
        <f t="shared" si="36"/>
        <v>-12</v>
      </c>
      <c r="P118" s="145">
        <f t="shared" si="36"/>
        <v>-12</v>
      </c>
      <c r="Q118" s="145">
        <f t="shared" si="36"/>
        <v>-12</v>
      </c>
      <c r="R118" s="145">
        <f t="shared" si="36"/>
        <v>-12</v>
      </c>
      <c r="S118" s="145">
        <f t="shared" si="36"/>
        <v>-12</v>
      </c>
      <c r="T118" s="145"/>
    </row>
    <row r="119" spans="4:20" ht="13">
      <c r="D119" s="43" t="s">
        <v>65</v>
      </c>
      <c r="E119" s="112"/>
      <c r="F119" s="148">
        <f t="shared" ref="F119:S119" si="37">F40</f>
        <v>0</v>
      </c>
      <c r="G119" s="148">
        <f t="shared" si="37"/>
        <v>0</v>
      </c>
      <c r="H119" s="148">
        <f t="shared" si="37"/>
        <v>0</v>
      </c>
      <c r="I119" s="148">
        <f t="shared" si="37"/>
        <v>0.19</v>
      </c>
      <c r="J119" s="148">
        <f t="shared" si="37"/>
        <v>0.17</v>
      </c>
      <c r="K119" s="148">
        <f t="shared" si="37"/>
        <v>0.17</v>
      </c>
      <c r="L119" s="148">
        <f t="shared" si="37"/>
        <v>0.17</v>
      </c>
      <c r="M119" s="148">
        <f t="shared" si="37"/>
        <v>0.17</v>
      </c>
      <c r="N119" s="148">
        <f t="shared" si="37"/>
        <v>0.17</v>
      </c>
      <c r="O119" s="148">
        <f t="shared" si="37"/>
        <v>0.17</v>
      </c>
      <c r="P119" s="148">
        <f t="shared" si="37"/>
        <v>0.17</v>
      </c>
      <c r="Q119" s="148">
        <f t="shared" si="37"/>
        <v>0.17</v>
      </c>
      <c r="R119" s="148">
        <f t="shared" si="37"/>
        <v>0.17</v>
      </c>
      <c r="S119" s="148">
        <f t="shared" si="37"/>
        <v>0.17</v>
      </c>
      <c r="T119" s="148"/>
    </row>
    <row r="120" spans="4:20" ht="13">
      <c r="D120" s="42" t="s">
        <v>38</v>
      </c>
      <c r="E120" s="112"/>
      <c r="F120" s="145">
        <f t="shared" ref="F120:S120" si="38">F42</f>
        <v>0</v>
      </c>
      <c r="G120" s="145">
        <f t="shared" si="38"/>
        <v>0</v>
      </c>
      <c r="H120" s="145">
        <f t="shared" si="38"/>
        <v>0</v>
      </c>
      <c r="I120" s="145">
        <f t="shared" si="38"/>
        <v>47.09923982698033</v>
      </c>
      <c r="J120" s="145">
        <f t="shared" si="38"/>
        <v>43.34700322347075</v>
      </c>
      <c r="K120" s="145">
        <f t="shared" si="38"/>
        <v>53.532291076869306</v>
      </c>
      <c r="L120" s="145">
        <f t="shared" si="38"/>
        <v>60.170801045938134</v>
      </c>
      <c r="M120" s="145">
        <f t="shared" si="38"/>
        <v>60.314547364586744</v>
      </c>
      <c r="N120" s="145">
        <f t="shared" si="38"/>
        <v>64.321298200000001</v>
      </c>
      <c r="O120" s="145">
        <f t="shared" si="38"/>
        <v>69.305495400000012</v>
      </c>
      <c r="P120" s="145">
        <f t="shared" si="38"/>
        <v>72.128550353999998</v>
      </c>
      <c r="Q120" s="145">
        <f t="shared" si="38"/>
        <v>74.46483585754001</v>
      </c>
      <c r="R120" s="145">
        <f t="shared" si="38"/>
        <v>76.814484216115403</v>
      </c>
      <c r="S120" s="145">
        <f t="shared" si="38"/>
        <v>79.724568710616751</v>
      </c>
      <c r="T120" s="145"/>
    </row>
    <row r="121" spans="4:20" ht="13">
      <c r="D121" s="131" t="s">
        <v>71</v>
      </c>
      <c r="E121" s="112"/>
      <c r="F121" s="145">
        <f t="shared" ref="F121:S121" si="39">-F31</f>
        <v>31.600000000000009</v>
      </c>
      <c r="G121" s="145">
        <f t="shared" si="39"/>
        <v>34.900000000000006</v>
      </c>
      <c r="H121" s="145">
        <f t="shared" si="39"/>
        <v>36</v>
      </c>
      <c r="I121" s="145">
        <f t="shared" si="39"/>
        <v>36</v>
      </c>
      <c r="J121" s="145">
        <f t="shared" si="39"/>
        <v>40.4</v>
      </c>
      <c r="K121" s="145">
        <f t="shared" si="39"/>
        <v>47.3</v>
      </c>
      <c r="L121" s="145">
        <f t="shared" si="39"/>
        <v>51.9</v>
      </c>
      <c r="M121" s="145">
        <f t="shared" si="39"/>
        <v>54.9</v>
      </c>
      <c r="N121" s="145">
        <f t="shared" si="39"/>
        <v>53.5</v>
      </c>
      <c r="O121" s="145">
        <f t="shared" si="39"/>
        <v>51</v>
      </c>
      <c r="P121" s="145">
        <f t="shared" si="39"/>
        <v>49.5</v>
      </c>
      <c r="Q121" s="145">
        <f t="shared" si="39"/>
        <v>48.5</v>
      </c>
      <c r="R121" s="145">
        <f t="shared" si="39"/>
        <v>47.5</v>
      </c>
      <c r="S121" s="145">
        <f t="shared" si="39"/>
        <v>47.5</v>
      </c>
      <c r="T121" s="145"/>
    </row>
    <row r="122" spans="4:20" ht="13">
      <c r="D122" s="131" t="s">
        <v>132</v>
      </c>
      <c r="E122" s="112"/>
      <c r="F122" s="145">
        <f t="shared" ref="F122:S122" si="40">F48</f>
        <v>-36.1</v>
      </c>
      <c r="G122" s="145">
        <f t="shared" si="40"/>
        <v>-37.299999999999997</v>
      </c>
      <c r="H122" s="145">
        <f t="shared" si="40"/>
        <v>-31</v>
      </c>
      <c r="I122" s="145">
        <f t="shared" si="40"/>
        <v>-36</v>
      </c>
      <c r="J122" s="145">
        <f t="shared" si="40"/>
        <v>-51</v>
      </c>
      <c r="K122" s="145">
        <f t="shared" si="40"/>
        <v>-50</v>
      </c>
      <c r="L122" s="145">
        <f t="shared" si="40"/>
        <v>-50</v>
      </c>
      <c r="M122" s="145">
        <f t="shared" si="40"/>
        <v>-50</v>
      </c>
      <c r="N122" s="145">
        <f t="shared" si="40"/>
        <v>-50</v>
      </c>
      <c r="O122" s="145">
        <f t="shared" si="40"/>
        <v>-50</v>
      </c>
      <c r="P122" s="145">
        <f t="shared" si="40"/>
        <v>-50</v>
      </c>
      <c r="Q122" s="145">
        <f t="shared" si="40"/>
        <v>-50</v>
      </c>
      <c r="R122" s="145">
        <f t="shared" si="40"/>
        <v>-50</v>
      </c>
      <c r="S122" s="145">
        <f t="shared" si="40"/>
        <v>-50</v>
      </c>
      <c r="T122" s="145"/>
    </row>
    <row r="123" spans="4:20" ht="13">
      <c r="D123" s="131" t="s">
        <v>72</v>
      </c>
      <c r="E123" s="112"/>
      <c r="F123" s="145">
        <f t="shared" ref="F123:S123" si="41">F52</f>
        <v>-16.300000000000004</v>
      </c>
      <c r="G123" s="145">
        <f t="shared" si="41"/>
        <v>-12.6</v>
      </c>
      <c r="H123" s="147">
        <f t="shared" si="41"/>
        <v>-10.399999999999999</v>
      </c>
      <c r="I123" s="147">
        <f t="shared" si="41"/>
        <v>6</v>
      </c>
      <c r="J123" s="147">
        <f t="shared" si="41"/>
        <v>16</v>
      </c>
      <c r="K123" s="147">
        <f t="shared" si="41"/>
        <v>15</v>
      </c>
      <c r="L123" s="147">
        <f t="shared" si="41"/>
        <v>11</v>
      </c>
      <c r="M123" s="147">
        <f t="shared" si="41"/>
        <v>4</v>
      </c>
      <c r="N123" s="147">
        <f t="shared" si="41"/>
        <v>0</v>
      </c>
      <c r="O123" s="147">
        <f t="shared" si="41"/>
        <v>0</v>
      </c>
      <c r="P123" s="147">
        <f t="shared" si="41"/>
        <v>0</v>
      </c>
      <c r="Q123" s="147">
        <f t="shared" si="41"/>
        <v>0</v>
      </c>
      <c r="R123" s="147">
        <f t="shared" si="41"/>
        <v>0</v>
      </c>
      <c r="S123" s="147">
        <f t="shared" si="41"/>
        <v>0</v>
      </c>
      <c r="T123" s="147"/>
    </row>
    <row r="124" spans="4:20" s="360" customFormat="1" ht="13">
      <c r="D124" s="131" t="s">
        <v>133</v>
      </c>
      <c r="E124" s="112"/>
      <c r="F124" s="145">
        <f t="shared" ref="F124:S124" si="42">+F58</f>
        <v>0</v>
      </c>
      <c r="G124" s="145">
        <f t="shared" si="42"/>
        <v>0</v>
      </c>
      <c r="H124" s="145">
        <f t="shared" si="42"/>
        <v>0</v>
      </c>
      <c r="I124" s="145">
        <f t="shared" si="42"/>
        <v>0</v>
      </c>
      <c r="J124" s="145">
        <f t="shared" si="42"/>
        <v>-18.004468664734777</v>
      </c>
      <c r="K124" s="145">
        <f t="shared" si="42"/>
        <v>-6.7527180429793674</v>
      </c>
      <c r="L124" s="145">
        <f t="shared" si="42"/>
        <v>25.138454026318882</v>
      </c>
      <c r="M124" s="145">
        <f t="shared" si="42"/>
        <v>-4.8650405710493061</v>
      </c>
      <c r="N124" s="145">
        <f t="shared" si="42"/>
        <v>0</v>
      </c>
      <c r="O124" s="145">
        <f t="shared" si="42"/>
        <v>0</v>
      </c>
      <c r="P124" s="145">
        <f t="shared" si="42"/>
        <v>0</v>
      </c>
      <c r="Q124" s="145">
        <f t="shared" si="42"/>
        <v>0</v>
      </c>
      <c r="R124" s="145">
        <f t="shared" si="42"/>
        <v>0</v>
      </c>
      <c r="S124" s="145">
        <f t="shared" si="42"/>
        <v>0</v>
      </c>
      <c r="T124" s="147"/>
    </row>
    <row r="125" spans="4:20" s="360" customFormat="1" ht="13">
      <c r="D125" s="131" t="s">
        <v>134</v>
      </c>
      <c r="E125" s="112"/>
      <c r="F125" s="145">
        <f t="shared" ref="F125:S125" si="43">+F55</f>
        <v>0</v>
      </c>
      <c r="G125" s="145">
        <f t="shared" si="43"/>
        <v>-1.5</v>
      </c>
      <c r="H125" s="145">
        <f t="shared" si="43"/>
        <v>0.74</v>
      </c>
      <c r="I125" s="145">
        <f t="shared" si="43"/>
        <v>0</v>
      </c>
      <c r="J125" s="145">
        <f t="shared" si="43"/>
        <v>0</v>
      </c>
      <c r="K125" s="145">
        <f t="shared" si="43"/>
        <v>-5</v>
      </c>
      <c r="L125" s="145">
        <f t="shared" si="43"/>
        <v>-5</v>
      </c>
      <c r="M125" s="145">
        <f t="shared" si="43"/>
        <v>-5</v>
      </c>
      <c r="N125" s="145">
        <f t="shared" si="43"/>
        <v>-5</v>
      </c>
      <c r="O125" s="145">
        <f t="shared" si="43"/>
        <v>-5</v>
      </c>
      <c r="P125" s="145">
        <f t="shared" si="43"/>
        <v>-5</v>
      </c>
      <c r="Q125" s="145">
        <f t="shared" si="43"/>
        <v>-5</v>
      </c>
      <c r="R125" s="145">
        <f t="shared" si="43"/>
        <v>-5</v>
      </c>
      <c r="S125" s="145">
        <f t="shared" si="43"/>
        <v>-5</v>
      </c>
      <c r="T125" s="147"/>
    </row>
    <row r="126" spans="4:20" ht="13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6">
        <f>SUM(F120:F125)</f>
        <v>-20.799999999999997</v>
      </c>
      <c r="G127" s="156">
        <f t="shared" ref="G127:S127" si="44">SUM(G120:G125)</f>
        <v>-16.499999999999993</v>
      </c>
      <c r="H127" s="156">
        <f t="shared" si="44"/>
        <v>-4.6599999999999984</v>
      </c>
      <c r="I127" s="156">
        <f t="shared" si="44"/>
        <v>53.099239826980323</v>
      </c>
      <c r="J127" s="156">
        <f>SUM(J120:J125)</f>
        <v>30.742534558735979</v>
      </c>
      <c r="K127" s="156">
        <f t="shared" si="44"/>
        <v>54.079573033889929</v>
      </c>
      <c r="L127" s="156">
        <f t="shared" si="44"/>
        <v>93.209255072257022</v>
      </c>
      <c r="M127" s="156">
        <f t="shared" si="44"/>
        <v>59.349506793537429</v>
      </c>
      <c r="N127" s="156">
        <f t="shared" si="44"/>
        <v>62.821298200000001</v>
      </c>
      <c r="O127" s="156">
        <f t="shared" si="44"/>
        <v>65.305495400000012</v>
      </c>
      <c r="P127" s="156">
        <f t="shared" si="44"/>
        <v>66.628550353999998</v>
      </c>
      <c r="Q127" s="156">
        <f t="shared" si="44"/>
        <v>67.96483585754001</v>
      </c>
      <c r="R127" s="156">
        <f t="shared" si="44"/>
        <v>69.314484216115403</v>
      </c>
      <c r="S127" s="156">
        <f t="shared" si="44"/>
        <v>72.224568710616751</v>
      </c>
      <c r="T127" s="156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26" zoomScale="70" zoomScaleNormal="70" workbookViewId="0">
      <selection activeCell="F39" sqref="F39"/>
    </sheetView>
  </sheetViews>
  <sheetFormatPr defaultColWidth="8.81640625" defaultRowHeight="12.5"/>
  <cols>
    <col min="1" max="2" width="2.6328125" style="206" customWidth="1"/>
    <col min="3" max="5" width="12" style="206" customWidth="1"/>
    <col min="6" max="7" width="9.1796875" style="206"/>
    <col min="8" max="8" width="0.81640625" style="206" customWidth="1"/>
    <col min="9" max="19" width="12.6328125" style="206" customWidth="1"/>
    <col min="20" max="253" width="9.1796875" style="206"/>
    <col min="254" max="255" width="2.6328125" style="206" customWidth="1"/>
    <col min="256" max="258" width="12" style="206" customWidth="1"/>
    <col min="259" max="260" width="9.1796875" style="206"/>
    <col min="261" max="261" width="0.81640625" style="206" customWidth="1"/>
    <col min="262" max="275" width="7.6328125" style="206" customWidth="1"/>
    <col min="276" max="509" width="9.1796875" style="206"/>
    <col min="510" max="511" width="2.6328125" style="206" customWidth="1"/>
    <col min="512" max="514" width="12" style="206" customWidth="1"/>
    <col min="515" max="516" width="9.1796875" style="206"/>
    <col min="517" max="517" width="0.81640625" style="206" customWidth="1"/>
    <col min="518" max="531" width="7.6328125" style="206" customWidth="1"/>
    <col min="532" max="765" width="9.1796875" style="206"/>
    <col min="766" max="767" width="2.6328125" style="206" customWidth="1"/>
    <col min="768" max="770" width="12" style="206" customWidth="1"/>
    <col min="771" max="772" width="9.1796875" style="206"/>
    <col min="773" max="773" width="0.81640625" style="206" customWidth="1"/>
    <col min="774" max="787" width="7.6328125" style="206" customWidth="1"/>
    <col min="788" max="1021" width="9.1796875" style="206"/>
    <col min="1022" max="1023" width="2.6328125" style="206" customWidth="1"/>
    <col min="1024" max="1026" width="12" style="206" customWidth="1"/>
    <col min="1027" max="1028" width="9.1796875" style="206"/>
    <col min="1029" max="1029" width="0.81640625" style="206" customWidth="1"/>
    <col min="1030" max="1043" width="7.6328125" style="206" customWidth="1"/>
    <col min="1044" max="1277" width="9.1796875" style="206"/>
    <col min="1278" max="1279" width="2.6328125" style="206" customWidth="1"/>
    <col min="1280" max="1282" width="12" style="206" customWidth="1"/>
    <col min="1283" max="1284" width="9.1796875" style="206"/>
    <col min="1285" max="1285" width="0.81640625" style="206" customWidth="1"/>
    <col min="1286" max="1299" width="7.6328125" style="206" customWidth="1"/>
    <col min="1300" max="1533" width="9.1796875" style="206"/>
    <col min="1534" max="1535" width="2.6328125" style="206" customWidth="1"/>
    <col min="1536" max="1538" width="12" style="206" customWidth="1"/>
    <col min="1539" max="1540" width="9.1796875" style="206"/>
    <col min="1541" max="1541" width="0.81640625" style="206" customWidth="1"/>
    <col min="1542" max="1555" width="7.6328125" style="206" customWidth="1"/>
    <col min="1556" max="1789" width="9.1796875" style="206"/>
    <col min="1790" max="1791" width="2.6328125" style="206" customWidth="1"/>
    <col min="1792" max="1794" width="12" style="206" customWidth="1"/>
    <col min="1795" max="1796" width="9.1796875" style="206"/>
    <col min="1797" max="1797" width="0.81640625" style="206" customWidth="1"/>
    <col min="1798" max="1811" width="7.6328125" style="206" customWidth="1"/>
    <col min="1812" max="2045" width="9.1796875" style="206"/>
    <col min="2046" max="2047" width="2.6328125" style="206" customWidth="1"/>
    <col min="2048" max="2050" width="12" style="206" customWidth="1"/>
    <col min="2051" max="2052" width="9.1796875" style="206"/>
    <col min="2053" max="2053" width="0.81640625" style="206" customWidth="1"/>
    <col min="2054" max="2067" width="7.6328125" style="206" customWidth="1"/>
    <col min="2068" max="2301" width="9.1796875" style="206"/>
    <col min="2302" max="2303" width="2.6328125" style="206" customWidth="1"/>
    <col min="2304" max="2306" width="12" style="206" customWidth="1"/>
    <col min="2307" max="2308" width="9.1796875" style="206"/>
    <col min="2309" max="2309" width="0.81640625" style="206" customWidth="1"/>
    <col min="2310" max="2323" width="7.6328125" style="206" customWidth="1"/>
    <col min="2324" max="2557" width="9.1796875" style="206"/>
    <col min="2558" max="2559" width="2.6328125" style="206" customWidth="1"/>
    <col min="2560" max="2562" width="12" style="206" customWidth="1"/>
    <col min="2563" max="2564" width="9.1796875" style="206"/>
    <col min="2565" max="2565" width="0.81640625" style="206" customWidth="1"/>
    <col min="2566" max="2579" width="7.6328125" style="206" customWidth="1"/>
    <col min="2580" max="2813" width="9.1796875" style="206"/>
    <col min="2814" max="2815" width="2.6328125" style="206" customWidth="1"/>
    <col min="2816" max="2818" width="12" style="206" customWidth="1"/>
    <col min="2819" max="2820" width="9.1796875" style="206"/>
    <col min="2821" max="2821" width="0.81640625" style="206" customWidth="1"/>
    <col min="2822" max="2835" width="7.6328125" style="206" customWidth="1"/>
    <col min="2836" max="3069" width="9.1796875" style="206"/>
    <col min="3070" max="3071" width="2.6328125" style="206" customWidth="1"/>
    <col min="3072" max="3074" width="12" style="206" customWidth="1"/>
    <col min="3075" max="3076" width="9.1796875" style="206"/>
    <col min="3077" max="3077" width="0.81640625" style="206" customWidth="1"/>
    <col min="3078" max="3091" width="7.6328125" style="206" customWidth="1"/>
    <col min="3092" max="3325" width="9.1796875" style="206"/>
    <col min="3326" max="3327" width="2.6328125" style="206" customWidth="1"/>
    <col min="3328" max="3330" width="12" style="206" customWidth="1"/>
    <col min="3331" max="3332" width="9.1796875" style="206"/>
    <col min="3333" max="3333" width="0.81640625" style="206" customWidth="1"/>
    <col min="3334" max="3347" width="7.6328125" style="206" customWidth="1"/>
    <col min="3348" max="3581" width="9.1796875" style="206"/>
    <col min="3582" max="3583" width="2.6328125" style="206" customWidth="1"/>
    <col min="3584" max="3586" width="12" style="206" customWidth="1"/>
    <col min="3587" max="3588" width="9.1796875" style="206"/>
    <col min="3589" max="3589" width="0.81640625" style="206" customWidth="1"/>
    <col min="3590" max="3603" width="7.6328125" style="206" customWidth="1"/>
    <col min="3604" max="3837" width="9.1796875" style="206"/>
    <col min="3838" max="3839" width="2.6328125" style="206" customWidth="1"/>
    <col min="3840" max="3842" width="12" style="206" customWidth="1"/>
    <col min="3843" max="3844" width="9.1796875" style="206"/>
    <col min="3845" max="3845" width="0.81640625" style="206" customWidth="1"/>
    <col min="3846" max="3859" width="7.6328125" style="206" customWidth="1"/>
    <col min="3860" max="4093" width="9.1796875" style="206"/>
    <col min="4094" max="4095" width="2.6328125" style="206" customWidth="1"/>
    <col min="4096" max="4098" width="12" style="206" customWidth="1"/>
    <col min="4099" max="4100" width="9.1796875" style="206"/>
    <col min="4101" max="4101" width="0.81640625" style="206" customWidth="1"/>
    <col min="4102" max="4115" width="7.6328125" style="206" customWidth="1"/>
    <col min="4116" max="4349" width="9.1796875" style="206"/>
    <col min="4350" max="4351" width="2.6328125" style="206" customWidth="1"/>
    <col min="4352" max="4354" width="12" style="206" customWidth="1"/>
    <col min="4355" max="4356" width="9.1796875" style="206"/>
    <col min="4357" max="4357" width="0.81640625" style="206" customWidth="1"/>
    <col min="4358" max="4371" width="7.6328125" style="206" customWidth="1"/>
    <col min="4372" max="4605" width="9.1796875" style="206"/>
    <col min="4606" max="4607" width="2.6328125" style="206" customWidth="1"/>
    <col min="4608" max="4610" width="12" style="206" customWidth="1"/>
    <col min="4611" max="4612" width="9.1796875" style="206"/>
    <col min="4613" max="4613" width="0.81640625" style="206" customWidth="1"/>
    <col min="4614" max="4627" width="7.6328125" style="206" customWidth="1"/>
    <col min="4628" max="4861" width="9.1796875" style="206"/>
    <col min="4862" max="4863" width="2.6328125" style="206" customWidth="1"/>
    <col min="4864" max="4866" width="12" style="206" customWidth="1"/>
    <col min="4867" max="4868" width="9.1796875" style="206"/>
    <col min="4869" max="4869" width="0.81640625" style="206" customWidth="1"/>
    <col min="4870" max="4883" width="7.6328125" style="206" customWidth="1"/>
    <col min="4884" max="5117" width="9.1796875" style="206"/>
    <col min="5118" max="5119" width="2.6328125" style="206" customWidth="1"/>
    <col min="5120" max="5122" width="12" style="206" customWidth="1"/>
    <col min="5123" max="5124" width="9.1796875" style="206"/>
    <col min="5125" max="5125" width="0.81640625" style="206" customWidth="1"/>
    <col min="5126" max="5139" width="7.6328125" style="206" customWidth="1"/>
    <col min="5140" max="5373" width="9.1796875" style="206"/>
    <col min="5374" max="5375" width="2.6328125" style="206" customWidth="1"/>
    <col min="5376" max="5378" width="12" style="206" customWidth="1"/>
    <col min="5379" max="5380" width="9.1796875" style="206"/>
    <col min="5381" max="5381" width="0.81640625" style="206" customWidth="1"/>
    <col min="5382" max="5395" width="7.6328125" style="206" customWidth="1"/>
    <col min="5396" max="5629" width="9.1796875" style="206"/>
    <col min="5630" max="5631" width="2.6328125" style="206" customWidth="1"/>
    <col min="5632" max="5634" width="12" style="206" customWidth="1"/>
    <col min="5635" max="5636" width="9.1796875" style="206"/>
    <col min="5637" max="5637" width="0.81640625" style="206" customWidth="1"/>
    <col min="5638" max="5651" width="7.6328125" style="206" customWidth="1"/>
    <col min="5652" max="5885" width="9.1796875" style="206"/>
    <col min="5886" max="5887" width="2.6328125" style="206" customWidth="1"/>
    <col min="5888" max="5890" width="12" style="206" customWidth="1"/>
    <col min="5891" max="5892" width="9.1796875" style="206"/>
    <col min="5893" max="5893" width="0.81640625" style="206" customWidth="1"/>
    <col min="5894" max="5907" width="7.6328125" style="206" customWidth="1"/>
    <col min="5908" max="6141" width="9.1796875" style="206"/>
    <col min="6142" max="6143" width="2.6328125" style="206" customWidth="1"/>
    <col min="6144" max="6146" width="12" style="206" customWidth="1"/>
    <col min="6147" max="6148" width="9.1796875" style="206"/>
    <col min="6149" max="6149" width="0.81640625" style="206" customWidth="1"/>
    <col min="6150" max="6163" width="7.6328125" style="206" customWidth="1"/>
    <col min="6164" max="6397" width="9.1796875" style="206"/>
    <col min="6398" max="6399" width="2.6328125" style="206" customWidth="1"/>
    <col min="6400" max="6402" width="12" style="206" customWidth="1"/>
    <col min="6403" max="6404" width="9.1796875" style="206"/>
    <col min="6405" max="6405" width="0.81640625" style="206" customWidth="1"/>
    <col min="6406" max="6419" width="7.6328125" style="206" customWidth="1"/>
    <col min="6420" max="6653" width="9.1796875" style="206"/>
    <col min="6654" max="6655" width="2.6328125" style="206" customWidth="1"/>
    <col min="6656" max="6658" width="12" style="206" customWidth="1"/>
    <col min="6659" max="6660" width="9.1796875" style="206"/>
    <col min="6661" max="6661" width="0.81640625" style="206" customWidth="1"/>
    <col min="6662" max="6675" width="7.6328125" style="206" customWidth="1"/>
    <col min="6676" max="6909" width="9.1796875" style="206"/>
    <col min="6910" max="6911" width="2.6328125" style="206" customWidth="1"/>
    <col min="6912" max="6914" width="12" style="206" customWidth="1"/>
    <col min="6915" max="6916" width="9.1796875" style="206"/>
    <col min="6917" max="6917" width="0.81640625" style="206" customWidth="1"/>
    <col min="6918" max="6931" width="7.6328125" style="206" customWidth="1"/>
    <col min="6932" max="7165" width="9.1796875" style="206"/>
    <col min="7166" max="7167" width="2.6328125" style="206" customWidth="1"/>
    <col min="7168" max="7170" width="12" style="206" customWidth="1"/>
    <col min="7171" max="7172" width="9.1796875" style="206"/>
    <col min="7173" max="7173" width="0.81640625" style="206" customWidth="1"/>
    <col min="7174" max="7187" width="7.6328125" style="206" customWidth="1"/>
    <col min="7188" max="7421" width="9.1796875" style="206"/>
    <col min="7422" max="7423" width="2.6328125" style="206" customWidth="1"/>
    <col min="7424" max="7426" width="12" style="206" customWidth="1"/>
    <col min="7427" max="7428" width="9.1796875" style="206"/>
    <col min="7429" max="7429" width="0.81640625" style="206" customWidth="1"/>
    <col min="7430" max="7443" width="7.6328125" style="206" customWidth="1"/>
    <col min="7444" max="7677" width="9.1796875" style="206"/>
    <col min="7678" max="7679" width="2.6328125" style="206" customWidth="1"/>
    <col min="7680" max="7682" width="12" style="206" customWidth="1"/>
    <col min="7683" max="7684" width="9.1796875" style="206"/>
    <col min="7685" max="7685" width="0.81640625" style="206" customWidth="1"/>
    <col min="7686" max="7699" width="7.6328125" style="206" customWidth="1"/>
    <col min="7700" max="7933" width="9.1796875" style="206"/>
    <col min="7934" max="7935" width="2.6328125" style="206" customWidth="1"/>
    <col min="7936" max="7938" width="12" style="206" customWidth="1"/>
    <col min="7939" max="7940" width="9.1796875" style="206"/>
    <col min="7941" max="7941" width="0.81640625" style="206" customWidth="1"/>
    <col min="7942" max="7955" width="7.6328125" style="206" customWidth="1"/>
    <col min="7956" max="8189" width="9.1796875" style="206"/>
    <col min="8190" max="8191" width="2.6328125" style="206" customWidth="1"/>
    <col min="8192" max="8194" width="12" style="206" customWidth="1"/>
    <col min="8195" max="8196" width="9.1796875" style="206"/>
    <col min="8197" max="8197" width="0.81640625" style="206" customWidth="1"/>
    <col min="8198" max="8211" width="7.6328125" style="206" customWidth="1"/>
    <col min="8212" max="8445" width="9.1796875" style="206"/>
    <col min="8446" max="8447" width="2.6328125" style="206" customWidth="1"/>
    <col min="8448" max="8450" width="12" style="206" customWidth="1"/>
    <col min="8451" max="8452" width="9.1796875" style="206"/>
    <col min="8453" max="8453" width="0.81640625" style="206" customWidth="1"/>
    <col min="8454" max="8467" width="7.6328125" style="206" customWidth="1"/>
    <col min="8468" max="8701" width="9.1796875" style="206"/>
    <col min="8702" max="8703" width="2.6328125" style="206" customWidth="1"/>
    <col min="8704" max="8706" width="12" style="206" customWidth="1"/>
    <col min="8707" max="8708" width="9.1796875" style="206"/>
    <col min="8709" max="8709" width="0.81640625" style="206" customWidth="1"/>
    <col min="8710" max="8723" width="7.6328125" style="206" customWidth="1"/>
    <col min="8724" max="8957" width="9.1796875" style="206"/>
    <col min="8958" max="8959" width="2.6328125" style="206" customWidth="1"/>
    <col min="8960" max="8962" width="12" style="206" customWidth="1"/>
    <col min="8963" max="8964" width="9.1796875" style="206"/>
    <col min="8965" max="8965" width="0.81640625" style="206" customWidth="1"/>
    <col min="8966" max="8979" width="7.6328125" style="206" customWidth="1"/>
    <col min="8980" max="9213" width="9.1796875" style="206"/>
    <col min="9214" max="9215" width="2.6328125" style="206" customWidth="1"/>
    <col min="9216" max="9218" width="12" style="206" customWidth="1"/>
    <col min="9219" max="9220" width="9.1796875" style="206"/>
    <col min="9221" max="9221" width="0.81640625" style="206" customWidth="1"/>
    <col min="9222" max="9235" width="7.6328125" style="206" customWidth="1"/>
    <col min="9236" max="9469" width="9.1796875" style="206"/>
    <col min="9470" max="9471" width="2.6328125" style="206" customWidth="1"/>
    <col min="9472" max="9474" width="12" style="206" customWidth="1"/>
    <col min="9475" max="9476" width="9.1796875" style="206"/>
    <col min="9477" max="9477" width="0.81640625" style="206" customWidth="1"/>
    <col min="9478" max="9491" width="7.6328125" style="206" customWidth="1"/>
    <col min="9492" max="9725" width="9.1796875" style="206"/>
    <col min="9726" max="9727" width="2.6328125" style="206" customWidth="1"/>
    <col min="9728" max="9730" width="12" style="206" customWidth="1"/>
    <col min="9731" max="9732" width="9.1796875" style="206"/>
    <col min="9733" max="9733" width="0.81640625" style="206" customWidth="1"/>
    <col min="9734" max="9747" width="7.6328125" style="206" customWidth="1"/>
    <col min="9748" max="9981" width="9.1796875" style="206"/>
    <col min="9982" max="9983" width="2.6328125" style="206" customWidth="1"/>
    <col min="9984" max="9986" width="12" style="206" customWidth="1"/>
    <col min="9987" max="9988" width="9.1796875" style="206"/>
    <col min="9989" max="9989" width="0.81640625" style="206" customWidth="1"/>
    <col min="9990" max="10003" width="7.6328125" style="206" customWidth="1"/>
    <col min="10004" max="10237" width="9.1796875" style="206"/>
    <col min="10238" max="10239" width="2.6328125" style="206" customWidth="1"/>
    <col min="10240" max="10242" width="12" style="206" customWidth="1"/>
    <col min="10243" max="10244" width="9.1796875" style="206"/>
    <col min="10245" max="10245" width="0.81640625" style="206" customWidth="1"/>
    <col min="10246" max="10259" width="7.6328125" style="206" customWidth="1"/>
    <col min="10260" max="10493" width="9.1796875" style="206"/>
    <col min="10494" max="10495" width="2.6328125" style="206" customWidth="1"/>
    <col min="10496" max="10498" width="12" style="206" customWidth="1"/>
    <col min="10499" max="10500" width="9.1796875" style="206"/>
    <col min="10501" max="10501" width="0.81640625" style="206" customWidth="1"/>
    <col min="10502" max="10515" width="7.6328125" style="206" customWidth="1"/>
    <col min="10516" max="10749" width="9.1796875" style="206"/>
    <col min="10750" max="10751" width="2.6328125" style="206" customWidth="1"/>
    <col min="10752" max="10754" width="12" style="206" customWidth="1"/>
    <col min="10755" max="10756" width="9.1796875" style="206"/>
    <col min="10757" max="10757" width="0.81640625" style="206" customWidth="1"/>
    <col min="10758" max="10771" width="7.6328125" style="206" customWidth="1"/>
    <col min="10772" max="11005" width="9.1796875" style="206"/>
    <col min="11006" max="11007" width="2.6328125" style="206" customWidth="1"/>
    <col min="11008" max="11010" width="12" style="206" customWidth="1"/>
    <col min="11011" max="11012" width="9.1796875" style="206"/>
    <col min="11013" max="11013" width="0.81640625" style="206" customWidth="1"/>
    <col min="11014" max="11027" width="7.6328125" style="206" customWidth="1"/>
    <col min="11028" max="11261" width="9.1796875" style="206"/>
    <col min="11262" max="11263" width="2.6328125" style="206" customWidth="1"/>
    <col min="11264" max="11266" width="12" style="206" customWidth="1"/>
    <col min="11267" max="11268" width="9.1796875" style="206"/>
    <col min="11269" max="11269" width="0.81640625" style="206" customWidth="1"/>
    <col min="11270" max="11283" width="7.6328125" style="206" customWidth="1"/>
    <col min="11284" max="11517" width="9.1796875" style="206"/>
    <col min="11518" max="11519" width="2.6328125" style="206" customWidth="1"/>
    <col min="11520" max="11522" width="12" style="206" customWidth="1"/>
    <col min="11523" max="11524" width="9.1796875" style="206"/>
    <col min="11525" max="11525" width="0.81640625" style="206" customWidth="1"/>
    <col min="11526" max="11539" width="7.6328125" style="206" customWidth="1"/>
    <col min="11540" max="11773" width="9.1796875" style="206"/>
    <col min="11774" max="11775" width="2.6328125" style="206" customWidth="1"/>
    <col min="11776" max="11778" width="12" style="206" customWidth="1"/>
    <col min="11779" max="11780" width="9.1796875" style="206"/>
    <col min="11781" max="11781" width="0.81640625" style="206" customWidth="1"/>
    <col min="11782" max="11795" width="7.6328125" style="206" customWidth="1"/>
    <col min="11796" max="12029" width="9.1796875" style="206"/>
    <col min="12030" max="12031" width="2.6328125" style="206" customWidth="1"/>
    <col min="12032" max="12034" width="12" style="206" customWidth="1"/>
    <col min="12035" max="12036" width="9.1796875" style="206"/>
    <col min="12037" max="12037" width="0.81640625" style="206" customWidth="1"/>
    <col min="12038" max="12051" width="7.6328125" style="206" customWidth="1"/>
    <col min="12052" max="12285" width="9.1796875" style="206"/>
    <col min="12286" max="12287" width="2.6328125" style="206" customWidth="1"/>
    <col min="12288" max="12290" width="12" style="206" customWidth="1"/>
    <col min="12291" max="12292" width="9.1796875" style="206"/>
    <col min="12293" max="12293" width="0.81640625" style="206" customWidth="1"/>
    <col min="12294" max="12307" width="7.6328125" style="206" customWidth="1"/>
    <col min="12308" max="12541" width="9.1796875" style="206"/>
    <col min="12542" max="12543" width="2.6328125" style="206" customWidth="1"/>
    <col min="12544" max="12546" width="12" style="206" customWidth="1"/>
    <col min="12547" max="12548" width="9.1796875" style="206"/>
    <col min="12549" max="12549" width="0.81640625" style="206" customWidth="1"/>
    <col min="12550" max="12563" width="7.6328125" style="206" customWidth="1"/>
    <col min="12564" max="12797" width="9.1796875" style="206"/>
    <col min="12798" max="12799" width="2.6328125" style="206" customWidth="1"/>
    <col min="12800" max="12802" width="12" style="206" customWidth="1"/>
    <col min="12803" max="12804" width="9.1796875" style="206"/>
    <col min="12805" max="12805" width="0.81640625" style="206" customWidth="1"/>
    <col min="12806" max="12819" width="7.6328125" style="206" customWidth="1"/>
    <col min="12820" max="13053" width="9.1796875" style="206"/>
    <col min="13054" max="13055" width="2.6328125" style="206" customWidth="1"/>
    <col min="13056" max="13058" width="12" style="206" customWidth="1"/>
    <col min="13059" max="13060" width="9.1796875" style="206"/>
    <col min="13061" max="13061" width="0.81640625" style="206" customWidth="1"/>
    <col min="13062" max="13075" width="7.6328125" style="206" customWidth="1"/>
    <col min="13076" max="13309" width="9.1796875" style="206"/>
    <col min="13310" max="13311" width="2.6328125" style="206" customWidth="1"/>
    <col min="13312" max="13314" width="12" style="206" customWidth="1"/>
    <col min="13315" max="13316" width="9.1796875" style="206"/>
    <col min="13317" max="13317" width="0.81640625" style="206" customWidth="1"/>
    <col min="13318" max="13331" width="7.6328125" style="206" customWidth="1"/>
    <col min="13332" max="13565" width="9.1796875" style="206"/>
    <col min="13566" max="13567" width="2.6328125" style="206" customWidth="1"/>
    <col min="13568" max="13570" width="12" style="206" customWidth="1"/>
    <col min="13571" max="13572" width="9.1796875" style="206"/>
    <col min="13573" max="13573" width="0.81640625" style="206" customWidth="1"/>
    <col min="13574" max="13587" width="7.6328125" style="206" customWidth="1"/>
    <col min="13588" max="13821" width="9.1796875" style="206"/>
    <col min="13822" max="13823" width="2.6328125" style="206" customWidth="1"/>
    <col min="13824" max="13826" width="12" style="206" customWidth="1"/>
    <col min="13827" max="13828" width="9.1796875" style="206"/>
    <col min="13829" max="13829" width="0.81640625" style="206" customWidth="1"/>
    <col min="13830" max="13843" width="7.6328125" style="206" customWidth="1"/>
    <col min="13844" max="14077" width="9.1796875" style="206"/>
    <col min="14078" max="14079" width="2.6328125" style="206" customWidth="1"/>
    <col min="14080" max="14082" width="12" style="206" customWidth="1"/>
    <col min="14083" max="14084" width="9.1796875" style="206"/>
    <col min="14085" max="14085" width="0.81640625" style="206" customWidth="1"/>
    <col min="14086" max="14099" width="7.6328125" style="206" customWidth="1"/>
    <col min="14100" max="14333" width="9.1796875" style="206"/>
    <col min="14334" max="14335" width="2.6328125" style="206" customWidth="1"/>
    <col min="14336" max="14338" width="12" style="206" customWidth="1"/>
    <col min="14339" max="14340" width="9.1796875" style="206"/>
    <col min="14341" max="14341" width="0.81640625" style="206" customWidth="1"/>
    <col min="14342" max="14355" width="7.6328125" style="206" customWidth="1"/>
    <col min="14356" max="14589" width="9.1796875" style="206"/>
    <col min="14590" max="14591" width="2.6328125" style="206" customWidth="1"/>
    <col min="14592" max="14594" width="12" style="206" customWidth="1"/>
    <col min="14595" max="14596" width="9.1796875" style="206"/>
    <col min="14597" max="14597" width="0.81640625" style="206" customWidth="1"/>
    <col min="14598" max="14611" width="7.6328125" style="206" customWidth="1"/>
    <col min="14612" max="14845" width="9.1796875" style="206"/>
    <col min="14846" max="14847" width="2.6328125" style="206" customWidth="1"/>
    <col min="14848" max="14850" width="12" style="206" customWidth="1"/>
    <col min="14851" max="14852" width="9.1796875" style="206"/>
    <col min="14853" max="14853" width="0.81640625" style="206" customWidth="1"/>
    <col min="14854" max="14867" width="7.6328125" style="206" customWidth="1"/>
    <col min="14868" max="15101" width="9.1796875" style="206"/>
    <col min="15102" max="15103" width="2.6328125" style="206" customWidth="1"/>
    <col min="15104" max="15106" width="12" style="206" customWidth="1"/>
    <col min="15107" max="15108" width="9.1796875" style="206"/>
    <col min="15109" max="15109" width="0.81640625" style="206" customWidth="1"/>
    <col min="15110" max="15123" width="7.6328125" style="206" customWidth="1"/>
    <col min="15124" max="15357" width="9.1796875" style="206"/>
    <col min="15358" max="15359" width="2.6328125" style="206" customWidth="1"/>
    <col min="15360" max="15362" width="12" style="206" customWidth="1"/>
    <col min="15363" max="15364" width="9.1796875" style="206"/>
    <col min="15365" max="15365" width="0.81640625" style="206" customWidth="1"/>
    <col min="15366" max="15379" width="7.6328125" style="206" customWidth="1"/>
    <col min="15380" max="15613" width="9.1796875" style="206"/>
    <col min="15614" max="15615" width="2.6328125" style="206" customWidth="1"/>
    <col min="15616" max="15618" width="12" style="206" customWidth="1"/>
    <col min="15619" max="15620" width="9.1796875" style="206"/>
    <col min="15621" max="15621" width="0.81640625" style="206" customWidth="1"/>
    <col min="15622" max="15635" width="7.6328125" style="206" customWidth="1"/>
    <col min="15636" max="15869" width="9.1796875" style="206"/>
    <col min="15870" max="15871" width="2.6328125" style="206" customWidth="1"/>
    <col min="15872" max="15874" width="12" style="206" customWidth="1"/>
    <col min="15875" max="15876" width="9.1796875" style="206"/>
    <col min="15877" max="15877" width="0.81640625" style="206" customWidth="1"/>
    <col min="15878" max="15891" width="7.6328125" style="206" customWidth="1"/>
    <col min="15892" max="16125" width="9.1796875" style="206"/>
    <col min="16126" max="16127" width="2.6328125" style="206" customWidth="1"/>
    <col min="16128" max="16130" width="12" style="206" customWidth="1"/>
    <col min="16131" max="16132" width="9.1796875" style="206"/>
    <col min="16133" max="16133" width="0.81640625" style="206" customWidth="1"/>
    <col min="16134" max="16147" width="7.6328125" style="206" customWidth="1"/>
    <col min="16148" max="16384" width="9.1796875" style="206"/>
  </cols>
  <sheetData>
    <row r="1" spans="1:21" ht="13.5" thickBot="1">
      <c r="A1" s="205" t="s">
        <v>80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1" ht="13.5" thickTop="1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21" ht="13">
      <c r="A3" s="194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4" spans="1:21" ht="16" customHeight="1">
      <c r="A4" s="208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126"/>
      <c r="P4" s="126"/>
      <c r="Q4" s="126"/>
      <c r="R4" s="126"/>
      <c r="S4" s="126"/>
      <c r="T4" s="126"/>
      <c r="U4" s="126"/>
    </row>
    <row r="5" spans="1:21" ht="16" customHeight="1">
      <c r="A5" s="208"/>
      <c r="B5" s="201"/>
      <c r="C5" s="209" t="s">
        <v>81</v>
      </c>
      <c r="D5" s="209"/>
      <c r="E5" s="209"/>
      <c r="F5" s="209"/>
      <c r="G5" s="209"/>
      <c r="H5" s="209"/>
      <c r="I5" s="209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126"/>
    </row>
    <row r="6" spans="1:21" ht="12" customHeight="1">
      <c r="A6" s="208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126"/>
    </row>
    <row r="7" spans="1:21" ht="20.25" customHeight="1">
      <c r="A7" s="208"/>
      <c r="B7" s="201"/>
      <c r="C7" s="210" t="s">
        <v>82</v>
      </c>
      <c r="D7" s="211"/>
      <c r="E7" s="211"/>
      <c r="F7" s="211"/>
      <c r="G7" s="211"/>
      <c r="H7" s="211"/>
      <c r="I7" s="212">
        <v>0</v>
      </c>
      <c r="J7" s="212">
        <f t="shared" ref="J7" si="0">+I7+1</f>
        <v>1</v>
      </c>
      <c r="K7" s="212">
        <f t="shared" ref="K7" si="1">+J7+1</f>
        <v>2</v>
      </c>
      <c r="L7" s="212">
        <f t="shared" ref="L7" si="2">+K7+1</f>
        <v>3</v>
      </c>
      <c r="M7" s="212">
        <f t="shared" ref="M7" si="3">+L7+1</f>
        <v>4</v>
      </c>
      <c r="N7" s="212">
        <f t="shared" ref="N7" si="4">+M7+1</f>
        <v>5</v>
      </c>
      <c r="O7" s="212">
        <f t="shared" ref="O7" si="5">+N7+1</f>
        <v>6</v>
      </c>
      <c r="P7" s="212">
        <f t="shared" ref="P7" si="6">+O7+1</f>
        <v>7</v>
      </c>
      <c r="Q7" s="212">
        <f t="shared" ref="Q7" si="7">+P7+1</f>
        <v>8</v>
      </c>
      <c r="R7" s="212">
        <f t="shared" ref="R7" si="8">+Q7+1</f>
        <v>9</v>
      </c>
      <c r="S7" s="212">
        <f t="shared" ref="S7" si="9">+R7+1</f>
        <v>10</v>
      </c>
      <c r="T7" s="212" t="s">
        <v>83</v>
      </c>
      <c r="U7" s="126"/>
    </row>
    <row r="8" spans="1:21" ht="20.25" customHeight="1">
      <c r="A8" s="208"/>
      <c r="B8" s="201"/>
      <c r="C8" s="213" t="s">
        <v>145</v>
      </c>
      <c r="D8" s="214"/>
      <c r="E8" s="215"/>
      <c r="F8" s="215"/>
      <c r="G8" s="215"/>
      <c r="H8" s="215"/>
      <c r="I8" s="348">
        <f>+'DCF input'!I22</f>
        <v>43921</v>
      </c>
      <c r="J8" s="348">
        <f>+'DCF input'!J22</f>
        <v>44286</v>
      </c>
      <c r="K8" s="348">
        <f>+'DCF input'!K22</f>
        <v>44651</v>
      </c>
      <c r="L8" s="348">
        <f>+'DCF input'!L22</f>
        <v>45016</v>
      </c>
      <c r="M8" s="348">
        <f>+'DCF input'!M22</f>
        <v>45382</v>
      </c>
      <c r="N8" s="348">
        <f>+'DCF input'!N22</f>
        <v>45747</v>
      </c>
      <c r="O8" s="348">
        <f>+'DCF input'!O22</f>
        <v>46112</v>
      </c>
      <c r="P8" s="348">
        <f>+'DCF input'!P22</f>
        <v>46477</v>
      </c>
      <c r="Q8" s="348">
        <f>+'DCF input'!Q22</f>
        <v>46843</v>
      </c>
      <c r="R8" s="348">
        <f>+'DCF input'!R22</f>
        <v>47208</v>
      </c>
      <c r="S8" s="348">
        <f>+'DCF input'!S22</f>
        <v>47573</v>
      </c>
      <c r="T8" s="215"/>
      <c r="U8" s="126"/>
    </row>
    <row r="9" spans="1:21" ht="20.25" customHeight="1">
      <c r="A9" s="208"/>
      <c r="B9" s="201"/>
      <c r="C9" s="216" t="s">
        <v>2</v>
      </c>
      <c r="D9" s="216"/>
      <c r="E9" s="217"/>
      <c r="F9" s="217"/>
      <c r="G9" s="217"/>
      <c r="H9" s="217"/>
      <c r="I9" s="269">
        <f>'DCF input'!I24</f>
        <v>1149</v>
      </c>
      <c r="J9" s="269">
        <f>'DCF input'!J24</f>
        <v>1256</v>
      </c>
      <c r="K9" s="269">
        <f>'DCF input'!K24</f>
        <v>1354</v>
      </c>
      <c r="L9" s="269">
        <f>'DCF input'!L24</f>
        <v>1147</v>
      </c>
      <c r="M9" s="269">
        <f>'DCF input'!M24</f>
        <v>1443</v>
      </c>
      <c r="N9" s="269">
        <f>'DCF input'!N24</f>
        <v>1471.8600000000001</v>
      </c>
      <c r="O9" s="269">
        <f>'DCF input'!O24</f>
        <v>1486.5786000000001</v>
      </c>
      <c r="P9" s="269">
        <f>'DCF input'!P24</f>
        <v>1501.4443860000001</v>
      </c>
      <c r="Q9" s="269">
        <f>'DCF input'!Q24</f>
        <v>1516.4588298600002</v>
      </c>
      <c r="R9" s="269">
        <f>'DCF input'!R24</f>
        <v>1531.6234181586001</v>
      </c>
      <c r="S9" s="269">
        <f>'DCF input'!S24</f>
        <v>1546.9396523401861</v>
      </c>
      <c r="T9" s="270"/>
      <c r="U9" s="126"/>
    </row>
    <row r="10" spans="1:21" ht="20.25" customHeight="1">
      <c r="A10" s="208"/>
      <c r="B10" s="201"/>
      <c r="C10" s="218" t="s">
        <v>0</v>
      </c>
      <c r="D10" s="218"/>
      <c r="E10" s="219"/>
      <c r="F10" s="220"/>
      <c r="G10" s="220"/>
      <c r="H10" s="220"/>
      <c r="I10" s="271"/>
      <c r="J10" s="271">
        <f t="shared" ref="J10:S10" si="10">J9/I9-1</f>
        <v>9.3124456048738091E-2</v>
      </c>
      <c r="K10" s="271">
        <f t="shared" si="10"/>
        <v>7.8025477707006408E-2</v>
      </c>
      <c r="L10" s="271">
        <f t="shared" si="10"/>
        <v>-0.1528803545051699</v>
      </c>
      <c r="M10" s="271">
        <f t="shared" si="10"/>
        <v>0.25806451612903225</v>
      </c>
      <c r="N10" s="271">
        <f t="shared" si="10"/>
        <v>2.0000000000000018E-2</v>
      </c>
      <c r="O10" s="271">
        <f t="shared" si="10"/>
        <v>1.0000000000000009E-2</v>
      </c>
      <c r="P10" s="271">
        <f t="shared" si="10"/>
        <v>1.0000000000000009E-2</v>
      </c>
      <c r="Q10" s="271">
        <f t="shared" si="10"/>
        <v>1.0000000000000009E-2</v>
      </c>
      <c r="R10" s="271">
        <f t="shared" si="10"/>
        <v>1.0000000000000009E-2</v>
      </c>
      <c r="S10" s="271">
        <f t="shared" si="10"/>
        <v>1.0000000000000009E-2</v>
      </c>
      <c r="T10" s="272"/>
      <c r="U10" s="126"/>
    </row>
    <row r="11" spans="1:21" ht="20.25" customHeight="1">
      <c r="A11" s="208"/>
      <c r="B11" s="201"/>
      <c r="C11" s="216" t="s">
        <v>3</v>
      </c>
      <c r="D11" s="216"/>
      <c r="E11" s="217"/>
      <c r="F11" s="217"/>
      <c r="G11" s="217"/>
      <c r="H11" s="217"/>
      <c r="I11" s="269">
        <f>'DCF input'!I27</f>
        <v>94.147209662938678</v>
      </c>
      <c r="J11" s="269">
        <f>'DCF input'!J27</f>
        <v>92.625305088518971</v>
      </c>
      <c r="K11" s="269">
        <f>'DCF input'!K27</f>
        <v>111.79673623719194</v>
      </c>
      <c r="L11" s="269">
        <f>'DCF input'!L27</f>
        <v>124.39494101920258</v>
      </c>
      <c r="M11" s="269">
        <f>'DCF input'!M27</f>
        <v>127.56812935492378</v>
      </c>
      <c r="N11" s="269">
        <f>'DCF input'!N27</f>
        <v>130.99554000000001</v>
      </c>
      <c r="O11" s="269">
        <f>'DCF input'!O27</f>
        <v>132.30549540000001</v>
      </c>
      <c r="P11" s="269">
        <f>'DCF input'!P27</f>
        <v>133.628550354</v>
      </c>
      <c r="Q11" s="269">
        <f>'DCF input'!Q27</f>
        <v>134.96483585754001</v>
      </c>
      <c r="R11" s="269">
        <f>'DCF input'!R27</f>
        <v>136.3144842161154</v>
      </c>
      <c r="S11" s="269">
        <f>'DCF input'!S27</f>
        <v>139.22456871061675</v>
      </c>
      <c r="T11" s="270"/>
      <c r="U11" s="126"/>
    </row>
    <row r="12" spans="1:21" ht="20.25" customHeight="1">
      <c r="A12" s="208"/>
      <c r="B12" s="201"/>
      <c r="C12" s="218" t="s">
        <v>1</v>
      </c>
      <c r="D12" s="218"/>
      <c r="E12" s="221"/>
      <c r="F12" s="221"/>
      <c r="G12" s="221"/>
      <c r="H12" s="221"/>
      <c r="I12" s="271">
        <f t="shared" ref="I12:S12" si="11">I11/I9</f>
        <v>8.1938389610912682E-2</v>
      </c>
      <c r="J12" s="271">
        <f t="shared" si="11"/>
        <v>7.3746262013152042E-2</v>
      </c>
      <c r="K12" s="271">
        <f t="shared" si="11"/>
        <v>8.2567752021559776E-2</v>
      </c>
      <c r="L12" s="271">
        <f t="shared" si="11"/>
        <v>0.10845243332101358</v>
      </c>
      <c r="M12" s="271">
        <f t="shared" si="11"/>
        <v>8.8404802047764228E-2</v>
      </c>
      <c r="N12" s="271">
        <f t="shared" si="11"/>
        <v>8.8999999999999996E-2</v>
      </c>
      <c r="O12" s="271">
        <f t="shared" si="11"/>
        <v>8.900000000000001E-2</v>
      </c>
      <c r="P12" s="271">
        <f t="shared" si="11"/>
        <v>8.8999999999999996E-2</v>
      </c>
      <c r="Q12" s="271">
        <f t="shared" si="11"/>
        <v>8.8999999999999996E-2</v>
      </c>
      <c r="R12" s="271">
        <f t="shared" si="11"/>
        <v>8.8999999999999996E-2</v>
      </c>
      <c r="S12" s="271">
        <f t="shared" si="11"/>
        <v>9.0000000000000011E-2</v>
      </c>
      <c r="T12" s="272"/>
      <c r="U12" s="126"/>
    </row>
    <row r="13" spans="1:21" ht="20.25" customHeight="1">
      <c r="A13" s="208"/>
      <c r="B13" s="201"/>
      <c r="C13" s="218" t="s">
        <v>0</v>
      </c>
      <c r="D13" s="218"/>
      <c r="E13" s="219"/>
      <c r="F13" s="221"/>
      <c r="G13" s="221"/>
      <c r="H13" s="221"/>
      <c r="I13" s="271"/>
      <c r="J13" s="271">
        <f t="shared" ref="J13:S13" si="12">J11/I11-1</f>
        <v>-1.6165158583757888E-2</v>
      </c>
      <c r="K13" s="271">
        <f t="shared" si="12"/>
        <v>0.20697833200496829</v>
      </c>
      <c r="L13" s="271">
        <f t="shared" si="12"/>
        <v>0.11268848453036973</v>
      </c>
      <c r="M13" s="271">
        <f t="shared" si="12"/>
        <v>2.5508982195918684E-2</v>
      </c>
      <c r="N13" s="271">
        <f t="shared" si="12"/>
        <v>2.6867295635733424E-2</v>
      </c>
      <c r="O13" s="271">
        <f t="shared" si="12"/>
        <v>1.0000000000000009E-2</v>
      </c>
      <c r="P13" s="271">
        <f t="shared" si="12"/>
        <v>9.9999999999997868E-3</v>
      </c>
      <c r="Q13" s="271">
        <f t="shared" si="12"/>
        <v>1.0000000000000009E-2</v>
      </c>
      <c r="R13" s="271">
        <f t="shared" si="12"/>
        <v>1.0000000000000009E-2</v>
      </c>
      <c r="S13" s="271">
        <f t="shared" si="12"/>
        <v>2.1348314606741692E-2</v>
      </c>
      <c r="T13" s="272"/>
      <c r="U13" s="126"/>
    </row>
    <row r="14" spans="1:21" ht="20.25" customHeight="1">
      <c r="A14" s="208"/>
      <c r="B14" s="201"/>
      <c r="C14" s="222" t="s">
        <v>4</v>
      </c>
      <c r="D14" s="222"/>
      <c r="E14" s="223"/>
      <c r="F14" s="223"/>
      <c r="G14" s="223"/>
      <c r="H14" s="223"/>
      <c r="I14" s="273">
        <f>'DCF input'!I31</f>
        <v>-36</v>
      </c>
      <c r="J14" s="273">
        <f>'DCF input'!J31</f>
        <v>-40.4</v>
      </c>
      <c r="K14" s="273">
        <f>'DCF input'!K31</f>
        <v>-47.3</v>
      </c>
      <c r="L14" s="273">
        <f>'DCF input'!L31</f>
        <v>-51.9</v>
      </c>
      <c r="M14" s="273">
        <f>'DCF input'!M31</f>
        <v>-54.9</v>
      </c>
      <c r="N14" s="273">
        <f>'DCF input'!N31</f>
        <v>-53.5</v>
      </c>
      <c r="O14" s="273">
        <f>'DCF input'!O31</f>
        <v>-51</v>
      </c>
      <c r="P14" s="273">
        <f>'DCF input'!P31</f>
        <v>-49.5</v>
      </c>
      <c r="Q14" s="273">
        <f>'DCF input'!Q31</f>
        <v>-48.5</v>
      </c>
      <c r="R14" s="273">
        <f>'DCF input'!R31</f>
        <v>-47.5</v>
      </c>
      <c r="S14" s="273">
        <f>'DCF input'!S31</f>
        <v>-47.5</v>
      </c>
      <c r="T14" s="274"/>
      <c r="U14" s="126"/>
    </row>
    <row r="15" spans="1:21" ht="20.25" customHeight="1">
      <c r="A15" s="208"/>
      <c r="B15" s="201"/>
      <c r="C15" s="218" t="s">
        <v>84</v>
      </c>
      <c r="D15" s="218"/>
      <c r="E15" s="221"/>
      <c r="F15" s="221"/>
      <c r="G15" s="221"/>
      <c r="H15" s="221"/>
      <c r="I15" s="271">
        <f t="shared" ref="I15:S15" si="13">-I14/I$9</f>
        <v>3.1331592689295036E-2</v>
      </c>
      <c r="J15" s="271">
        <f t="shared" si="13"/>
        <v>3.2165605095541401E-2</v>
      </c>
      <c r="K15" s="271">
        <f t="shared" si="13"/>
        <v>3.4933530280649924E-2</v>
      </c>
      <c r="L15" s="271">
        <f t="shared" si="13"/>
        <v>4.5248474280732344E-2</v>
      </c>
      <c r="M15" s="271">
        <f t="shared" si="13"/>
        <v>3.8045738045738048E-2</v>
      </c>
      <c r="N15" s="271">
        <f t="shared" si="13"/>
        <v>3.6348565760330465E-2</v>
      </c>
      <c r="O15" s="271">
        <f t="shared" si="13"/>
        <v>3.4306965000034308E-2</v>
      </c>
      <c r="P15" s="271">
        <f t="shared" si="13"/>
        <v>3.2968254076911244E-2</v>
      </c>
      <c r="Q15" s="271">
        <f t="shared" si="13"/>
        <v>3.1982404695073414E-2</v>
      </c>
      <c r="R15" s="271">
        <f t="shared" si="13"/>
        <v>3.1012845218250221E-2</v>
      </c>
      <c r="S15" s="271">
        <f t="shared" si="13"/>
        <v>3.0705787344802199E-2</v>
      </c>
      <c r="T15" s="272"/>
      <c r="U15" s="126"/>
    </row>
    <row r="16" spans="1:21" ht="20.25" customHeight="1">
      <c r="A16" s="208"/>
      <c r="B16" s="201"/>
      <c r="C16" s="218" t="s">
        <v>37</v>
      </c>
      <c r="D16" s="218"/>
      <c r="E16" s="221"/>
      <c r="F16" s="221"/>
      <c r="G16" s="221"/>
      <c r="H16" s="221"/>
      <c r="I16" s="271"/>
      <c r="J16" s="271">
        <f>+J14/J21</f>
        <v>0.792156862745098</v>
      </c>
      <c r="K16" s="271">
        <f>+K14/K21</f>
        <v>0.94599999999999995</v>
      </c>
      <c r="L16" s="271">
        <f t="shared" ref="L16:S16" si="14">+L14/L21</f>
        <v>1.038</v>
      </c>
      <c r="M16" s="271">
        <f t="shared" si="14"/>
        <v>1.0979999999999999</v>
      </c>
      <c r="N16" s="271">
        <f t="shared" si="14"/>
        <v>1.07</v>
      </c>
      <c r="O16" s="271">
        <f t="shared" si="14"/>
        <v>1.02</v>
      </c>
      <c r="P16" s="271">
        <f t="shared" si="14"/>
        <v>0.99</v>
      </c>
      <c r="Q16" s="271">
        <f t="shared" si="14"/>
        <v>0.97</v>
      </c>
      <c r="R16" s="271">
        <f t="shared" si="14"/>
        <v>0.95</v>
      </c>
      <c r="S16" s="271">
        <f t="shared" si="14"/>
        <v>0.95</v>
      </c>
      <c r="T16" s="272"/>
      <c r="U16" s="126"/>
    </row>
    <row r="17" spans="1:21" ht="20.25" customHeight="1">
      <c r="A17" s="208"/>
      <c r="B17" s="201"/>
      <c r="C17" s="222" t="s">
        <v>5</v>
      </c>
      <c r="D17" s="222"/>
      <c r="E17" s="223"/>
      <c r="F17" s="223"/>
      <c r="G17" s="223"/>
      <c r="H17" s="223"/>
      <c r="I17" s="273">
        <f t="shared" ref="I17:S17" si="15">I11+I14</f>
        <v>58.147209662938678</v>
      </c>
      <c r="J17" s="273">
        <f t="shared" si="15"/>
        <v>52.225305088518972</v>
      </c>
      <c r="K17" s="273">
        <f t="shared" si="15"/>
        <v>64.496736237191939</v>
      </c>
      <c r="L17" s="273">
        <f t="shared" si="15"/>
        <v>72.494941019202571</v>
      </c>
      <c r="M17" s="273">
        <f t="shared" si="15"/>
        <v>72.668129354923792</v>
      </c>
      <c r="N17" s="273">
        <f t="shared" si="15"/>
        <v>77.495540000000005</v>
      </c>
      <c r="O17" s="273">
        <f t="shared" si="15"/>
        <v>81.305495400000012</v>
      </c>
      <c r="P17" s="273">
        <f t="shared" si="15"/>
        <v>84.128550353999998</v>
      </c>
      <c r="Q17" s="273">
        <f t="shared" si="15"/>
        <v>86.46483585754001</v>
      </c>
      <c r="R17" s="273">
        <f t="shared" si="15"/>
        <v>88.814484216115403</v>
      </c>
      <c r="S17" s="273">
        <f t="shared" si="15"/>
        <v>91.724568710616751</v>
      </c>
      <c r="T17" s="274"/>
      <c r="U17" s="126"/>
    </row>
    <row r="18" spans="1:21" ht="20.25" customHeight="1">
      <c r="A18" s="208"/>
      <c r="B18" s="201"/>
      <c r="C18" s="218" t="s">
        <v>1</v>
      </c>
      <c r="D18" s="218"/>
      <c r="E18" s="221"/>
      <c r="F18" s="221"/>
      <c r="G18" s="221"/>
      <c r="H18" s="221"/>
      <c r="I18" s="271">
        <f t="shared" ref="I18:S18" si="16">I17/I$9</f>
        <v>5.0606796921617646E-2</v>
      </c>
      <c r="J18" s="271">
        <f t="shared" si="16"/>
        <v>4.1580656917610648E-2</v>
      </c>
      <c r="K18" s="271">
        <f t="shared" si="16"/>
        <v>4.7634221740909852E-2</v>
      </c>
      <c r="L18" s="271">
        <f t="shared" si="16"/>
        <v>6.3203959040281227E-2</v>
      </c>
      <c r="M18" s="271">
        <f t="shared" si="16"/>
        <v>5.0359064002026187E-2</v>
      </c>
      <c r="N18" s="271">
        <f t="shared" si="16"/>
        <v>5.2651434239669531E-2</v>
      </c>
      <c r="O18" s="271">
        <f t="shared" si="16"/>
        <v>5.4693034999965702E-2</v>
      </c>
      <c r="P18" s="271">
        <f t="shared" si="16"/>
        <v>5.6031745923088752E-2</v>
      </c>
      <c r="Q18" s="271">
        <f t="shared" si="16"/>
        <v>5.7017595304926588E-2</v>
      </c>
      <c r="R18" s="271">
        <f t="shared" si="16"/>
        <v>5.7987154781749775E-2</v>
      </c>
      <c r="S18" s="271">
        <f t="shared" si="16"/>
        <v>5.9294212655197805E-2</v>
      </c>
      <c r="T18" s="272"/>
      <c r="U18" s="126"/>
    </row>
    <row r="19" spans="1:21" ht="20.25" customHeight="1">
      <c r="A19" s="208"/>
      <c r="B19" s="201"/>
      <c r="C19" s="222" t="s">
        <v>85</v>
      </c>
      <c r="D19" s="222"/>
      <c r="E19" s="223"/>
      <c r="F19" s="223"/>
      <c r="G19" s="223"/>
      <c r="H19" s="223"/>
      <c r="I19" s="273"/>
      <c r="J19" s="273">
        <f>-J20*J17</f>
        <v>-8.8783018650482255</v>
      </c>
      <c r="K19" s="273">
        <f t="shared" ref="K19:S19" si="17">-K20*K17</f>
        <v>-10.964445160322631</v>
      </c>
      <c r="L19" s="273">
        <f t="shared" si="17"/>
        <v>-12.324139973264439</v>
      </c>
      <c r="M19" s="273">
        <f t="shared" si="17"/>
        <v>-12.353581990337046</v>
      </c>
      <c r="N19" s="273">
        <f t="shared" si="17"/>
        <v>-13.174241800000003</v>
      </c>
      <c r="O19" s="273">
        <f t="shared" si="17"/>
        <v>-13.821934218000003</v>
      </c>
      <c r="P19" s="273">
        <f t="shared" si="17"/>
        <v>-14.301853560180001</v>
      </c>
      <c r="Q19" s="273">
        <f t="shared" si="17"/>
        <v>-14.699022095781803</v>
      </c>
      <c r="R19" s="273">
        <f t="shared" si="17"/>
        <v>-15.098462316739619</v>
      </c>
      <c r="S19" s="273">
        <f t="shared" si="17"/>
        <v>-15.593176680804849</v>
      </c>
      <c r="T19" s="274"/>
      <c r="U19" s="126"/>
    </row>
    <row r="20" spans="1:21" ht="20.25" customHeight="1">
      <c r="A20" s="208"/>
      <c r="B20" s="201"/>
      <c r="C20" s="218" t="s">
        <v>6</v>
      </c>
      <c r="D20" s="218"/>
      <c r="E20" s="221"/>
      <c r="F20" s="221"/>
      <c r="G20" s="221"/>
      <c r="H20" s="221"/>
      <c r="I20" s="271"/>
      <c r="J20" s="271">
        <f>'DCF input'!J40</f>
        <v>0.17</v>
      </c>
      <c r="K20" s="271">
        <f>'DCF input'!K40</f>
        <v>0.17</v>
      </c>
      <c r="L20" s="271">
        <f>'DCF input'!L40</f>
        <v>0.17</v>
      </c>
      <c r="M20" s="271">
        <f>'DCF input'!M40</f>
        <v>0.17</v>
      </c>
      <c r="N20" s="271">
        <f>'DCF input'!N40</f>
        <v>0.17</v>
      </c>
      <c r="O20" s="271">
        <f>'DCF input'!O40</f>
        <v>0.17</v>
      </c>
      <c r="P20" s="271">
        <f>'DCF input'!P40</f>
        <v>0.17</v>
      </c>
      <c r="Q20" s="271">
        <f>'DCF input'!Q40</f>
        <v>0.17</v>
      </c>
      <c r="R20" s="271">
        <f>'DCF input'!R40</f>
        <v>0.17</v>
      </c>
      <c r="S20" s="271">
        <f>'DCF input'!S40</f>
        <v>0.17</v>
      </c>
      <c r="T20" s="272"/>
      <c r="U20" s="126"/>
    </row>
    <row r="21" spans="1:21" ht="20.25" customHeight="1">
      <c r="A21" s="208"/>
      <c r="B21" s="201"/>
      <c r="C21" s="222" t="s">
        <v>7</v>
      </c>
      <c r="D21" s="222"/>
      <c r="E21" s="223"/>
      <c r="F21" s="223"/>
      <c r="G21" s="223"/>
      <c r="H21" s="223"/>
      <c r="I21" s="273"/>
      <c r="J21" s="273">
        <f>'DCF input'!J48</f>
        <v>-51</v>
      </c>
      <c r="K21" s="273">
        <f>'DCF input'!K48</f>
        <v>-50</v>
      </c>
      <c r="L21" s="273">
        <f>'DCF input'!L48</f>
        <v>-50</v>
      </c>
      <c r="M21" s="273">
        <f>'DCF input'!M48</f>
        <v>-50</v>
      </c>
      <c r="N21" s="273">
        <f>'DCF input'!N48</f>
        <v>-50</v>
      </c>
      <c r="O21" s="273">
        <f>'DCF input'!O48</f>
        <v>-50</v>
      </c>
      <c r="P21" s="273">
        <f>'DCF input'!P48</f>
        <v>-50</v>
      </c>
      <c r="Q21" s="273">
        <f>'DCF input'!Q48</f>
        <v>-50</v>
      </c>
      <c r="R21" s="273">
        <f>'DCF input'!R48</f>
        <v>-50</v>
      </c>
      <c r="S21" s="273">
        <f>'DCF input'!S48</f>
        <v>-50</v>
      </c>
      <c r="T21" s="274"/>
      <c r="U21" s="126"/>
    </row>
    <row r="22" spans="1:21" ht="20.25" customHeight="1">
      <c r="A22" s="208"/>
      <c r="B22" s="201"/>
      <c r="C22" s="218" t="s">
        <v>84</v>
      </c>
      <c r="D22" s="218"/>
      <c r="E22" s="221"/>
      <c r="F22" s="221"/>
      <c r="G22" s="221"/>
      <c r="H22" s="221"/>
      <c r="I22" s="271"/>
      <c r="J22" s="271">
        <f t="shared" ref="J22" si="18">-J21/J$9</f>
        <v>4.0605095541401272E-2</v>
      </c>
      <c r="K22" s="271">
        <f t="shared" ref="K22:S22" si="19">-K21/K$9</f>
        <v>3.6927621861152143E-2</v>
      </c>
      <c r="L22" s="271">
        <f t="shared" si="19"/>
        <v>4.3591979075850044E-2</v>
      </c>
      <c r="M22" s="271">
        <f t="shared" si="19"/>
        <v>3.4650034650034647E-2</v>
      </c>
      <c r="N22" s="271">
        <f t="shared" si="19"/>
        <v>3.3970622205916318E-2</v>
      </c>
      <c r="O22" s="271">
        <f t="shared" si="19"/>
        <v>3.3634279411798342E-2</v>
      </c>
      <c r="P22" s="271">
        <f t="shared" si="19"/>
        <v>3.3301266744354789E-2</v>
      </c>
      <c r="Q22" s="271">
        <f t="shared" si="19"/>
        <v>3.2971551232034442E-2</v>
      </c>
      <c r="R22" s="271">
        <f t="shared" si="19"/>
        <v>3.2645100229737073E-2</v>
      </c>
      <c r="S22" s="271">
        <f t="shared" si="19"/>
        <v>3.2321881415581261E-2</v>
      </c>
      <c r="T22" s="272"/>
      <c r="U22" s="126"/>
    </row>
    <row r="23" spans="1:21" ht="20.25" customHeight="1">
      <c r="A23" s="208"/>
      <c r="B23" s="201"/>
      <c r="C23" s="222" t="s">
        <v>75</v>
      </c>
      <c r="D23" s="222"/>
      <c r="E23" s="223"/>
      <c r="F23" s="223"/>
      <c r="G23" s="223"/>
      <c r="H23" s="223"/>
      <c r="I23" s="273"/>
      <c r="J23" s="273">
        <f>'DCF input'!J52</f>
        <v>16</v>
      </c>
      <c r="K23" s="273">
        <f>'DCF input'!K52</f>
        <v>15</v>
      </c>
      <c r="L23" s="273">
        <f>'DCF input'!L52</f>
        <v>11</v>
      </c>
      <c r="M23" s="273">
        <f>'DCF input'!M52</f>
        <v>4</v>
      </c>
      <c r="N23" s="273">
        <f>'DCF input'!N52</f>
        <v>0</v>
      </c>
      <c r="O23" s="273">
        <f>'DCF input'!O52</f>
        <v>0</v>
      </c>
      <c r="P23" s="273">
        <f>'DCF input'!P52</f>
        <v>0</v>
      </c>
      <c r="Q23" s="273">
        <f>'DCF input'!Q52</f>
        <v>0</v>
      </c>
      <c r="R23" s="273">
        <f>'DCF input'!R52</f>
        <v>0</v>
      </c>
      <c r="S23" s="273">
        <f>'DCF input'!S52</f>
        <v>0</v>
      </c>
      <c r="T23" s="274"/>
      <c r="U23" s="126"/>
    </row>
    <row r="24" spans="1:21" ht="20.25" customHeight="1">
      <c r="A24" s="208"/>
      <c r="B24" s="201"/>
      <c r="C24" s="222" t="s">
        <v>130</v>
      </c>
      <c r="D24" s="222"/>
      <c r="E24" s="223"/>
      <c r="F24" s="223"/>
      <c r="G24" s="223"/>
      <c r="H24" s="223"/>
      <c r="I24" s="273"/>
      <c r="J24" s="273">
        <f>'DCF input'!J55</f>
        <v>0</v>
      </c>
      <c r="K24" s="273">
        <f>'DCF input'!K55</f>
        <v>-5</v>
      </c>
      <c r="L24" s="273">
        <f>'DCF input'!L55</f>
        <v>-5</v>
      </c>
      <c r="M24" s="273">
        <f>'DCF input'!M55</f>
        <v>-5</v>
      </c>
      <c r="N24" s="273">
        <f>'DCF input'!N55</f>
        <v>-5</v>
      </c>
      <c r="O24" s="273">
        <f>'DCF input'!O55</f>
        <v>-5</v>
      </c>
      <c r="P24" s="273">
        <f>'DCF input'!P55</f>
        <v>-5</v>
      </c>
      <c r="Q24" s="273">
        <f>'DCF input'!Q55</f>
        <v>-5</v>
      </c>
      <c r="R24" s="273">
        <f>'DCF input'!R55</f>
        <v>-5</v>
      </c>
      <c r="S24" s="273">
        <f>'DCF input'!S55</f>
        <v>-5</v>
      </c>
      <c r="T24" s="274"/>
      <c r="U24" s="126"/>
    </row>
    <row r="25" spans="1:21" ht="20.25" customHeight="1">
      <c r="A25" s="208"/>
      <c r="B25" s="201"/>
      <c r="C25" s="218" t="s">
        <v>84</v>
      </c>
      <c r="D25" s="222"/>
      <c r="E25" s="223"/>
      <c r="F25" s="223"/>
      <c r="G25" s="223"/>
      <c r="H25" s="223"/>
      <c r="I25" s="273"/>
      <c r="J25" s="271">
        <f t="shared" ref="J25:S25" si="20">-J24/J$9</f>
        <v>0</v>
      </c>
      <c r="K25" s="271">
        <f t="shared" si="20"/>
        <v>3.692762186115214E-3</v>
      </c>
      <c r="L25" s="271">
        <f t="shared" si="20"/>
        <v>4.3591979075850041E-3</v>
      </c>
      <c r="M25" s="271">
        <f t="shared" si="20"/>
        <v>3.4650034650034649E-3</v>
      </c>
      <c r="N25" s="271">
        <f t="shared" si="20"/>
        <v>3.3970622205916319E-3</v>
      </c>
      <c r="O25" s="271">
        <f t="shared" si="20"/>
        <v>3.3634279411798337E-3</v>
      </c>
      <c r="P25" s="271">
        <f t="shared" si="20"/>
        <v>3.3301266744354789E-3</v>
      </c>
      <c r="Q25" s="271">
        <f t="shared" si="20"/>
        <v>3.2971551232034444E-3</v>
      </c>
      <c r="R25" s="271">
        <f t="shared" si="20"/>
        <v>3.2645100229737076E-3</v>
      </c>
      <c r="S25" s="271">
        <f t="shared" si="20"/>
        <v>3.2321881415581263E-3</v>
      </c>
      <c r="T25" s="274"/>
      <c r="U25" s="126"/>
    </row>
    <row r="26" spans="1:21" ht="20.25" customHeight="1">
      <c r="A26" s="208"/>
      <c r="B26" s="201"/>
      <c r="C26" s="222" t="s">
        <v>131</v>
      </c>
      <c r="D26" s="222"/>
      <c r="E26" s="223"/>
      <c r="F26" s="223"/>
      <c r="G26" s="223"/>
      <c r="H26" s="223"/>
      <c r="I26" s="273"/>
      <c r="J26" s="273">
        <f>'DCF input'!J58</f>
        <v>-18.004468664734777</v>
      </c>
      <c r="K26" s="273">
        <f>'DCF input'!K58</f>
        <v>-6.7527180429793674</v>
      </c>
      <c r="L26" s="273">
        <f>'DCF input'!L58</f>
        <v>25.138454026318882</v>
      </c>
      <c r="M26" s="273">
        <f>'DCF input'!M58</f>
        <v>-4.8650405710493061</v>
      </c>
      <c r="N26" s="273">
        <f>'DCF input'!N58</f>
        <v>0</v>
      </c>
      <c r="O26" s="273">
        <f>'DCF input'!O58</f>
        <v>0</v>
      </c>
      <c r="P26" s="273">
        <f>'DCF input'!P58</f>
        <v>0</v>
      </c>
      <c r="Q26" s="273">
        <f>'DCF input'!Q58</f>
        <v>0</v>
      </c>
      <c r="R26" s="273">
        <f>'DCF input'!R58</f>
        <v>0</v>
      </c>
      <c r="S26" s="273">
        <f>'DCF input'!S58</f>
        <v>0</v>
      </c>
      <c r="T26" s="274"/>
      <c r="U26" s="126"/>
    </row>
    <row r="27" spans="1:21" ht="20.25" customHeight="1">
      <c r="A27" s="208"/>
      <c r="B27" s="201"/>
      <c r="C27" s="218" t="s">
        <v>84</v>
      </c>
      <c r="D27" s="222"/>
      <c r="E27" s="223"/>
      <c r="F27" s="223"/>
      <c r="G27" s="223"/>
      <c r="H27" s="223"/>
      <c r="I27" s="273"/>
      <c r="J27" s="271">
        <f t="shared" ref="J27:S27" si="21">-J26/J$9</f>
        <v>1.4334768045171E-2</v>
      </c>
      <c r="K27" s="271">
        <f t="shared" si="21"/>
        <v>4.9872363685224278E-3</v>
      </c>
      <c r="L27" s="271">
        <f t="shared" si="21"/>
        <v>-2.1916699238290219E-2</v>
      </c>
      <c r="M27" s="271">
        <f t="shared" si="21"/>
        <v>3.3714764872136561E-3</v>
      </c>
      <c r="N27" s="271">
        <f t="shared" si="21"/>
        <v>0</v>
      </c>
      <c r="O27" s="271">
        <f t="shared" si="21"/>
        <v>0</v>
      </c>
      <c r="P27" s="271">
        <f t="shared" si="21"/>
        <v>0</v>
      </c>
      <c r="Q27" s="271">
        <f t="shared" si="21"/>
        <v>0</v>
      </c>
      <c r="R27" s="271">
        <f t="shared" si="21"/>
        <v>0</v>
      </c>
      <c r="S27" s="271">
        <f t="shared" si="21"/>
        <v>0</v>
      </c>
      <c r="T27" s="274"/>
      <c r="U27" s="126"/>
    </row>
    <row r="28" spans="1:21" ht="20.25" customHeight="1">
      <c r="A28" s="208"/>
      <c r="B28" s="201"/>
      <c r="C28" s="216" t="s">
        <v>86</v>
      </c>
      <c r="D28" s="216"/>
      <c r="E28" s="217"/>
      <c r="F28" s="217"/>
      <c r="G28" s="217"/>
      <c r="H28" s="217"/>
      <c r="I28" s="269"/>
      <c r="J28" s="269">
        <f>J17+J19-J14+J21+J23+J24+J26</f>
        <v>30.742534558735979</v>
      </c>
      <c r="K28" s="269">
        <f t="shared" ref="K28:S28" si="22">K17+K19-K14+K21+K23+K24+K26</f>
        <v>54.079573033889929</v>
      </c>
      <c r="L28" s="269">
        <f t="shared" si="22"/>
        <v>93.209255072257022</v>
      </c>
      <c r="M28" s="269">
        <f t="shared" si="22"/>
        <v>59.349506793537429</v>
      </c>
      <c r="N28" s="269">
        <f t="shared" si="22"/>
        <v>62.821298200000001</v>
      </c>
      <c r="O28" s="269">
        <f t="shared" si="22"/>
        <v>63.483561182000017</v>
      </c>
      <c r="P28" s="269">
        <f t="shared" si="22"/>
        <v>64.326696793819991</v>
      </c>
      <c r="Q28" s="269">
        <f t="shared" si="22"/>
        <v>65.26581376175821</v>
      </c>
      <c r="R28" s="269">
        <f t="shared" si="22"/>
        <v>66.216021899375789</v>
      </c>
      <c r="S28" s="269">
        <f t="shared" si="22"/>
        <v>68.631392029811906</v>
      </c>
      <c r="T28" s="269">
        <f>S28*(1+'DCF input'!F9)/('DCF input'!F11-'DCF input'!F9)</f>
        <v>862.18186237451187</v>
      </c>
      <c r="U28" s="126"/>
    </row>
    <row r="29" spans="1:21" ht="20.25" customHeight="1">
      <c r="A29" s="208"/>
      <c r="B29" s="201"/>
      <c r="C29" s="201" t="s">
        <v>87</v>
      </c>
      <c r="D29" s="222"/>
      <c r="E29" s="223"/>
      <c r="F29" s="223"/>
      <c r="G29" s="223"/>
      <c r="H29" s="223"/>
      <c r="I29" s="273"/>
      <c r="J29" s="273">
        <f t="shared" ref="J29:S29" si="23">J7</f>
        <v>1</v>
      </c>
      <c r="K29" s="273">
        <f t="shared" si="23"/>
        <v>2</v>
      </c>
      <c r="L29" s="273">
        <f t="shared" si="23"/>
        <v>3</v>
      </c>
      <c r="M29" s="273">
        <f t="shared" si="23"/>
        <v>4</v>
      </c>
      <c r="N29" s="273">
        <f t="shared" si="23"/>
        <v>5</v>
      </c>
      <c r="O29" s="273">
        <f t="shared" si="23"/>
        <v>6</v>
      </c>
      <c r="P29" s="273">
        <f t="shared" si="23"/>
        <v>7</v>
      </c>
      <c r="Q29" s="273">
        <f t="shared" si="23"/>
        <v>8</v>
      </c>
      <c r="R29" s="273">
        <f t="shared" si="23"/>
        <v>9</v>
      </c>
      <c r="S29" s="273">
        <f t="shared" si="23"/>
        <v>10</v>
      </c>
      <c r="T29" s="275"/>
      <c r="U29" s="126"/>
    </row>
    <row r="30" spans="1:21" ht="20.25" customHeight="1">
      <c r="A30" s="208"/>
      <c r="B30" s="201"/>
      <c r="C30" s="201" t="s">
        <v>88</v>
      </c>
      <c r="D30" s="222"/>
      <c r="E30" s="223"/>
      <c r="F30" s="223"/>
      <c r="G30" s="223"/>
      <c r="H30" s="223"/>
      <c r="I30" s="276"/>
      <c r="J30" s="277">
        <f>'DCF input'!J67</f>
        <v>0.92165898617511521</v>
      </c>
      <c r="K30" s="277">
        <f>'DCF input'!K67</f>
        <v>0.84945528679734128</v>
      </c>
      <c r="L30" s="277">
        <f>'DCF input'!L67</f>
        <v>0.78290809843072917</v>
      </c>
      <c r="M30" s="277">
        <f>'DCF input'!M67</f>
        <v>0.72157428426795334</v>
      </c>
      <c r="N30" s="277">
        <f>'DCF input'!N67</f>
        <v>0.66504542328843619</v>
      </c>
      <c r="O30" s="277">
        <f>'DCF input'!O67</f>
        <v>0.6129450905884205</v>
      </c>
      <c r="P30" s="277">
        <f>'DCF input'!P67</f>
        <v>0.56492635077273778</v>
      </c>
      <c r="Q30" s="277">
        <f>'DCF input'!Q67</f>
        <v>0.52066944771680901</v>
      </c>
      <c r="R30" s="277">
        <f>'DCF input'!R67</f>
        <v>0.4798796753150314</v>
      </c>
      <c r="S30" s="277">
        <f>'DCF input'!S67</f>
        <v>0.44228541503689528</v>
      </c>
      <c r="T30" s="273"/>
      <c r="U30" s="126"/>
    </row>
    <row r="31" spans="1:21" ht="20.25" customHeight="1">
      <c r="A31" s="208"/>
      <c r="B31" s="201"/>
      <c r="C31" s="224" t="s">
        <v>89</v>
      </c>
      <c r="D31" s="224"/>
      <c r="E31" s="225"/>
      <c r="F31" s="225"/>
      <c r="G31" s="225"/>
      <c r="H31" s="225"/>
      <c r="I31" s="278"/>
      <c r="J31" s="278">
        <f t="shared" ref="J31" si="24">J30*J28</f>
        <v>28.334133233858047</v>
      </c>
      <c r="K31" s="278">
        <f t="shared" ref="K31:S31" si="25">K30*K28</f>
        <v>45.938179221380736</v>
      </c>
      <c r="L31" s="278">
        <f t="shared" si="25"/>
        <v>72.974280644765543</v>
      </c>
      <c r="M31" s="278">
        <f t="shared" si="25"/>
        <v>42.825077886202806</v>
      </c>
      <c r="N31" s="278">
        <f t="shared" si="25"/>
        <v>41.779016852948075</v>
      </c>
      <c r="O31" s="278">
        <f t="shared" si="25"/>
        <v>38.911937159576539</v>
      </c>
      <c r="P31" s="278">
        <f t="shared" si="25"/>
        <v>36.339846076997098</v>
      </c>
      <c r="Q31" s="278">
        <f t="shared" si="25"/>
        <v>33.981915206122757</v>
      </c>
      <c r="R31" s="278">
        <f t="shared" si="25"/>
        <v>31.775723089725464</v>
      </c>
      <c r="S31" s="278">
        <f t="shared" si="25"/>
        <v>30.354663708465225</v>
      </c>
      <c r="T31" s="278">
        <f>T28*S30</f>
        <v>381.33046283759433</v>
      </c>
      <c r="U31" s="126"/>
    </row>
    <row r="32" spans="1:21" ht="20.25" customHeight="1">
      <c r="A32" s="208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126"/>
      <c r="O32" s="201"/>
      <c r="P32" s="201"/>
      <c r="Q32" s="201"/>
      <c r="R32" s="201"/>
      <c r="S32" s="126"/>
      <c r="T32" s="126"/>
      <c r="U32" s="126"/>
    </row>
    <row r="33" spans="1:22" ht="20.25" customHeight="1">
      <c r="A33" s="208"/>
      <c r="B33" s="201"/>
      <c r="C33" s="243" t="s">
        <v>90</v>
      </c>
      <c r="D33" s="244"/>
      <c r="E33" s="244"/>
      <c r="F33" s="244"/>
      <c r="G33" s="244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2"/>
      <c r="U33" s="126"/>
    </row>
    <row r="34" spans="1:22" ht="20.25" customHeight="1">
      <c r="A34" s="208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2"/>
      <c r="O34" s="203"/>
      <c r="P34" s="203"/>
      <c r="Q34" s="203"/>
      <c r="R34" s="203"/>
      <c r="S34" s="203"/>
      <c r="T34" s="203"/>
      <c r="U34" s="203"/>
    </row>
    <row r="35" spans="1:22" ht="20.25" customHeight="1">
      <c r="A35" s="208"/>
      <c r="B35" s="201"/>
      <c r="C35" s="422" t="str">
        <f>"Value Based on "&amp;TEXT(K40,"#0.0%")&amp;" WACC &amp; "&amp;TEXT(N37,"#0.0%")&amp;" TGR"</f>
        <v>Value Based on 09% WACC &amp; 01% TGR</v>
      </c>
      <c r="D35" s="422"/>
      <c r="E35" s="422"/>
      <c r="F35" s="226" t="s">
        <v>91</v>
      </c>
      <c r="G35" s="226" t="s">
        <v>92</v>
      </c>
      <c r="H35" s="201"/>
      <c r="I35" s="126"/>
      <c r="J35" s="237" t="s">
        <v>146</v>
      </c>
      <c r="K35" s="238"/>
      <c r="L35" s="239"/>
      <c r="M35" s="240"/>
      <c r="N35" s="240"/>
      <c r="O35" s="240"/>
      <c r="P35" s="241"/>
      <c r="Q35" s="227"/>
      <c r="R35" s="227"/>
      <c r="S35" s="227"/>
      <c r="T35" s="203"/>
      <c r="U35" s="203"/>
    </row>
    <row r="36" spans="1:22" ht="20.25" customHeight="1">
      <c r="A36" s="208"/>
      <c r="B36" s="201"/>
      <c r="C36" s="423"/>
      <c r="D36" s="423"/>
      <c r="E36" s="423"/>
      <c r="F36" s="347" t="s">
        <v>143</v>
      </c>
      <c r="G36" s="215" t="s">
        <v>93</v>
      </c>
      <c r="H36" s="201"/>
      <c r="I36" s="126"/>
      <c r="J36" s="228"/>
      <c r="K36" s="226"/>
      <c r="L36" s="426" t="s">
        <v>94</v>
      </c>
      <c r="M36" s="426"/>
      <c r="N36" s="426"/>
      <c r="O36" s="426"/>
      <c r="P36" s="426"/>
      <c r="Q36" s="229"/>
      <c r="R36" s="229"/>
      <c r="S36" s="229"/>
      <c r="T36" s="203"/>
      <c r="U36" s="203"/>
    </row>
    <row r="37" spans="1:22" ht="20.25" customHeight="1">
      <c r="A37" s="208"/>
      <c r="B37" s="201"/>
      <c r="C37" s="287" t="s">
        <v>95</v>
      </c>
      <c r="D37" s="230"/>
      <c r="E37" s="230"/>
      <c r="F37" s="279">
        <f>SUM(J31:S31)</f>
        <v>403.21477308004239</v>
      </c>
      <c r="G37" s="280">
        <f>F37/F$39</f>
        <v>0.51394713092410227</v>
      </c>
      <c r="H37" s="201"/>
      <c r="I37" s="126"/>
      <c r="J37" s="424" t="s">
        <v>60</v>
      </c>
      <c r="K37" s="290"/>
      <c r="L37" s="291">
        <f>'DCF input'!F103</f>
        <v>0</v>
      </c>
      <c r="M37" s="291">
        <f>'DCF input'!G103</f>
        <v>2.5000000000000001E-3</v>
      </c>
      <c r="N37" s="291">
        <f>'DCF input'!H103</f>
        <v>5.0000000000000001E-3</v>
      </c>
      <c r="O37" s="291">
        <f>'DCF input'!I103</f>
        <v>7.4999999999999997E-3</v>
      </c>
      <c r="P37" s="291">
        <f>'DCF input'!J103</f>
        <v>0.01</v>
      </c>
      <c r="Q37" s="231"/>
      <c r="R37" s="231"/>
      <c r="S37" s="231"/>
      <c r="T37" s="203"/>
      <c r="U37" s="203"/>
    </row>
    <row r="38" spans="1:22" ht="20.25" customHeight="1">
      <c r="A38" s="208"/>
      <c r="B38" s="201"/>
      <c r="C38" s="287" t="s">
        <v>51</v>
      </c>
      <c r="D38" s="230"/>
      <c r="E38" s="230"/>
      <c r="F38" s="279">
        <f>T31</f>
        <v>381.33046283759433</v>
      </c>
      <c r="G38" s="280">
        <f>F38/F$39</f>
        <v>0.48605286907589762</v>
      </c>
      <c r="H38" s="201"/>
      <c r="I38" s="126"/>
      <c r="J38" s="424"/>
      <c r="K38" s="292">
        <f>'DCF input'!E95</f>
        <v>7.4999999999999997E-2</v>
      </c>
      <c r="L38" s="293" t="str">
        <f>CONCATENATE(ROUND('DCF input'!F95,)," / ",ROUND('DCF input'!F104,0),"c")</f>
        <v>898 / 409c</v>
      </c>
      <c r="M38" s="294" t="str">
        <f>CONCATENATE(ROUND('DCF input'!G95,)," / ",ROUND('DCF input'!G104,0),"c")</f>
        <v>915 / 417c</v>
      </c>
      <c r="N38" s="294" t="str">
        <f>CONCATENATE(ROUND('DCF input'!H95,)," / ",ROUND('DCF input'!H104,0),"c")</f>
        <v>934 / 427c</v>
      </c>
      <c r="O38" s="294" t="str">
        <f>CONCATENATE(ROUND('DCF input'!I95,)," / ",ROUND('DCF input'!I104,0),"c")</f>
        <v>953 / 437c</v>
      </c>
      <c r="P38" s="294" t="str">
        <f>CONCATENATE(ROUND('DCF input'!J95,)," / ",ROUND('DCF input'!J104,0),"c")</f>
        <v>975 / 447c</v>
      </c>
      <c r="Q38" s="232"/>
      <c r="R38" s="232"/>
      <c r="S38" s="232"/>
      <c r="T38" s="203"/>
      <c r="U38" s="203"/>
    </row>
    <row r="39" spans="1:22" ht="20.25" customHeight="1">
      <c r="A39" s="208"/>
      <c r="B39" s="201"/>
      <c r="C39" s="288" t="s">
        <v>96</v>
      </c>
      <c r="D39" s="233"/>
      <c r="E39" s="233"/>
      <c r="F39" s="281">
        <f>(F38+F37)</f>
        <v>784.54523591763677</v>
      </c>
      <c r="G39" s="282">
        <f>F39/F$39</f>
        <v>1</v>
      </c>
      <c r="H39" s="201"/>
      <c r="I39" s="126"/>
      <c r="J39" s="424"/>
      <c r="K39" s="292">
        <f>'DCF input'!E96</f>
        <v>0.08</v>
      </c>
      <c r="L39" s="294" t="str">
        <f>CONCATENATE(ROUND('DCF input'!F96,)," / ",ROUND('DCF input'!F105,0),"c")</f>
        <v>838 / 379c</v>
      </c>
      <c r="M39" s="295" t="str">
        <f>CONCATENATE(ROUND('DCF input'!G96,)," / ",ROUND('DCF input'!G105,0),"c")</f>
        <v>853 / 386c</v>
      </c>
      <c r="N39" s="295" t="str">
        <f>CONCATENATE(ROUND('DCF input'!H96,)," / ",ROUND('DCF input'!H105,0),"c")</f>
        <v>868 / 394c</v>
      </c>
      <c r="O39" s="295" t="str">
        <f>CONCATENATE(ROUND('DCF input'!I96,)," / ",ROUND('DCF input'!I105,0),"c")</f>
        <v>885 / 402c</v>
      </c>
      <c r="P39" s="294" t="str">
        <f>CONCATENATE(ROUND('DCF input'!J96,)," / ",ROUND('DCF input'!J105,0),"c")</f>
        <v>903 / 411c</v>
      </c>
      <c r="Q39" s="232"/>
      <c r="R39" s="232"/>
      <c r="S39" s="232"/>
      <c r="T39" s="203"/>
      <c r="U39" s="203"/>
    </row>
    <row r="40" spans="1:22" ht="20.25" customHeight="1">
      <c r="A40" s="208"/>
      <c r="B40" s="201"/>
      <c r="C40" s="287" t="s">
        <v>67</v>
      </c>
      <c r="D40" s="230"/>
      <c r="E40" s="230"/>
      <c r="F40" s="283">
        <f>+'DCF input'!H78</f>
        <v>-84.616813539584982</v>
      </c>
      <c r="G40" s="284"/>
      <c r="H40" s="195"/>
      <c r="I40" s="126"/>
      <c r="J40" s="424"/>
      <c r="K40" s="292">
        <f>'DCF input'!E97</f>
        <v>8.5000000000000006E-2</v>
      </c>
      <c r="L40" s="294" t="str">
        <f>CONCATENATE(ROUND('DCF input'!F97,)," / ",ROUND('DCF input'!F106,0),"c")</f>
        <v>786 / 352c</v>
      </c>
      <c r="M40" s="295" t="str">
        <f>CONCATENATE(ROUND('DCF input'!G97,)," / ",ROUND('DCF input'!G106,0),"c")</f>
        <v>798 / 359c</v>
      </c>
      <c r="N40" s="296" t="str">
        <f>CONCATENATE(ROUND('DCF input'!H97,)," / ",ROUND('DCF input'!H106,0),"c")</f>
        <v>811 / 365c</v>
      </c>
      <c r="O40" s="295" t="str">
        <f>CONCATENATE(ROUND('DCF input'!I97,)," / ",ROUND('DCF input'!I106,0),"c")</f>
        <v>825 / 372c</v>
      </c>
      <c r="P40" s="294" t="str">
        <f>CONCATENATE(ROUND('DCF input'!J97,)," / ",ROUND('DCF input'!J106,0),"c")</f>
        <v>840 / 380c</v>
      </c>
      <c r="Q40" s="232"/>
      <c r="R40" s="234"/>
      <c r="S40" s="232"/>
      <c r="T40" s="203"/>
      <c r="U40" s="203"/>
    </row>
    <row r="41" spans="1:22" ht="20.25" customHeight="1">
      <c r="A41" s="208"/>
      <c r="B41" s="201"/>
      <c r="C41" s="288" t="s">
        <v>97</v>
      </c>
      <c r="D41" s="233"/>
      <c r="E41" s="233"/>
      <c r="F41" s="281">
        <f>+F39+F40</f>
        <v>699.92842237805178</v>
      </c>
      <c r="G41" s="282"/>
      <c r="H41" s="201"/>
      <c r="I41" s="126"/>
      <c r="J41" s="424"/>
      <c r="K41" s="292">
        <f>'DCF input'!E98</f>
        <v>9.0000000000000011E-2</v>
      </c>
      <c r="L41" s="294" t="str">
        <f>CONCATENATE(ROUND('DCF input'!F98,)," / ",ROUND('DCF input'!F107,0),"c")</f>
        <v>739 / 329c</v>
      </c>
      <c r="M41" s="295" t="str">
        <f>CONCATENATE(ROUND('DCF input'!G98,)," / ",ROUND('DCF input'!G107,0),"c")</f>
        <v>750 / 334c</v>
      </c>
      <c r="N41" s="295" t="str">
        <f>CONCATENATE(ROUND('DCF input'!H98,)," / ",ROUND('DCF input'!H107,0),"c")</f>
        <v>761 / 340c</v>
      </c>
      <c r="O41" s="295" t="str">
        <f>CONCATENATE(ROUND('DCF input'!I98,)," / ",ROUND('DCF input'!I107,0),"c")</f>
        <v>773 / 346c</v>
      </c>
      <c r="P41" s="294" t="str">
        <f>CONCATENATE(ROUND('DCF input'!J98,)," / ",ROUND('DCF input'!J107,0),"c")</f>
        <v>786 / 352c</v>
      </c>
      <c r="Q41" s="232"/>
      <c r="R41" s="232"/>
      <c r="S41" s="232"/>
      <c r="T41" s="203"/>
      <c r="U41" s="203"/>
    </row>
    <row r="42" spans="1:22" ht="20.25" customHeight="1">
      <c r="A42" s="208"/>
      <c r="B42" s="201"/>
      <c r="C42" s="287" t="s">
        <v>151</v>
      </c>
      <c r="D42" s="230"/>
      <c r="E42" s="230"/>
      <c r="F42" s="283">
        <f>+F41/Assumptions!D17*100</f>
        <v>351.72282531560393</v>
      </c>
      <c r="G42" s="285"/>
      <c r="H42" s="201"/>
      <c r="I42" s="126"/>
      <c r="J42" s="425"/>
      <c r="K42" s="297">
        <f>'DCF input'!E99</f>
        <v>9.5000000000000015E-2</v>
      </c>
      <c r="L42" s="298" t="str">
        <f>CONCATENATE(ROUND('DCF input'!F99,)," / ",ROUND('DCF input'!F108,0),"c")</f>
        <v>698 / 308c</v>
      </c>
      <c r="M42" s="298" t="str">
        <f>CONCATENATE(ROUND('DCF input'!G99,)," / ",ROUND('DCF input'!G108,0),"c")</f>
        <v>707 / 313c</v>
      </c>
      <c r="N42" s="298" t="str">
        <f>CONCATENATE(ROUND('DCF input'!H99,)," / ",ROUND('DCF input'!H108,0),"c")</f>
        <v>717 / 318c</v>
      </c>
      <c r="O42" s="298" t="str">
        <f>CONCATENATE(ROUND('DCF input'!I99,)," / ",ROUND('DCF input'!I108,0),"c")</f>
        <v>727 / 323c</v>
      </c>
      <c r="P42" s="298" t="str">
        <f>CONCATENATE(ROUND('DCF input'!J99,)," / ",ROUND('DCF input'!J108,0),"c")</f>
        <v>737 / 328c</v>
      </c>
      <c r="Q42" s="232"/>
      <c r="R42" s="232"/>
      <c r="S42" s="232"/>
      <c r="T42" s="203"/>
      <c r="U42" s="203"/>
    </row>
    <row r="43" spans="1:22" ht="20.25" customHeight="1">
      <c r="B43" s="126"/>
      <c r="C43" s="289" t="s">
        <v>28</v>
      </c>
      <c r="D43" s="230"/>
      <c r="E43" s="230"/>
      <c r="F43" s="286">
        <f>+F42/Assumptions!D16-1</f>
        <v>1.1316534867612358</v>
      </c>
      <c r="G43" s="285"/>
      <c r="H43" s="126"/>
      <c r="I43" s="126"/>
      <c r="J43" s="126"/>
      <c r="K43" s="126"/>
      <c r="L43" s="126"/>
      <c r="M43" s="126"/>
      <c r="N43" s="203"/>
      <c r="O43" s="203"/>
      <c r="P43" s="203"/>
      <c r="Q43" s="203"/>
      <c r="R43" s="203"/>
      <c r="S43" s="203"/>
      <c r="T43" s="203"/>
      <c r="U43" s="203"/>
    </row>
    <row r="44" spans="1:22" ht="16" customHeight="1">
      <c r="B44" s="126"/>
      <c r="C44" s="203"/>
      <c r="D44" s="203"/>
      <c r="E44" s="203"/>
      <c r="F44" s="203"/>
      <c r="G44" s="203"/>
      <c r="H44" s="126"/>
      <c r="I44" s="126"/>
      <c r="J44" s="126"/>
      <c r="K44" s="126"/>
      <c r="L44" s="126"/>
      <c r="M44" s="126"/>
      <c r="N44" s="203"/>
      <c r="O44" s="203"/>
      <c r="P44" s="203"/>
      <c r="Q44" s="203"/>
      <c r="R44" s="203"/>
      <c r="S44" s="203"/>
      <c r="T44" s="203"/>
      <c r="U44" s="203"/>
      <c r="V44" s="235"/>
    </row>
    <row r="45" spans="1:22">
      <c r="N45" s="236"/>
      <c r="O45" s="236"/>
      <c r="P45" s="236"/>
      <c r="Q45" s="236"/>
      <c r="R45" s="236"/>
      <c r="S45" s="236"/>
      <c r="T45" s="236"/>
      <c r="U45" s="236"/>
    </row>
    <row r="46" spans="1:22">
      <c r="N46" s="236"/>
      <c r="O46" s="236"/>
      <c r="P46" s="236"/>
      <c r="Q46" s="236"/>
      <c r="R46" s="236"/>
      <c r="S46" s="236"/>
      <c r="T46" s="236"/>
      <c r="U46" s="236"/>
    </row>
    <row r="47" spans="1:22">
      <c r="N47" s="236"/>
      <c r="O47" s="236"/>
      <c r="P47" s="236"/>
      <c r="Q47" s="236"/>
      <c r="R47" s="236"/>
      <c r="S47" s="236"/>
      <c r="T47" s="236"/>
      <c r="U47" s="236"/>
    </row>
    <row r="48" spans="1:22">
      <c r="N48" s="236"/>
      <c r="O48" s="236"/>
      <c r="P48" s="236"/>
      <c r="Q48" s="236"/>
      <c r="R48" s="236"/>
      <c r="S48" s="236"/>
      <c r="T48" s="236"/>
      <c r="U48" s="23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davin nathan</cp:lastModifiedBy>
  <cp:lastPrinted>2019-02-04T16:32:05Z</cp:lastPrinted>
  <dcterms:created xsi:type="dcterms:W3CDTF">2010-12-03T17:25:22Z</dcterms:created>
  <dcterms:modified xsi:type="dcterms:W3CDTF">2021-03-15T08:04:49Z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