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7.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10.xml" ContentType="application/vnd.openxmlformats-officedocument.spreadsheetml.table+xml"/>
  <Override PartName="/xl/drawings/drawing15.xml" ContentType="application/vnd.openxmlformats-officedocument.drawing+xml"/>
  <Override PartName="/xl/tables/table11.xml" ContentType="application/vnd.openxmlformats-officedocument.spreadsheetml.table+xml"/>
  <Override PartName="/xl/drawings/drawing16.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طرح ها\طرح های 1403\شرکت ایمن جام البرز\"/>
    </mc:Choice>
  </mc:AlternateContent>
  <xr:revisionPtr revIDLastSave="0" documentId="13_ncr:1_{C0EC971C-0A1A-4701-A35E-9DCC4630C141}" xr6:coauthVersionLast="47" xr6:coauthVersionMax="47" xr10:uidLastSave="{00000000-0000-0000-0000-000000000000}"/>
  <bookViews>
    <workbookView xWindow="-120" yWindow="-120" windowWidth="29040" windowHeight="15840" tabRatio="897" activeTab="16" xr2:uid="{00000000-000D-0000-FFFF-FFFF00000000}"/>
  </bookViews>
  <sheets>
    <sheet name="خلاصه " sheetId="3" r:id="rId1"/>
    <sheet name="زمین" sheetId="12" r:id="rId2"/>
    <sheet name="محوطه" sheetId="11" r:id="rId3"/>
    <sheet name="ساختمان" sheetId="10" r:id="rId4"/>
    <sheet name="تاسیسات" sheetId="8" r:id="rId5"/>
    <sheet name="ماشین آلات" sheetId="9" r:id="rId6"/>
    <sheet name="-نقلیه" sheetId="23" r:id="rId7"/>
    <sheet name="قبل از" sheetId="7" r:id="rId8"/>
    <sheet name="جمع سرمایه ثابت" sheetId="6" r:id="rId9"/>
    <sheet name="جمع هزینه" sheetId="2" r:id="rId10"/>
    <sheet name="سرمایه در گردش" sheetId="19" r:id="rId11"/>
    <sheet name="مواد اولیه" sheetId="17" r:id="rId12"/>
    <sheet name="انرژی" sheetId="15" r:id="rId13"/>
    <sheet name="حقوق" sheetId="14" r:id="rId14"/>
    <sheet name="استهلاک" sheetId="20" r:id="rId15"/>
    <sheet name="نت" sheetId="16" r:id="rId16"/>
    <sheet name="فروش" sheetId="4" r:id="rId17"/>
    <sheet name="سود" sheetId="24" r:id="rId18"/>
    <sheet name="مالیات" sheetId="21" r:id="rId19"/>
    <sheet name="منابع و مصارف" sheetId="13" r:id="rId20"/>
  </sheets>
  <definedNames>
    <definedName name="_Toc54132025" localSheetId="9">'جمع هزینه'!$A$3</definedName>
    <definedName name="_Toc54588573" localSheetId="0">'خلاصه '!$A$3</definedName>
    <definedName name="_xlnm.Print_Area" localSheetId="6">'-نقلیه'!$B$1:$K$15</definedName>
    <definedName name="_xlnm.Print_Area" localSheetId="14">استهلاک!$A$1:$H$22</definedName>
    <definedName name="_xlnm.Print_Area" localSheetId="12">انرژی!$A$1:$I$14</definedName>
    <definedName name="_xlnm.Print_Area" localSheetId="4">تاسیسات!$A$1:$I$41</definedName>
    <definedName name="_xlnm.Print_Area" localSheetId="8">'جمع سرمایه ثابت'!$A$1:$F$43</definedName>
    <definedName name="_xlnm.Print_Area" localSheetId="9">'جمع هزینه'!$A$1:$J$53</definedName>
    <definedName name="_xlnm.Print_Area" localSheetId="13">حقوق!$A$1:$G$33</definedName>
    <definedName name="_xlnm.Print_Area" localSheetId="0">'خلاصه '!$A$1:$G$71</definedName>
    <definedName name="_xlnm.Print_Area" localSheetId="1">زمین!$A$1:$H$44</definedName>
    <definedName name="_xlnm.Print_Area" localSheetId="3">ساختمان!$A$1:$I$108</definedName>
    <definedName name="_xlnm.Print_Area" localSheetId="10">'سرمایه در گردش'!$A$1:$F$93</definedName>
    <definedName name="_xlnm.Print_Area" localSheetId="17">سود!$A$1:$G$34</definedName>
    <definedName name="_xlnm.Print_Area" localSheetId="16">فروش!$A$1:$H$75</definedName>
    <definedName name="_xlnm.Print_Area" localSheetId="7">'قبل از'!$A$1:$G$41</definedName>
    <definedName name="_xlnm.Print_Area" localSheetId="5">'ماشین آلات'!$A$1:$J$41</definedName>
    <definedName name="_xlnm.Print_Area" localSheetId="18">مالیات!$A$1:$H$43</definedName>
    <definedName name="_xlnm.Print_Area" localSheetId="2">محوطه!$A$1:$I$83</definedName>
    <definedName name="_xlnm.Print_Area" localSheetId="11">'مواد اولیه'!$A$1:$G$15</definedName>
    <definedName name="_xlnm.Print_Area" localSheetId="15">نت!$A$1:$F$33</definedName>
    <definedName name="_xlnm.Print_Titles" localSheetId="6">'-نقلیه'!$1:$2</definedName>
    <definedName name="_xlnm.Print_Titles" localSheetId="14">استهلاک!$1:$2</definedName>
    <definedName name="_xlnm.Print_Titles" localSheetId="12">انرژی!$1:$2</definedName>
    <definedName name="_xlnm.Print_Titles" localSheetId="4">تاسیسات!$1:$2</definedName>
    <definedName name="_xlnm.Print_Titles" localSheetId="8">'جمع سرمایه ثابت'!$1:$2</definedName>
    <definedName name="_xlnm.Print_Titles" localSheetId="9">'جمع هزینه'!$1:$2</definedName>
    <definedName name="_xlnm.Print_Titles" localSheetId="13">حقوق!$1:$2</definedName>
    <definedName name="_xlnm.Print_Titles" localSheetId="0">'خلاصه '!$1:$2</definedName>
    <definedName name="_xlnm.Print_Titles" localSheetId="1">زمین!$1:$2</definedName>
    <definedName name="_xlnm.Print_Titles" localSheetId="3">ساختمان!$1:$2</definedName>
    <definedName name="_xlnm.Print_Titles" localSheetId="10">'سرمایه در گردش'!$1:$2</definedName>
    <definedName name="_xlnm.Print_Titles" localSheetId="7">'قبل از'!$1:$2</definedName>
    <definedName name="_xlnm.Print_Titles" localSheetId="5">'ماشین آلات'!$1:$2</definedName>
    <definedName name="_xlnm.Print_Titles" localSheetId="18">مالیات!$1:$2</definedName>
    <definedName name="_xlnm.Print_Titles" localSheetId="2">محوطه!$1:$2</definedName>
    <definedName name="_xlnm.Print_Titles" localSheetId="19">'منابع و مصارف'!$1:$2</definedName>
    <definedName name="_xlnm.Print_Titles" localSheetId="11">'مواد اولیه'!$1:$2</definedName>
    <definedName name="_xlnm.Print_Titles" localSheetId="15">نت!$1:$2</definedName>
    <definedName name="ص" localSheetId="6">#REF!</definedName>
    <definedName name="ص" localSheetId="17">#REF!</definedName>
    <definedName name="ص">#REF!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7" l="1"/>
  <c r="I24" i="6"/>
  <c r="C19" i="2"/>
  <c r="F19" i="2"/>
  <c r="G19" i="2"/>
  <c r="H19" i="2"/>
  <c r="J19" i="2"/>
  <c r="D19" i="2" s="1"/>
  <c r="A29" i="24"/>
  <c r="G29" i="24"/>
  <c r="H8" i="15"/>
  <c r="E27" i="14"/>
  <c r="F27" i="14"/>
  <c r="G27" i="14"/>
  <c r="E28" i="14"/>
  <c r="F28" i="14"/>
  <c r="G28" i="14"/>
  <c r="D11" i="17"/>
  <c r="F10" i="7"/>
  <c r="J18" i="9"/>
  <c r="I18" i="9" s="1"/>
  <c r="D18" i="9" s="1"/>
  <c r="J17" i="9"/>
  <c r="I17" i="9" s="1"/>
  <c r="D17" i="9" s="1"/>
  <c r="G16" i="9"/>
  <c r="J16" i="9" s="1"/>
  <c r="I16" i="9" s="1"/>
  <c r="D16" i="9" s="1"/>
  <c r="G15" i="9"/>
  <c r="J15" i="9" s="1"/>
  <c r="G14" i="9"/>
  <c r="J14" i="9" s="1"/>
  <c r="G13" i="9"/>
  <c r="J13" i="9" s="1"/>
  <c r="G12" i="9"/>
  <c r="J12" i="9" s="1"/>
  <c r="I12" i="9" s="1"/>
  <c r="D12" i="9" s="1"/>
  <c r="G11" i="9"/>
  <c r="J11" i="9" s="1"/>
  <c r="I11" i="9" s="1"/>
  <c r="D11" i="9" s="1"/>
  <c r="G10" i="9"/>
  <c r="J10" i="9" s="1"/>
  <c r="G9" i="9"/>
  <c r="J9" i="9" s="1"/>
  <c r="E13" i="11"/>
  <c r="E15" i="11"/>
  <c r="E17" i="11"/>
  <c r="E16" i="11"/>
  <c r="I11" i="10"/>
  <c r="I12" i="10"/>
  <c r="I13" i="10"/>
  <c r="I10" i="10"/>
  <c r="C13" i="10"/>
  <c r="D11" i="12"/>
  <c r="C9" i="13"/>
  <c r="C8" i="13"/>
  <c r="G8" i="15"/>
  <c r="F29" i="14"/>
  <c r="F26" i="14"/>
  <c r="F18" i="14"/>
  <c r="F17" i="14"/>
  <c r="G16" i="14"/>
  <c r="F16" i="14"/>
  <c r="G9" i="17"/>
  <c r="E29" i="24" l="1"/>
  <c r="D29" i="24"/>
  <c r="C29" i="24"/>
  <c r="C11" i="9"/>
  <c r="I13" i="9"/>
  <c r="D13" i="9" s="1"/>
  <c r="C13" i="9"/>
  <c r="C9" i="9"/>
  <c r="I9" i="9"/>
  <c r="C14" i="9"/>
  <c r="I14" i="9"/>
  <c r="D14" i="9" s="1"/>
  <c r="C10" i="9"/>
  <c r="I10" i="9"/>
  <c r="D10" i="9" s="1"/>
  <c r="C15" i="9"/>
  <c r="I15" i="9"/>
  <c r="D15" i="9" s="1"/>
  <c r="C12" i="9"/>
  <c r="C16" i="9"/>
  <c r="C17" i="9"/>
  <c r="C18" i="9"/>
  <c r="C12" i="10"/>
  <c r="H12" i="10"/>
  <c r="D12" i="10" s="1"/>
  <c r="H13" i="10"/>
  <c r="D13" i="10" s="1"/>
  <c r="J18" i="2"/>
  <c r="I19" i="9" l="1"/>
  <c r="D9" i="9"/>
  <c r="E32" i="9"/>
  <c r="H32" i="9"/>
  <c r="B14" i="6" s="1"/>
  <c r="J26" i="9"/>
  <c r="C26" i="9" s="1"/>
  <c r="J25" i="9"/>
  <c r="C25" i="9" s="1"/>
  <c r="I11" i="23"/>
  <c r="B13" i="6" s="1"/>
  <c r="G11" i="23"/>
  <c r="K10" i="23"/>
  <c r="J10" i="23" s="1"/>
  <c r="F10" i="23" s="1"/>
  <c r="K9" i="23"/>
  <c r="J9" i="23" s="1"/>
  <c r="F9" i="23" s="1"/>
  <c r="K8" i="23"/>
  <c r="E8" i="23" s="1"/>
  <c r="J31" i="9"/>
  <c r="C31" i="9" s="1"/>
  <c r="J30" i="9"/>
  <c r="I30" i="9" s="1"/>
  <c r="D30" i="9" s="1"/>
  <c r="J29" i="9"/>
  <c r="I29" i="9" s="1"/>
  <c r="D29" i="9" s="1"/>
  <c r="J28" i="9"/>
  <c r="I28" i="9" s="1"/>
  <c r="D28" i="9" s="1"/>
  <c r="J27" i="9"/>
  <c r="I27" i="9" s="1"/>
  <c r="D27" i="9" s="1"/>
  <c r="J19" i="9" l="1"/>
  <c r="D19" i="9"/>
  <c r="E9" i="23"/>
  <c r="E10" i="23"/>
  <c r="J32" i="9"/>
  <c r="I26" i="9"/>
  <c r="D26" i="9" s="1"/>
  <c r="I25" i="9"/>
  <c r="D25" i="9" s="1"/>
  <c r="C27" i="9"/>
  <c r="K11" i="23"/>
  <c r="D13" i="6" s="1"/>
  <c r="J8" i="23"/>
  <c r="F8" i="23" s="1"/>
  <c r="C28" i="9"/>
  <c r="C29" i="9"/>
  <c r="C30" i="9"/>
  <c r="I31" i="9"/>
  <c r="D31" i="9" s="1"/>
  <c r="H40" i="9"/>
  <c r="B15" i="6" s="1"/>
  <c r="E40" i="9"/>
  <c r="H20" i="9"/>
  <c r="E20" i="9"/>
  <c r="J39" i="9"/>
  <c r="I39" i="9" s="1"/>
  <c r="J38" i="9"/>
  <c r="I38" i="9" s="1"/>
  <c r="J37" i="9"/>
  <c r="I37" i="9" s="1"/>
  <c r="I40" i="9" l="1"/>
  <c r="J40" i="9"/>
  <c r="I32" i="9"/>
  <c r="C14" i="6" s="1"/>
  <c r="H14" i="6" s="1"/>
  <c r="E11" i="23"/>
  <c r="J11" i="23"/>
  <c r="C32" i="9"/>
  <c r="D14" i="6"/>
  <c r="D2" i="12"/>
  <c r="C12" i="7"/>
  <c r="D32" i="9" l="1"/>
  <c r="F11" i="23"/>
  <c r="C13" i="6"/>
  <c r="C40" i="9"/>
  <c r="D15" i="6"/>
  <c r="D40" i="9"/>
  <c r="C15" i="6"/>
  <c r="H15" i="6" s="1"/>
  <c r="B18" i="13"/>
  <c r="A17" i="13"/>
  <c r="A18" i="13"/>
  <c r="A16" i="13"/>
  <c r="D18" i="24"/>
  <c r="E18" i="24"/>
  <c r="F18" i="24"/>
  <c r="F29" i="24" s="1"/>
  <c r="G18" i="24"/>
  <c r="C18" i="24"/>
  <c r="A21" i="24"/>
  <c r="A22" i="24"/>
  <c r="A23" i="24"/>
  <c r="A24" i="24"/>
  <c r="A25" i="24"/>
  <c r="A26" i="24"/>
  <c r="A27" i="24"/>
  <c r="A28" i="24"/>
  <c r="A30" i="24"/>
  <c r="A20" i="24"/>
  <c r="D44" i="24" l="1"/>
  <c r="A14" i="24"/>
  <c r="A13" i="24"/>
  <c r="A12" i="24"/>
  <c r="A11" i="24"/>
  <c r="A10" i="24"/>
  <c r="D9" i="24"/>
  <c r="A8" i="24"/>
  <c r="D13" i="24"/>
  <c r="A9" i="24"/>
  <c r="D14" i="24"/>
  <c r="C14" i="24"/>
  <c r="C13" i="24"/>
  <c r="D12" i="24"/>
  <c r="C12" i="24"/>
  <c r="C11" i="24"/>
  <c r="D10" i="24"/>
  <c r="C10" i="24"/>
  <c r="E9" i="24"/>
  <c r="C9" i="24"/>
  <c r="G8" i="24"/>
  <c r="F8" i="24"/>
  <c r="E8" i="24"/>
  <c r="D8" i="24"/>
  <c r="C8" i="24"/>
  <c r="C1" i="24"/>
  <c r="F11" i="24" l="1"/>
  <c r="E11" i="24"/>
  <c r="E10" i="24"/>
  <c r="E12" i="24"/>
  <c r="E14" i="24"/>
  <c r="D11" i="24"/>
  <c r="F9" i="24"/>
  <c r="G9" i="24"/>
  <c r="G11" i="24"/>
  <c r="C20" i="4"/>
  <c r="G14" i="24" l="1"/>
  <c r="F14" i="24"/>
  <c r="G12" i="24"/>
  <c r="F12" i="24"/>
  <c r="G10" i="24"/>
  <c r="F10" i="24"/>
  <c r="E13" i="24"/>
  <c r="F13" i="24" l="1"/>
  <c r="G13" i="24"/>
  <c r="G11" i="17"/>
  <c r="G13" i="17" s="1"/>
  <c r="G12" i="17"/>
  <c r="E17" i="2" l="1"/>
  <c r="H11" i="12"/>
  <c r="G28" i="24" l="1"/>
  <c r="E28" i="24" s="1"/>
  <c r="J20" i="9"/>
  <c r="F28" i="24" l="1"/>
  <c r="C28" i="24"/>
  <c r="D28" i="24"/>
  <c r="I20" i="9"/>
  <c r="D20" i="9" s="1"/>
  <c r="G14" i="10"/>
  <c r="E14" i="10"/>
  <c r="I17" i="11" l="1"/>
  <c r="C17" i="11" s="1"/>
  <c r="I15" i="11"/>
  <c r="C15" i="11" s="1"/>
  <c r="G17" i="2" l="1"/>
  <c r="G17" i="14" l="1"/>
  <c r="E17" i="14"/>
  <c r="C30" i="14"/>
  <c r="E29" i="14"/>
  <c r="G29" i="14"/>
  <c r="H11" i="10" l="1"/>
  <c r="D11" i="10" s="1"/>
  <c r="C11" i="10"/>
  <c r="E1" i="23"/>
  <c r="D11" i="19"/>
  <c r="B14" i="3"/>
  <c r="B15" i="3"/>
  <c r="B16" i="3"/>
  <c r="C11" i="20" l="1"/>
  <c r="G11" i="20" s="1"/>
  <c r="H11" i="20" s="1"/>
  <c r="D16" i="13"/>
  <c r="E13" i="6"/>
  <c r="F14" i="3" s="1"/>
  <c r="B16" i="13"/>
  <c r="B17" i="13"/>
  <c r="E14" i="6"/>
  <c r="F15" i="3" s="1"/>
  <c r="C13" i="20"/>
  <c r="G13" i="20" s="1"/>
  <c r="H13" i="20" s="1"/>
  <c r="E15" i="6"/>
  <c r="F16" i="3" s="1"/>
  <c r="D18" i="13"/>
  <c r="C12" i="20"/>
  <c r="G12" i="20" s="1"/>
  <c r="H12" i="20" s="1"/>
  <c r="D17" i="13"/>
  <c r="E15" i="3"/>
  <c r="C15" i="3"/>
  <c r="E16" i="3"/>
  <c r="E14" i="3"/>
  <c r="C16" i="3"/>
  <c r="C14" i="3"/>
  <c r="D14" i="3" l="1"/>
  <c r="F13" i="6"/>
  <c r="G14" i="3" s="1"/>
  <c r="C16" i="13"/>
  <c r="H13" i="6"/>
  <c r="F14" i="6"/>
  <c r="G15" i="3" s="1"/>
  <c r="D16" i="3"/>
  <c r="F15" i="6"/>
  <c r="G16" i="3" s="1"/>
  <c r="C18" i="13"/>
  <c r="C17" i="13"/>
  <c r="D15" i="3"/>
  <c r="C22" i="4"/>
  <c r="D9" i="4" l="1"/>
  <c r="D33" i="4" s="1"/>
  <c r="C7" i="24" s="1"/>
  <c r="D8" i="4"/>
  <c r="D32" i="4" s="1"/>
  <c r="C6" i="24" s="1"/>
  <c r="F14" i="7"/>
  <c r="F13" i="7"/>
  <c r="F12" i="7"/>
  <c r="D12" i="7" s="1"/>
  <c r="I14" i="11"/>
  <c r="C14" i="11" s="1"/>
  <c r="C2" i="24"/>
  <c r="C15" i="24" l="1"/>
  <c r="E26" i="14"/>
  <c r="E19" i="14"/>
  <c r="E16" i="14"/>
  <c r="E18" i="14"/>
  <c r="C20" i="14"/>
  <c r="E30" i="14" l="1"/>
  <c r="E20" i="14"/>
  <c r="G10" i="17"/>
  <c r="G14" i="17" s="1"/>
  <c r="C23" i="4"/>
  <c r="E23" i="4"/>
  <c r="F23" i="4" s="1"/>
  <c r="G23" i="4" s="1"/>
  <c r="H23" i="4" s="1"/>
  <c r="E11" i="14" l="1"/>
  <c r="I20" i="14"/>
  <c r="E22" i="4"/>
  <c r="F22" i="4" s="1"/>
  <c r="G22" i="4" s="1"/>
  <c r="H22" i="4" s="1"/>
  <c r="F15" i="4" l="1"/>
  <c r="D15" i="4"/>
  <c r="D39" i="4" s="1"/>
  <c r="E15" i="4"/>
  <c r="G15" i="4"/>
  <c r="H15" i="4"/>
  <c r="B39" i="4"/>
  <c r="E27" i="4"/>
  <c r="F27" i="4" s="1"/>
  <c r="G27" i="4" s="1"/>
  <c r="H27" i="4" s="1"/>
  <c r="H39" i="4" l="1"/>
  <c r="F39" i="4"/>
  <c r="E39" i="4"/>
  <c r="G39" i="4"/>
  <c r="I16" i="11" l="1"/>
  <c r="C16" i="11" s="1"/>
  <c r="D16" i="4" l="1"/>
  <c r="D40" i="4" s="1"/>
  <c r="E16" i="4"/>
  <c r="F16" i="4"/>
  <c r="G16" i="4"/>
  <c r="H16" i="4"/>
  <c r="B40" i="4"/>
  <c r="E28" i="4"/>
  <c r="F28" i="4" s="1"/>
  <c r="G28" i="4" s="1"/>
  <c r="H28" i="4" s="1"/>
  <c r="H40" i="4" l="1"/>
  <c r="F40" i="4"/>
  <c r="E40" i="4"/>
  <c r="G40" i="4"/>
  <c r="B38" i="4" l="1"/>
  <c r="E26" i="4"/>
  <c r="F26" i="4" s="1"/>
  <c r="G26" i="4" s="1"/>
  <c r="H26" i="4" s="1"/>
  <c r="D14" i="4"/>
  <c r="D38" i="4" s="1"/>
  <c r="C16" i="19" l="1"/>
  <c r="D16" i="19" s="1"/>
  <c r="F11" i="7" l="1"/>
  <c r="F9" i="7"/>
  <c r="F8" i="7"/>
  <c r="I17" i="8"/>
  <c r="H17" i="8" l="1"/>
  <c r="C17" i="8"/>
  <c r="F7" i="19"/>
  <c r="E7" i="19" s="1"/>
  <c r="G26" i="14"/>
  <c r="G18" i="14"/>
  <c r="G19" i="14"/>
  <c r="F19" i="14"/>
  <c r="C2" i="14"/>
  <c r="C1" i="14"/>
  <c r="F30" i="14" l="1"/>
  <c r="G30" i="14"/>
  <c r="I30" i="14"/>
  <c r="F20" i="14"/>
  <c r="G20" i="14"/>
  <c r="E44" i="4"/>
  <c r="F44" i="4"/>
  <c r="G44" i="4"/>
  <c r="H44" i="4"/>
  <c r="D45" i="4"/>
  <c r="D44" i="4"/>
  <c r="F11" i="14" l="1"/>
  <c r="G11" i="14"/>
  <c r="D1" i="15"/>
  <c r="G13" i="15"/>
  <c r="I13" i="15" s="1"/>
  <c r="K13" i="15" s="1"/>
  <c r="G12" i="15"/>
  <c r="I12" i="15" s="1"/>
  <c r="K12" i="15" s="1"/>
  <c r="G11" i="15"/>
  <c r="I11" i="15" s="1"/>
  <c r="K11" i="15" s="1"/>
  <c r="G10" i="15"/>
  <c r="I10" i="15" s="1"/>
  <c r="K10" i="15" s="1"/>
  <c r="G9" i="15"/>
  <c r="I9" i="15" s="1"/>
  <c r="K9" i="15" s="1"/>
  <c r="I8" i="15"/>
  <c r="K8" i="15" s="1"/>
  <c r="C17" i="2" l="1"/>
  <c r="H17" i="2"/>
  <c r="F17" i="2"/>
  <c r="C11" i="14"/>
  <c r="D11" i="14" s="1"/>
  <c r="I14" i="15"/>
  <c r="K14" i="15" s="1"/>
  <c r="E10" i="2" l="1"/>
  <c r="G21" i="24" s="1"/>
  <c r="E21" i="24" l="1"/>
  <c r="C21" i="24"/>
  <c r="F21" i="24"/>
  <c r="D21" i="24"/>
  <c r="C10" i="2"/>
  <c r="H10" i="2"/>
  <c r="G10" i="2"/>
  <c r="F10" i="2"/>
  <c r="C1" i="21"/>
  <c r="D1" i="4"/>
  <c r="C1" i="16"/>
  <c r="C1" i="20"/>
  <c r="C1" i="17"/>
  <c r="C1" i="19"/>
  <c r="B1" i="13"/>
  <c r="D1" i="2" s="1"/>
  <c r="B1" i="6"/>
  <c r="C1" i="9"/>
  <c r="C1" i="8" s="1"/>
  <c r="C1" i="7" s="1"/>
  <c r="C2" i="11"/>
  <c r="C2" i="10" s="1"/>
  <c r="B2" i="6" l="1"/>
  <c r="E2" i="23"/>
  <c r="C2" i="21"/>
  <c r="D2" i="15"/>
  <c r="C2" i="20"/>
  <c r="C2" i="16"/>
  <c r="C2" i="19"/>
  <c r="D2" i="4"/>
  <c r="C2" i="9"/>
  <c r="C2" i="8" s="1"/>
  <c r="C2" i="7" s="1"/>
  <c r="B2" i="13"/>
  <c r="D2" i="2"/>
  <c r="C2" i="17"/>
  <c r="D28" i="3" l="1"/>
  <c r="C28" i="3"/>
  <c r="J9" i="2" l="1"/>
  <c r="J10" i="2"/>
  <c r="D10" i="2" s="1"/>
  <c r="J11" i="2"/>
  <c r="J12" i="2"/>
  <c r="J13" i="2"/>
  <c r="J14" i="2"/>
  <c r="J15" i="2"/>
  <c r="J16" i="2"/>
  <c r="J17" i="2"/>
  <c r="D17" i="2" s="1"/>
  <c r="J20" i="2"/>
  <c r="C21" i="13"/>
  <c r="B20" i="13"/>
  <c r="B7" i="13"/>
  <c r="D24" i="6"/>
  <c r="D7" i="13" s="1"/>
  <c r="C7" i="13" s="1"/>
  <c r="G15" i="7"/>
  <c r="D16" i="6" s="1"/>
  <c r="C14" i="20" s="1"/>
  <c r="E15" i="7"/>
  <c r="D14" i="7"/>
  <c r="C14" i="7"/>
  <c r="D13" i="7"/>
  <c r="C13" i="7"/>
  <c r="D11" i="7"/>
  <c r="C11" i="7"/>
  <c r="D10" i="7"/>
  <c r="C10" i="7"/>
  <c r="D9" i="7"/>
  <c r="C9" i="7"/>
  <c r="D8" i="7"/>
  <c r="C8" i="7"/>
  <c r="D7" i="7"/>
  <c r="C7" i="7"/>
  <c r="G18" i="8"/>
  <c r="E18" i="8"/>
  <c r="I16" i="8"/>
  <c r="I15" i="8"/>
  <c r="I14" i="8"/>
  <c r="I13" i="8"/>
  <c r="I12" i="8"/>
  <c r="I11" i="8"/>
  <c r="I10" i="8"/>
  <c r="I9" i="8"/>
  <c r="B11" i="6"/>
  <c r="G19" i="11"/>
  <c r="B9" i="6" s="1"/>
  <c r="I18" i="11"/>
  <c r="H17" i="11"/>
  <c r="D17" i="11" s="1"/>
  <c r="H16" i="11"/>
  <c r="D16" i="11" s="1"/>
  <c r="H15" i="11"/>
  <c r="D15" i="11" s="1"/>
  <c r="H14" i="11"/>
  <c r="D14" i="11" s="1"/>
  <c r="I13" i="11"/>
  <c r="C13" i="11" s="1"/>
  <c r="I12" i="11"/>
  <c r="C12" i="11" s="1"/>
  <c r="F13" i="12"/>
  <c r="B8" i="6" s="1"/>
  <c r="B11" i="13" s="1"/>
  <c r="H12" i="12"/>
  <c r="G12" i="12" s="1"/>
  <c r="D13" i="12"/>
  <c r="H11" i="8" l="1"/>
  <c r="D11" i="8" s="1"/>
  <c r="C11" i="8"/>
  <c r="H12" i="8"/>
  <c r="D12" i="8" s="1"/>
  <c r="C12" i="8"/>
  <c r="H18" i="11"/>
  <c r="D18" i="11" s="1"/>
  <c r="C18" i="11"/>
  <c r="H9" i="8"/>
  <c r="D9" i="8" s="1"/>
  <c r="C9" i="8"/>
  <c r="H13" i="8"/>
  <c r="D13" i="8" s="1"/>
  <c r="C13" i="8"/>
  <c r="H15" i="8"/>
  <c r="D15" i="8" s="1"/>
  <c r="C15" i="8"/>
  <c r="H16" i="8"/>
  <c r="D16" i="8" s="1"/>
  <c r="C16" i="8"/>
  <c r="D17" i="8"/>
  <c r="B12" i="13"/>
  <c r="H10" i="8"/>
  <c r="D10" i="8" s="1"/>
  <c r="C10" i="8"/>
  <c r="H14" i="8"/>
  <c r="D14" i="8" s="1"/>
  <c r="C14" i="8"/>
  <c r="B12" i="6"/>
  <c r="B14" i="13"/>
  <c r="I14" i="10"/>
  <c r="C14" i="10" s="1"/>
  <c r="C10" i="10"/>
  <c r="G14" i="20"/>
  <c r="H14" i="20" s="1"/>
  <c r="D19" i="13"/>
  <c r="B10" i="6"/>
  <c r="E13" i="2"/>
  <c r="G24" i="24" s="1"/>
  <c r="H13" i="11"/>
  <c r="D13" i="11" s="1"/>
  <c r="H13" i="12"/>
  <c r="D8" i="6" s="1"/>
  <c r="C6" i="20" s="1"/>
  <c r="G6" i="20" s="1"/>
  <c r="E9" i="2"/>
  <c r="C15" i="7"/>
  <c r="B16" i="6"/>
  <c r="I19" i="11"/>
  <c r="D9" i="6" s="1"/>
  <c r="C7" i="20" s="1"/>
  <c r="F15" i="7"/>
  <c r="I18" i="8"/>
  <c r="D12" i="6" s="1"/>
  <c r="C10" i="20" s="1"/>
  <c r="H10" i="10"/>
  <c r="H12" i="11"/>
  <c r="G11" i="12"/>
  <c r="G13" i="12" s="1"/>
  <c r="C8" i="6" s="1"/>
  <c r="E20" i="4"/>
  <c r="E8" i="4"/>
  <c r="F8" i="4"/>
  <c r="G8" i="4"/>
  <c r="H8" i="4"/>
  <c r="E9" i="4"/>
  <c r="F9" i="4"/>
  <c r="G9" i="4"/>
  <c r="H9" i="4"/>
  <c r="D10" i="4"/>
  <c r="D34" i="4" s="1"/>
  <c r="E10" i="4"/>
  <c r="F10" i="4"/>
  <c r="G10" i="4"/>
  <c r="H10" i="4"/>
  <c r="D11" i="4"/>
  <c r="D35" i="4" s="1"/>
  <c r="E11" i="4"/>
  <c r="F11" i="4"/>
  <c r="G11" i="4"/>
  <c r="H11" i="4"/>
  <c r="D12" i="4"/>
  <c r="D36" i="4" s="1"/>
  <c r="E12" i="4"/>
  <c r="F12" i="4"/>
  <c r="G12" i="4"/>
  <c r="H12" i="4"/>
  <c r="D13" i="4"/>
  <c r="D37" i="4" s="1"/>
  <c r="E13" i="4"/>
  <c r="F13" i="4"/>
  <c r="G13" i="4"/>
  <c r="H13" i="4"/>
  <c r="E14" i="4"/>
  <c r="E38" i="4" s="1"/>
  <c r="F14" i="4"/>
  <c r="F38" i="4" s="1"/>
  <c r="G14" i="4"/>
  <c r="G38" i="4" s="1"/>
  <c r="H14" i="4"/>
  <c r="H38" i="4" s="1"/>
  <c r="D19" i="4"/>
  <c r="D31" i="4" s="1"/>
  <c r="C5" i="24" s="1"/>
  <c r="C19" i="24" s="1"/>
  <c r="B32" i="4"/>
  <c r="A6" i="24" s="1"/>
  <c r="C21" i="4"/>
  <c r="B33" i="4" s="1"/>
  <c r="A7" i="24" s="1"/>
  <c r="E21" i="4"/>
  <c r="F21" i="4" s="1"/>
  <c r="G21" i="4" s="1"/>
  <c r="H21" i="4" s="1"/>
  <c r="B34" i="4"/>
  <c r="B35" i="4"/>
  <c r="B36" i="4"/>
  <c r="E24" i="4"/>
  <c r="F24" i="4" s="1"/>
  <c r="B37" i="4"/>
  <c r="E25" i="4"/>
  <c r="F25" i="4" s="1"/>
  <c r="G25" i="4" s="1"/>
  <c r="H25" i="4" s="1"/>
  <c r="G26" i="3"/>
  <c r="B28" i="3"/>
  <c r="B10" i="3"/>
  <c r="B11" i="3"/>
  <c r="B12" i="3"/>
  <c r="B13" i="3"/>
  <c r="B17" i="3"/>
  <c r="B18" i="3"/>
  <c r="C18" i="3"/>
  <c r="C26" i="3"/>
  <c r="D26" i="3"/>
  <c r="E26" i="3"/>
  <c r="F26" i="3"/>
  <c r="B27" i="3"/>
  <c r="B9" i="3"/>
  <c r="C18" i="8" l="1"/>
  <c r="D10" i="6"/>
  <c r="C8" i="20" s="1"/>
  <c r="G8" i="20" s="1"/>
  <c r="H8" i="20" s="1"/>
  <c r="B15" i="13"/>
  <c r="E12" i="6"/>
  <c r="H19" i="11"/>
  <c r="C9" i="6" s="1"/>
  <c r="D12" i="11"/>
  <c r="G20" i="24"/>
  <c r="F20" i="24" s="1"/>
  <c r="C9" i="2"/>
  <c r="H18" i="8"/>
  <c r="D18" i="8" s="1"/>
  <c r="B19" i="13"/>
  <c r="E16" i="6"/>
  <c r="F17" i="3" s="1"/>
  <c r="E9" i="6"/>
  <c r="E8" i="6"/>
  <c r="C11" i="13"/>
  <c r="F8" i="6"/>
  <c r="G9" i="3" s="1"/>
  <c r="H14" i="10"/>
  <c r="D14" i="10" s="1"/>
  <c r="D10" i="10"/>
  <c r="B13" i="13"/>
  <c r="E24" i="24"/>
  <c r="F24" i="24"/>
  <c r="C24" i="24"/>
  <c r="D24" i="24"/>
  <c r="H9" i="2"/>
  <c r="F9" i="2"/>
  <c r="G9" i="2"/>
  <c r="H13" i="2"/>
  <c r="G13" i="2"/>
  <c r="F13" i="2"/>
  <c r="F20" i="4"/>
  <c r="G20" i="4" s="1"/>
  <c r="G32" i="4" s="1"/>
  <c r="F6" i="24" s="1"/>
  <c r="E32" i="4"/>
  <c r="D6" i="24" s="1"/>
  <c r="G10" i="20"/>
  <c r="H10" i="20" s="1"/>
  <c r="G7" i="20"/>
  <c r="H7" i="20" s="1"/>
  <c r="H6" i="20"/>
  <c r="D12" i="13"/>
  <c r="D13" i="13"/>
  <c r="C10" i="16"/>
  <c r="E10" i="16" s="1"/>
  <c r="C13" i="2"/>
  <c r="D41" i="4"/>
  <c r="H37" i="4"/>
  <c r="E37" i="4"/>
  <c r="G37" i="4"/>
  <c r="H33" i="4"/>
  <c r="G7" i="24" s="1"/>
  <c r="F37" i="4"/>
  <c r="E34" i="4"/>
  <c r="F33" i="4"/>
  <c r="E7" i="24" s="1"/>
  <c r="F35" i="4"/>
  <c r="E33" i="4"/>
  <c r="D7" i="24" s="1"/>
  <c r="F34" i="4"/>
  <c r="G34" i="4"/>
  <c r="H34" i="4"/>
  <c r="G33" i="4"/>
  <c r="F7" i="24" s="1"/>
  <c r="D11" i="13"/>
  <c r="E35" i="4"/>
  <c r="F36" i="4"/>
  <c r="E36" i="4"/>
  <c r="D9" i="2"/>
  <c r="E45" i="4"/>
  <c r="E12" i="2"/>
  <c r="G23" i="24" s="1"/>
  <c r="D13" i="2"/>
  <c r="E19" i="4"/>
  <c r="E31" i="4" s="1"/>
  <c r="D5" i="24" s="1"/>
  <c r="D19" i="24" s="1"/>
  <c r="D15" i="13"/>
  <c r="C7" i="16"/>
  <c r="E7" i="16" s="1"/>
  <c r="G24" i="4"/>
  <c r="H24" i="4" s="1"/>
  <c r="H36" i="4" s="1"/>
  <c r="D15" i="7"/>
  <c r="C16" i="6"/>
  <c r="F16" i="6" s="1"/>
  <c r="B18" i="6"/>
  <c r="B23" i="6" s="1"/>
  <c r="B6" i="13" s="1"/>
  <c r="B10" i="13" s="1"/>
  <c r="G35" i="4"/>
  <c r="E20" i="24" l="1"/>
  <c r="D20" i="24"/>
  <c r="B22" i="13"/>
  <c r="C12" i="6"/>
  <c r="F12" i="6" s="1"/>
  <c r="E10" i="6"/>
  <c r="C8" i="16"/>
  <c r="E8" i="16" s="1"/>
  <c r="C20" i="24"/>
  <c r="C12" i="13"/>
  <c r="F9" i="6"/>
  <c r="G10" i="3" s="1"/>
  <c r="F15" i="24"/>
  <c r="D15" i="24"/>
  <c r="C23" i="24"/>
  <c r="E23" i="24"/>
  <c r="F23" i="24"/>
  <c r="D23" i="24"/>
  <c r="F32" i="4"/>
  <c r="E6" i="24" s="1"/>
  <c r="E15" i="24" s="1"/>
  <c r="H12" i="2"/>
  <c r="F12" i="2"/>
  <c r="G12" i="2"/>
  <c r="F41" i="4"/>
  <c r="E41" i="4"/>
  <c r="G36" i="4"/>
  <c r="G41" i="4" s="1"/>
  <c r="F19" i="4"/>
  <c r="F31" i="4" s="1"/>
  <c r="E5" i="24" s="1"/>
  <c r="E19" i="24" s="1"/>
  <c r="F45" i="4"/>
  <c r="C12" i="2"/>
  <c r="D12" i="2"/>
  <c r="G17" i="3"/>
  <c r="C19" i="13"/>
  <c r="C10" i="6"/>
  <c r="F10" i="6" s="1"/>
  <c r="H20" i="4"/>
  <c r="H32" i="4" s="1"/>
  <c r="G6" i="24" s="1"/>
  <c r="G15" i="24" s="1"/>
  <c r="H35" i="4"/>
  <c r="H12" i="6" l="1"/>
  <c r="C15" i="13"/>
  <c r="G13" i="3"/>
  <c r="H41" i="4"/>
  <c r="E20" i="2" s="1"/>
  <c r="G45" i="4"/>
  <c r="G19" i="4"/>
  <c r="G31" i="4" s="1"/>
  <c r="F5" i="24" s="1"/>
  <c r="F19" i="24" s="1"/>
  <c r="G11" i="3"/>
  <c r="C13" i="13"/>
  <c r="G30" i="24" l="1"/>
  <c r="G20" i="2"/>
  <c r="H19" i="4"/>
  <c r="H31" i="4" s="1"/>
  <c r="G5" i="24" s="1"/>
  <c r="G19" i="24" s="1"/>
  <c r="H45" i="4"/>
  <c r="F20" i="2" l="1"/>
  <c r="D30" i="24"/>
  <c r="C30" i="24"/>
  <c r="F30" i="24"/>
  <c r="E30" i="24"/>
  <c r="H20" i="2"/>
  <c r="I25" i="2"/>
  <c r="C20" i="2" l="1"/>
  <c r="D20" i="2"/>
  <c r="I33" i="2" l="1"/>
  <c r="C13" i="3"/>
  <c r="C9" i="3"/>
  <c r="C10" i="3"/>
  <c r="C11" i="3"/>
  <c r="E17" i="3"/>
  <c r="E28" i="3"/>
  <c r="C12" i="3"/>
  <c r="D9" i="3" l="1"/>
  <c r="F9" i="3"/>
  <c r="E9" i="3"/>
  <c r="C17" i="3"/>
  <c r="C19" i="3"/>
  <c r="F10" i="3" l="1"/>
  <c r="E10" i="3"/>
  <c r="D17" i="3"/>
  <c r="F11" i="3"/>
  <c r="E11" i="3"/>
  <c r="F13" i="3"/>
  <c r="E13" i="3"/>
  <c r="C27" i="3"/>
  <c r="D10" i="3" l="1"/>
  <c r="D11" i="3"/>
  <c r="D13" i="3"/>
  <c r="C20" i="9" l="1"/>
  <c r="D11" i="6"/>
  <c r="C11" i="6"/>
  <c r="H11" i="6" s="1"/>
  <c r="H18" i="6" s="1"/>
  <c r="F11" i="6" l="1"/>
  <c r="G12" i="3" s="1"/>
  <c r="C9" i="20"/>
  <c r="C15" i="20" s="1"/>
  <c r="E11" i="6"/>
  <c r="F12" i="3" s="1"/>
  <c r="C17" i="6"/>
  <c r="C14" i="13"/>
  <c r="D12" i="3"/>
  <c r="E12" i="3"/>
  <c r="D14" i="13"/>
  <c r="C9" i="16"/>
  <c r="G9" i="20" l="1"/>
  <c r="H9" i="20" s="1"/>
  <c r="H15" i="20" s="1"/>
  <c r="E18" i="2" s="1"/>
  <c r="G18" i="2" s="1"/>
  <c r="C11" i="16"/>
  <c r="E9" i="16"/>
  <c r="E11" i="16" s="1"/>
  <c r="C20" i="13"/>
  <c r="C22" i="13" s="1"/>
  <c r="D17" i="6"/>
  <c r="E17" i="6" s="1"/>
  <c r="D18" i="3"/>
  <c r="C18" i="6"/>
  <c r="H18" i="2" l="1"/>
  <c r="F18" i="2"/>
  <c r="C18" i="2"/>
  <c r="D18" i="2"/>
  <c r="F17" i="6"/>
  <c r="G18" i="3" s="1"/>
  <c r="E11" i="2"/>
  <c r="F10" i="19"/>
  <c r="E10" i="19" s="1"/>
  <c r="E24" i="6"/>
  <c r="F28" i="3" s="1"/>
  <c r="D19" i="3"/>
  <c r="C23" i="6"/>
  <c r="E18" i="3"/>
  <c r="D18" i="6"/>
  <c r="F18" i="6" s="1"/>
  <c r="G19" i="3" s="1"/>
  <c r="D20" i="13"/>
  <c r="D22" i="13" s="1"/>
  <c r="F18" i="3"/>
  <c r="G22" i="24" l="1"/>
  <c r="D22" i="24" s="1"/>
  <c r="E15" i="2"/>
  <c r="G26" i="24" s="1"/>
  <c r="E16" i="2"/>
  <c r="G27" i="24" s="1"/>
  <c r="H11" i="2"/>
  <c r="G11" i="2"/>
  <c r="F11" i="2"/>
  <c r="F9" i="19"/>
  <c r="E9" i="19" s="1"/>
  <c r="D11" i="2"/>
  <c r="C11" i="2"/>
  <c r="E69" i="4"/>
  <c r="F24" i="6"/>
  <c r="G28" i="3" s="1"/>
  <c r="E14" i="2"/>
  <c r="G25" i="24" s="1"/>
  <c r="B72" i="4"/>
  <c r="E19" i="3"/>
  <c r="E18" i="6"/>
  <c r="F19" i="3" s="1"/>
  <c r="D27" i="3"/>
  <c r="D23" i="6"/>
  <c r="D6" i="13" s="1"/>
  <c r="C6" i="13" s="1"/>
  <c r="E23" i="6"/>
  <c r="F27" i="3" s="1"/>
  <c r="E22" i="24" l="1"/>
  <c r="C22" i="24"/>
  <c r="F22" i="24"/>
  <c r="E21" i="2"/>
  <c r="F25" i="24"/>
  <c r="C25" i="24"/>
  <c r="E25" i="24"/>
  <c r="D25" i="24"/>
  <c r="E26" i="24"/>
  <c r="C26" i="24"/>
  <c r="F26" i="24"/>
  <c r="D26" i="24"/>
  <c r="E27" i="24"/>
  <c r="C27" i="24"/>
  <c r="F27" i="24"/>
  <c r="D27" i="24"/>
  <c r="G31" i="24"/>
  <c r="G33" i="24" s="1"/>
  <c r="F14" i="2"/>
  <c r="H14" i="2"/>
  <c r="G14" i="2"/>
  <c r="H15" i="2"/>
  <c r="F15" i="2"/>
  <c r="G15" i="2"/>
  <c r="G16" i="2"/>
  <c r="H16" i="2"/>
  <c r="F16" i="2"/>
  <c r="C14" i="2"/>
  <c r="F8" i="19"/>
  <c r="D14" i="2"/>
  <c r="F23" i="6"/>
  <c r="G27" i="3" s="1"/>
  <c r="E27" i="3"/>
  <c r="E31" i="24" l="1"/>
  <c r="E33" i="24" s="1"/>
  <c r="F31" i="24"/>
  <c r="F33" i="24" s="1"/>
  <c r="D31" i="24"/>
  <c r="D33" i="24" s="1"/>
  <c r="C31" i="24"/>
  <c r="C33" i="24" s="1"/>
  <c r="E8" i="19"/>
  <c r="E11" i="19" s="1"/>
  <c r="F11" i="19"/>
  <c r="D10" i="13"/>
  <c r="C10" i="13"/>
  <c r="D15" i="2"/>
  <c r="C15" i="2"/>
  <c r="D20" i="3" l="1"/>
  <c r="C15" i="19"/>
  <c r="D15" i="19" s="1"/>
  <c r="G21" i="2"/>
  <c r="E46" i="4" s="1"/>
  <c r="E49" i="4" s="1"/>
  <c r="D16" i="2"/>
  <c r="D21" i="2" s="1"/>
  <c r="I24" i="2" s="1"/>
  <c r="C16" i="2"/>
  <c r="C21" i="2" s="1"/>
  <c r="I26" i="2" s="1"/>
  <c r="F21" i="2"/>
  <c r="D46" i="4" s="1"/>
  <c r="D49" i="4" s="1"/>
  <c r="H21" i="2"/>
  <c r="F46" i="4" s="1"/>
  <c r="F49" i="4" s="1"/>
  <c r="E20" i="3" l="1"/>
  <c r="D21" i="3"/>
  <c r="E72" i="4"/>
  <c r="B69" i="4"/>
  <c r="G46" i="4"/>
  <c r="I27" i="2"/>
  <c r="I28" i="2" s="1"/>
  <c r="G20" i="3" l="1"/>
  <c r="F20" i="3"/>
  <c r="E21" i="3"/>
  <c r="G36" i="24" s="1"/>
  <c r="H46" i="4"/>
  <c r="H49" i="4" s="1"/>
  <c r="B75" i="4" s="1"/>
  <c r="G49" i="4"/>
</calcChain>
</file>

<file path=xl/sharedStrings.xml><?xml version="1.0" encoding="utf-8"?>
<sst xmlns="http://schemas.openxmlformats.org/spreadsheetml/2006/main" count="480" uniqueCount="280">
  <si>
    <t xml:space="preserve">مطالعات بازار،فنی،مالی و اقتصادی طرح توجیهی
</t>
  </si>
  <si>
    <t>طراحی و تولید دستگاه اندازه گیری سطح مخازن سوخت -شرکت برنا نیروی زاگرس</t>
  </si>
  <si>
    <t>کل سرمایه گذاری طرح</t>
  </si>
  <si>
    <r>
      <t>کلیه هزینه های سرمایه گذاری طرح به شرح زیر برآورد گردیده است.</t>
    </r>
    <r>
      <rPr>
        <sz val="13"/>
        <color rgb="FF000000"/>
        <rFont val="B Nazanin"/>
        <charset val="178"/>
      </rPr>
      <t>.</t>
    </r>
  </si>
  <si>
    <t>مبالغ به میلیون ر یال</t>
  </si>
  <si>
    <t>ردیف</t>
  </si>
  <si>
    <t>شرح</t>
  </si>
  <si>
    <t xml:space="preserve">انجام شده </t>
  </si>
  <si>
    <t>جدید</t>
  </si>
  <si>
    <t>هزینه کل</t>
  </si>
  <si>
    <t>درصد پیشرفت</t>
  </si>
  <si>
    <t>انجام شده</t>
  </si>
  <si>
    <t>مانده</t>
  </si>
  <si>
    <t>جمع سرمایه ثابت</t>
  </si>
  <si>
    <t>سرمایه در گردش</t>
  </si>
  <si>
    <t>جمع کل سرمایه گذاری</t>
  </si>
  <si>
    <t>نحوه تامین مالی طرح</t>
  </si>
  <si>
    <t>تامین سرمایه ثابت</t>
  </si>
  <si>
    <t>زمین</t>
  </si>
  <si>
    <t>در این بخش مشخصات زمین مانند ابعاد و آدرس مطابق اسناد و موقعیت جغرافیایی آن مشخص می گردد.</t>
  </si>
  <si>
    <t>برآورد قیمت زمین در نواحی صنعتی بر اساس قیمت اعلامی از سوی شرکت شهرکها و در نواحی غیر صنعتی</t>
  </si>
  <si>
    <t xml:space="preserve"> نظر کارشناسی لحاظ می گردد"مشخصات زمین را در فصل فنی مشاهده بفرمایید "</t>
  </si>
  <si>
    <t>مساحت کل</t>
  </si>
  <si>
    <t>بهای هر متر مربع(ریال)</t>
  </si>
  <si>
    <t xml:space="preserve">       هزینه</t>
  </si>
  <si>
    <t>باقی مانده</t>
  </si>
  <si>
    <t>جمع</t>
  </si>
  <si>
    <t>-</t>
  </si>
  <si>
    <t>مطالعات بازار،فنی،مالی و اقتصادی طرح توجیهی</t>
  </si>
  <si>
    <t>محوطه سازی</t>
  </si>
  <si>
    <t xml:space="preserve">عملیات های محوطه سازی براساس فهرست بهای سازمان برنامه و بودجه کشور محاسبه گردیده </t>
  </si>
  <si>
    <t>و برآورد زیر خلاصه محاسبات می باشد(به فصل فنی مراجعه فرمایید)</t>
  </si>
  <si>
    <t>"در فصل فنی نقشه و مجوزات ، محاسبه یک واحد از هر عملیات پیوست گردیده است"</t>
  </si>
  <si>
    <t xml:space="preserve">                   شرح</t>
  </si>
  <si>
    <t xml:space="preserve">مقدار کار </t>
  </si>
  <si>
    <t xml:space="preserve">  واحد</t>
  </si>
  <si>
    <t xml:space="preserve">  هزینه واحد (میلیون ریال)</t>
  </si>
  <si>
    <t>هزینه ( میلیون ریال )</t>
  </si>
  <si>
    <t>جمع هزینه</t>
  </si>
  <si>
    <t>تسطیح و خاکبرداری و خاکریزی</t>
  </si>
  <si>
    <t>درب ورودی  آهنی  و تابلو</t>
  </si>
  <si>
    <t>جدول بندی و کانال کشی(متر طول)</t>
  </si>
  <si>
    <t>محوطه سازی خیابان کشی /سنگ فرش و پارکینگ</t>
  </si>
  <si>
    <t xml:space="preserve">فضای سبز </t>
  </si>
  <si>
    <t>روشنایی و نور پردازی</t>
  </si>
  <si>
    <t>ساختمان سازی</t>
  </si>
  <si>
    <t>عملیات های محوطه سازی براساس فهرست بهای سازمان برنامه و بودجه کشور محاسبه گردیده و برآورد زیر خلاصه محاسبات می باشد</t>
  </si>
  <si>
    <t>(به فصل فنی مراجعه فرمایید)</t>
  </si>
  <si>
    <t>مساحت</t>
  </si>
  <si>
    <t>بهای واحد</t>
  </si>
  <si>
    <t>(متر مربع)</t>
  </si>
  <si>
    <t>تاسیسات</t>
  </si>
  <si>
    <t>برآورد ها مطابق استعلام /پیش فاکتور صورت گرفته است</t>
  </si>
  <si>
    <t>"پیش فاکتور ها پیوست گردید"</t>
  </si>
  <si>
    <t>تعداد</t>
  </si>
  <si>
    <t>\</t>
  </si>
  <si>
    <t>گاز رسانی-انشعاب و انتقال</t>
  </si>
  <si>
    <t>برق رسانی - انشعاب و انتقال</t>
  </si>
  <si>
    <t xml:space="preserve">آبرسانی -لوله کشی و اتصالات -پمپ و مخازن </t>
  </si>
  <si>
    <t>سرمایش و گرمایش اداری</t>
  </si>
  <si>
    <t>سرمایش و گرمایش و تهویه صنعتی</t>
  </si>
  <si>
    <t>سیستم اطفای حریق (کسپول و آب)</t>
  </si>
  <si>
    <t>سیستم امنیتی</t>
  </si>
  <si>
    <t>تصفیه خانه /فاضلاب بهداشتی</t>
  </si>
  <si>
    <t>ارتباطات</t>
  </si>
  <si>
    <t>ماشین آلات و تجهیزات</t>
  </si>
  <si>
    <t>"پیش فاکتور ها پیوست می باشد"</t>
  </si>
  <si>
    <t>بهای واحد(ریال)</t>
  </si>
  <si>
    <t xml:space="preserve">        جمع هزینه            (میلیون ریال)</t>
  </si>
  <si>
    <t>میز و صندلی اداری</t>
  </si>
  <si>
    <t>سایر تجهیزات(اثاثه و لوازم اداری)</t>
  </si>
  <si>
    <t>پرینتر canon سه کاره</t>
  </si>
  <si>
    <t xml:space="preserve">رایانه رومیزیCore i7 Geforce RTX 3060  </t>
  </si>
  <si>
    <t>ست اداری</t>
  </si>
  <si>
    <t xml:space="preserve">Panasonic KX-NT553 Ip تلفن سانترال   </t>
  </si>
  <si>
    <t>Canon MF4870dn پرینتر</t>
  </si>
  <si>
    <t>لوازم ازمایشگاهی</t>
  </si>
  <si>
    <t>وسائط نقلیه</t>
  </si>
  <si>
    <t>قبل بهره برداری</t>
  </si>
  <si>
    <t xml:space="preserve">                     شرح</t>
  </si>
  <si>
    <t>هزینه (میلیون ریال)</t>
  </si>
  <si>
    <t>جمع کل(میلیون ریال)</t>
  </si>
  <si>
    <t>هزینه مطالعات پیش از سرمایه گذاری</t>
  </si>
  <si>
    <t>هزینه های تحقیقات میدانی</t>
  </si>
  <si>
    <t>هزینه های ثبت شرکت و برند - مجوزات مربوطه</t>
  </si>
  <si>
    <t>هزینه های سازماندهی پروژه</t>
  </si>
  <si>
    <t>هزینه های اخذ تکنولوژی-دارایی نامشهود "پیوست"</t>
  </si>
  <si>
    <t xml:space="preserve">هزینه های مهندسی تفصیلی-طراحی و مجوزات </t>
  </si>
  <si>
    <t>هزینه های بازاریابی قبل از بهره برداری</t>
  </si>
  <si>
    <t xml:space="preserve"> سایر (آموزش پرسنل ،کارگاه های تخصصی توسط شرکت های مشاور خارجی و اخذ استاندارد)</t>
  </si>
  <si>
    <t>سرمایه گذاری ثابت طرح</t>
  </si>
  <si>
    <t>سرمایه گذاری ثابت</t>
  </si>
  <si>
    <t>تأسیسات</t>
  </si>
  <si>
    <t>اثاثه و لوازم اداری</t>
  </si>
  <si>
    <t>لوازم آزمایشگاهی</t>
  </si>
  <si>
    <t>هزینه های قبل از بهره برداری</t>
  </si>
  <si>
    <t>هزینه های پیش بینی نشده</t>
  </si>
  <si>
    <t>درصد هزینه های پیش بینی نشده</t>
  </si>
  <si>
    <t>نحوه تامین سرمایه طرح</t>
  </si>
  <si>
    <t>کل</t>
  </si>
  <si>
    <t>سهم باقی مانده</t>
  </si>
  <si>
    <t>سهم کل سرمایه  گذاری</t>
  </si>
  <si>
    <t>آورده سرمایه گذار</t>
  </si>
  <si>
    <t>تسهیلات بانکی</t>
  </si>
  <si>
    <t>برآورد هزینه های جاری طرح</t>
  </si>
  <si>
    <t>هزینه در ظرفیت اسمی</t>
  </si>
  <si>
    <t>هزینه در ظرفیت عملیاتی</t>
  </si>
  <si>
    <t>(میلیون ریال)</t>
  </si>
  <si>
    <t>در ظرفیت 100%</t>
  </si>
  <si>
    <t xml:space="preserve">جمع هزینه در ظرفیت </t>
  </si>
  <si>
    <t>درصد متغیر</t>
  </si>
  <si>
    <t>درصد ثابت</t>
  </si>
  <si>
    <t>تولیدی</t>
  </si>
  <si>
    <t>غیر تولیدی</t>
  </si>
  <si>
    <t xml:space="preserve">جمع کل </t>
  </si>
  <si>
    <t xml:space="preserve">هزینه مواد اوليه </t>
  </si>
  <si>
    <t>انرژی</t>
  </si>
  <si>
    <t>تعمير نگهداري</t>
  </si>
  <si>
    <t>حقوق و مزاياي پرسنل توليدی/عملیاتی</t>
  </si>
  <si>
    <t>حقوق و مزاياي پرسنل غیرتوليدی</t>
  </si>
  <si>
    <t>سایر اقلام سربار-بیمه</t>
  </si>
  <si>
    <t xml:space="preserve">پيش بيني نشده </t>
  </si>
  <si>
    <t>سایر هزينه‌هاي عمومی و اداري</t>
  </si>
  <si>
    <t>هزینه تامین مالی</t>
  </si>
  <si>
    <t>استهلاک</t>
  </si>
  <si>
    <t>اجاره</t>
  </si>
  <si>
    <t>توزیع و فروش</t>
  </si>
  <si>
    <t>مجموع هزینه های سالیانه</t>
  </si>
  <si>
    <t>تحلیل نقطه سر به سر</t>
  </si>
  <si>
    <t>هزینه های ثابت</t>
  </si>
  <si>
    <t>درآمد</t>
  </si>
  <si>
    <t>هزینه های متغیر</t>
  </si>
  <si>
    <t>درصد فروش سربسر</t>
  </si>
  <si>
    <t>میزان فروش سربسر</t>
  </si>
  <si>
    <t>متوسط قیمت تمام شده</t>
  </si>
  <si>
    <t xml:space="preserve">مجموع هزینه ها </t>
  </si>
  <si>
    <t>ظرفیت تولید</t>
  </si>
  <si>
    <t>(ارقام به میلیون ریال)</t>
  </si>
  <si>
    <t xml:space="preserve">           شرح</t>
  </si>
  <si>
    <t>روز</t>
  </si>
  <si>
    <t>مورد نیاز</t>
  </si>
  <si>
    <t>جمع کل</t>
  </si>
  <si>
    <t xml:space="preserve">موجودی مواد اولیه و کمکی </t>
  </si>
  <si>
    <t xml:space="preserve">کالای در جریان ساخت و ساخته شده </t>
  </si>
  <si>
    <t xml:space="preserve">مطالبات </t>
  </si>
  <si>
    <t xml:space="preserve">تنخواه‌گردان </t>
  </si>
  <si>
    <t>نحوه تامین مالی سرمایه در گردش</t>
  </si>
  <si>
    <t>مواد اولیه</t>
  </si>
  <si>
    <t>مواد اولیه(کمکی و بسته بندی: به منظور براورد هزینه تامین مواد اولیه از جدول زیر استفاده می شود</t>
  </si>
  <si>
    <t>"استعلامات/ پیش فاکتور هاپیوست می باشد"</t>
  </si>
  <si>
    <t>واحد</t>
  </si>
  <si>
    <t>مصرف سالانه(دوره)</t>
  </si>
  <si>
    <r>
      <t xml:space="preserve">ضریب مصرف 
</t>
    </r>
    <r>
      <rPr>
        <b/>
        <sz val="10"/>
        <rFont val="B Mitra"/>
        <charset val="178"/>
      </rPr>
      <t>(با احتساب ضایعات)</t>
    </r>
  </si>
  <si>
    <t>ریالی</t>
  </si>
  <si>
    <t>هزینه سالیانه(میلیون ریال)</t>
  </si>
  <si>
    <t xml:space="preserve">لوازم مصرفی و بهداشتی </t>
  </si>
  <si>
    <t>کیلو گرم</t>
  </si>
  <si>
    <t>لوازم اداری و نوشت افزار مصرفی</t>
  </si>
  <si>
    <t>سری</t>
  </si>
  <si>
    <t>مجموع هزینه های مواد اولیه</t>
  </si>
  <si>
    <t>برآورد ها مطابق تعرفه های دستگاه های اجرایی صورت گرفته است</t>
  </si>
  <si>
    <t>"تعرفه های برق ، آب ، گاز ،بنزین و گازوییل ،تلفن و اینترنت پیوست می باشد"</t>
  </si>
  <si>
    <t>ساعت کاری روزانه</t>
  </si>
  <si>
    <t>مصرف  روزانه</t>
  </si>
  <si>
    <t>روز کاری در سال</t>
  </si>
  <si>
    <t>مصرف سالانه</t>
  </si>
  <si>
    <t>بهای واحد(ریالی)</t>
  </si>
  <si>
    <t>هزینه سالیانه        (میلیون ریال)</t>
  </si>
  <si>
    <t xml:space="preserve">برق </t>
  </si>
  <si>
    <t>کیلو وات ساعت</t>
  </si>
  <si>
    <t>آب</t>
  </si>
  <si>
    <t>متر مکعب</t>
  </si>
  <si>
    <t xml:space="preserve">گاز </t>
  </si>
  <si>
    <t>بنزین</t>
  </si>
  <si>
    <t>لیتر</t>
  </si>
  <si>
    <t>گازوییل</t>
  </si>
  <si>
    <t>تلفن و اینترنت</t>
  </si>
  <si>
    <t>پالس/دقیقه</t>
  </si>
  <si>
    <t>حقوق و دستمزد</t>
  </si>
  <si>
    <t>محاسبات بر اساس دستور العمل دستمزد و حقوق وزرات تعاون ،رفاه  کار و امور اجتماعی صورت گرفته است</t>
  </si>
  <si>
    <t>*محاسبات با ضریب 16.76 انجام گرفته است.</t>
  </si>
  <si>
    <t>"دستور العمل حقوق و دستمزد  اداره کار پیوست می باشد"</t>
  </si>
  <si>
    <t>جمع کل حقوق و دستمزد</t>
  </si>
  <si>
    <t>تعداد(نفر)</t>
  </si>
  <si>
    <t>متوسط حقوق ماهیانه</t>
  </si>
  <si>
    <t xml:space="preserve"> جمع حقوق سالیانه(میلیون ریال)</t>
  </si>
  <si>
    <t>جمع  سالیانه حق بیمه سهم کارفرما</t>
  </si>
  <si>
    <t>عیدی</t>
  </si>
  <si>
    <t>حقوق و دستمزد کل</t>
  </si>
  <si>
    <t>پرسنل تولیدی</t>
  </si>
  <si>
    <t>حقوق ماهیانه(میلیون  ریال هر نفر)</t>
  </si>
  <si>
    <t>مدیر عامل</t>
  </si>
  <si>
    <t>پرسنل تولید</t>
  </si>
  <si>
    <t>مجموع هزینه های پرسنلی تولیدی/عملیاتی</t>
  </si>
  <si>
    <t>پرسنل اداری</t>
  </si>
  <si>
    <t>حقوق ماهیانه(میلیون ریال  هر نفر)</t>
  </si>
  <si>
    <t>جمع حقوق سالیانه</t>
  </si>
  <si>
    <t>پرسنل اداری و فروش</t>
  </si>
  <si>
    <t>مجموع هزینه های پرسنل اداری</t>
  </si>
  <si>
    <t>ارزش دارایی (میلیون ریال)</t>
  </si>
  <si>
    <t>روش استهلاک</t>
  </si>
  <si>
    <t>نرخ اسقاط</t>
  </si>
  <si>
    <t>نرخ استهلاک</t>
  </si>
  <si>
    <t>Column1</t>
  </si>
  <si>
    <t>هزینه سالیانه (میلیون ریال)</t>
  </si>
  <si>
    <t>خطی</t>
  </si>
  <si>
    <t>نگهداری و تعمیرات</t>
  </si>
  <si>
    <t xml:space="preserve">هزینه های سالیانه نگهداری و تعمیرات به صورت درصدی از ارزش دارایی های ثابت طرح در نظر گرفته می شود. </t>
  </si>
  <si>
    <t>ارزش دارایی(میلیون ریال)</t>
  </si>
  <si>
    <t>درصد خالص</t>
  </si>
  <si>
    <t>پیش بینی فروش</t>
  </si>
  <si>
    <t>مقدار فروش</t>
  </si>
  <si>
    <t>ظرفیت اسمی</t>
  </si>
  <si>
    <t>ظرفیت</t>
  </si>
  <si>
    <t>محصول</t>
  </si>
  <si>
    <t>سال1</t>
  </si>
  <si>
    <t>سال2</t>
  </si>
  <si>
    <t>سال3</t>
  </si>
  <si>
    <t>سال4</t>
  </si>
  <si>
    <t>سال5</t>
  </si>
  <si>
    <t>نرخ فروش (ریال)</t>
  </si>
  <si>
    <t>نرخ رشد سالانه</t>
  </si>
  <si>
    <t>مبلغ فروش (میلیون ریال)</t>
  </si>
  <si>
    <t>جمع فروش کل</t>
  </si>
  <si>
    <t>پیش بینی هزینه سالیانه</t>
  </si>
  <si>
    <t>بدون ضریب تورم و افزایش قیمت</t>
  </si>
  <si>
    <t>پیش بینی سود سالیانه</t>
  </si>
  <si>
    <t xml:space="preserve"> سود وزیان ویژه = جمع هزینه های تولید - فروش کل </t>
  </si>
  <si>
    <t>ارزش افزوده ناخالص = تعمیرات-انرژی-مواداولیه-فروش کل</t>
  </si>
  <si>
    <t>سرانه سرمایه  ثابت نیروی انسانی</t>
  </si>
  <si>
    <t>هزينه مود خريداري شده ـ هزينه‌‌هاي عملياتي = ارزش افزوده</t>
  </si>
  <si>
    <t xml:space="preserve"> نسبت عملکرد سرمایه = فروش / سود</t>
  </si>
  <si>
    <t xml:space="preserve">قیمت تمام شده تولید </t>
  </si>
  <si>
    <t>رنگ 1 کیلویی</t>
  </si>
  <si>
    <t xml:space="preserve">قیمت تولید </t>
  </si>
  <si>
    <t>رنگ 12 کیلویی</t>
  </si>
  <si>
    <t>قیمت فروش</t>
  </si>
  <si>
    <t>سود و زیان</t>
  </si>
  <si>
    <r>
      <t>پیش بینی هزینه سالیانه</t>
    </r>
    <r>
      <rPr>
        <b/>
        <sz val="12"/>
        <rFont val="B Mitra"/>
        <charset val="178"/>
      </rPr>
      <t xml:space="preserve"> (میلیون ریال)</t>
    </r>
  </si>
  <si>
    <r>
      <t>پیش بینی سود سالیانه</t>
    </r>
    <r>
      <rPr>
        <b/>
        <sz val="11"/>
        <rFont val="B Mitra"/>
        <charset val="178"/>
      </rPr>
      <t xml:space="preserve"> ( میلیون ریال)</t>
    </r>
  </si>
  <si>
    <t>مالیات</t>
  </si>
  <si>
    <t>منابع و مصارف</t>
  </si>
  <si>
    <t>آورده شرکا</t>
  </si>
  <si>
    <t>تسهیلات ریالی</t>
  </si>
  <si>
    <t xml:space="preserve"> صندوق تامین مالی</t>
  </si>
  <si>
    <t>منابع داخلی</t>
  </si>
  <si>
    <t>جمع منابع</t>
  </si>
  <si>
    <t>ساختمان</t>
  </si>
  <si>
    <t>متفرقه و پیش بینی نشده</t>
  </si>
  <si>
    <t>جمع مصارف</t>
  </si>
  <si>
    <t>برآورد هزینه ها ی جاری طرح</t>
  </si>
  <si>
    <t>زمین شهرک صنعتی زاگرس</t>
  </si>
  <si>
    <t>سالن تولید و انبار ها -سوله صنعتی</t>
  </si>
  <si>
    <t>ساختمان اداری</t>
  </si>
  <si>
    <t>ساختمان کارگری</t>
  </si>
  <si>
    <t>ساختمان تاسیسات</t>
  </si>
  <si>
    <t>دیوار کشی محوطه و داخلی به ارتفاع 2.5 متر</t>
  </si>
  <si>
    <t>خط برش شیشه سایز بزرگ</t>
  </si>
  <si>
    <t>بهای واحد(یورو)</t>
  </si>
  <si>
    <t>خط لبه زنی تخت بزرگ بهمراه شستشو</t>
  </si>
  <si>
    <t>لبه زنی  ایستاده</t>
  </si>
  <si>
    <t>شستشو 2500</t>
  </si>
  <si>
    <t>کوره سکوریت تخت</t>
  </si>
  <si>
    <t>خط دو جداره سازی</t>
  </si>
  <si>
    <t>خط لمینت طلقی</t>
  </si>
  <si>
    <t>دستگاه دریل نیمه اتواماتیک</t>
  </si>
  <si>
    <t>خرک متحرک شیشه</t>
  </si>
  <si>
    <t>خرک ثابت شیشه</t>
  </si>
  <si>
    <t xml:space="preserve">لپ تاپ asuse - core i7 </t>
  </si>
  <si>
    <t>شیشه خام</t>
  </si>
  <si>
    <t>PVB</t>
  </si>
  <si>
    <t>متر مربع</t>
  </si>
  <si>
    <t>تن</t>
  </si>
  <si>
    <t>ابزار کاری</t>
  </si>
  <si>
    <t>شیشه لایه دار تخت ساختمانی</t>
  </si>
  <si>
    <t>شیشه نشکن ساختمانی</t>
  </si>
  <si>
    <t>نگهبانی</t>
  </si>
  <si>
    <t xml:space="preserve">مدیران تولید و کارشناس کنترل کیفی </t>
  </si>
  <si>
    <t>مدیر اداری</t>
  </si>
  <si>
    <t>حمل -نصب و راه اندازی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</si>
</sst>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_-* #,##0.00\-;_-* &quot;-&quot;??_-;_-@_-"/>
    <numFmt numFmtId="165" formatCode="_-* #,##0_-;_-* #,##0\-;_-* &quot;-&quot;??_-;_-@_-"/>
    <numFmt numFmtId="166" formatCode="#,##0_ ;[Red]\-#,##0\ "/>
    <numFmt numFmtId="167" formatCode="#,##0.000_);[Red]\(#,##0.000\)"/>
    <numFmt numFmtId="168" formatCode="0.0%"/>
    <numFmt numFmtId="169" formatCode="#,##0.000_ ;[Red]\-#,##0.000\ "/>
  </numFmts>
  <fonts count="80">
    <font>
      <sz val="11"/>
      <color theme="1"/>
      <name val="Calibri"/>
      <family val="2"/>
      <charset val="178"/>
      <scheme val="minor"/>
    </font>
    <font>
      <sz val="11"/>
      <color theme="1"/>
      <name val="Calibri"/>
      <family val="2"/>
      <charset val="178"/>
      <scheme val="minor"/>
    </font>
    <font>
      <b/>
      <sz val="12"/>
      <name val="B Mitra"/>
      <charset val="178"/>
    </font>
    <font>
      <sz val="12"/>
      <name val="B Mitra"/>
      <charset val="178"/>
    </font>
    <font>
      <b/>
      <sz val="10"/>
      <name val="B Mitra"/>
      <charset val="178"/>
    </font>
    <font>
      <sz val="12"/>
      <color rgb="FFFF0000"/>
      <name val="B Mitra"/>
      <charset val="178"/>
    </font>
    <font>
      <sz val="12"/>
      <color theme="1"/>
      <name val="B Mitra"/>
      <charset val="178"/>
    </font>
    <font>
      <sz val="11"/>
      <color theme="1"/>
      <name val="B Mitra"/>
      <charset val="178"/>
    </font>
    <font>
      <b/>
      <sz val="11"/>
      <name val="B Mitra"/>
      <charset val="178"/>
    </font>
    <font>
      <b/>
      <sz val="12"/>
      <name val="B Zar"/>
      <charset val="178"/>
    </font>
    <font>
      <sz val="11"/>
      <color theme="1"/>
      <name val="B Zar"/>
      <charset val="178"/>
    </font>
    <font>
      <sz val="12"/>
      <name val="B Zar"/>
      <charset val="178"/>
    </font>
    <font>
      <b/>
      <sz val="14"/>
      <name val="B Mitra"/>
      <charset val="178"/>
    </font>
    <font>
      <sz val="12"/>
      <color rgb="FF000000"/>
      <name val="2  Nazanin"/>
      <charset val="178"/>
    </font>
    <font>
      <b/>
      <sz val="12"/>
      <color theme="1"/>
      <name val="B Mitra"/>
      <charset val="178"/>
    </font>
    <font>
      <sz val="14"/>
      <color rgb="FF000000"/>
      <name val="B Zar"/>
      <charset val="178"/>
    </font>
    <font>
      <sz val="13"/>
      <color rgb="FF000000"/>
      <name val="B Nazanin"/>
      <charset val="178"/>
    </font>
    <font>
      <b/>
      <sz val="18"/>
      <name val="B Tanab"/>
      <charset val="178"/>
    </font>
    <font>
      <b/>
      <sz val="11"/>
      <color theme="1"/>
      <name val="B Zar"/>
      <charset val="178"/>
    </font>
    <font>
      <sz val="12"/>
      <color theme="1"/>
      <name val="B Zar"/>
      <charset val="178"/>
    </font>
    <font>
      <b/>
      <sz val="14"/>
      <color theme="1"/>
      <name val="B Zar"/>
      <charset val="178"/>
    </font>
    <font>
      <b/>
      <sz val="12"/>
      <color theme="1"/>
      <name val="B Zar"/>
      <charset val="178"/>
    </font>
    <font>
      <sz val="14"/>
      <name val="B Mitra"/>
      <charset val="178"/>
    </font>
    <font>
      <b/>
      <sz val="18"/>
      <name val="B Kamran Outline"/>
      <charset val="178"/>
    </font>
    <font>
      <sz val="11"/>
      <color rgb="FFFBFDF9"/>
      <name val="Calibri"/>
      <family val="2"/>
      <charset val="178"/>
      <scheme val="minor"/>
    </font>
    <font>
      <sz val="14"/>
      <color rgb="FF000000"/>
      <name val="B Nazanin"/>
      <charset val="178"/>
    </font>
    <font>
      <b/>
      <sz val="18"/>
      <color theme="1"/>
      <name val="2  Bardiya"/>
      <charset val="178"/>
    </font>
    <font>
      <sz val="10"/>
      <color rgb="FF000000"/>
      <name val="B Nazanin"/>
      <charset val="178"/>
    </font>
    <font>
      <b/>
      <sz val="16"/>
      <name val="B Mehr"/>
      <charset val="178"/>
    </font>
    <font>
      <sz val="18"/>
      <color theme="1"/>
      <name val="2  Roya"/>
      <charset val="178"/>
    </font>
    <font>
      <b/>
      <sz val="18"/>
      <name val="B Kamran"/>
      <charset val="178"/>
    </font>
    <font>
      <b/>
      <sz val="18"/>
      <name val="2  Baran Outline"/>
      <charset val="178"/>
    </font>
    <font>
      <sz val="12"/>
      <color theme="1"/>
      <name val="2  Kamran"/>
      <charset val="178"/>
    </font>
    <font>
      <b/>
      <sz val="12"/>
      <color rgb="FF424242"/>
      <name val="2  Kamran"/>
      <charset val="178"/>
    </font>
    <font>
      <sz val="14"/>
      <color theme="1"/>
      <name val="2  Kamran"/>
      <charset val="178"/>
    </font>
    <font>
      <sz val="14"/>
      <color theme="1"/>
      <name val="Calibri"/>
      <family val="2"/>
      <charset val="178"/>
      <scheme val="minor"/>
    </font>
    <font>
      <b/>
      <sz val="18"/>
      <color theme="1"/>
      <name val="2  Helal"/>
      <charset val="178"/>
    </font>
    <font>
      <b/>
      <sz val="18"/>
      <name val="B Mitra"/>
      <charset val="178"/>
    </font>
    <font>
      <b/>
      <sz val="18"/>
      <name val="B Medad"/>
      <charset val="178"/>
    </font>
    <font>
      <b/>
      <sz val="18"/>
      <color theme="1"/>
      <name val="B Yekan"/>
      <charset val="178"/>
    </font>
    <font>
      <b/>
      <sz val="18"/>
      <name val="2  Kamran"/>
      <charset val="178"/>
    </font>
    <font>
      <sz val="18"/>
      <color theme="1"/>
      <name val="2  Kamran"/>
      <charset val="178"/>
    </font>
    <font>
      <sz val="11"/>
      <color theme="1"/>
      <name val="2  Titr"/>
      <charset val="178"/>
    </font>
    <font>
      <sz val="10"/>
      <color theme="1"/>
      <name val="2  Titr"/>
      <charset val="178"/>
    </font>
    <font>
      <sz val="12"/>
      <color theme="1"/>
      <name val="2  Titr"/>
      <charset val="178"/>
    </font>
    <font>
      <sz val="14"/>
      <color theme="1"/>
      <name val="2  Titr"/>
      <charset val="178"/>
    </font>
    <font>
      <sz val="10"/>
      <color theme="1"/>
      <name val="Calibri"/>
      <family val="2"/>
      <charset val="178"/>
      <scheme val="minor"/>
    </font>
    <font>
      <b/>
      <sz val="16"/>
      <name val="B Mitra"/>
      <charset val="178"/>
    </font>
    <font>
      <b/>
      <sz val="12"/>
      <color theme="1"/>
      <name val="2  Zar"/>
      <charset val="178"/>
    </font>
    <font>
      <sz val="10"/>
      <color theme="1"/>
      <name val="2  Zar"/>
      <charset val="178"/>
    </font>
    <font>
      <b/>
      <sz val="14"/>
      <color theme="1"/>
      <name val="B Mitra"/>
      <charset val="178"/>
    </font>
    <font>
      <sz val="12"/>
      <name val="B Nazanin"/>
      <charset val="178"/>
    </font>
    <font>
      <sz val="14"/>
      <name val="B Nazanin"/>
      <charset val="178"/>
    </font>
    <font>
      <b/>
      <sz val="14"/>
      <name val="B Nazanin"/>
      <charset val="178"/>
    </font>
    <font>
      <b/>
      <sz val="12"/>
      <color rgb="FF000000"/>
      <name val="2  Nazanin"/>
      <charset val="178"/>
    </font>
    <font>
      <b/>
      <sz val="9"/>
      <name val="B Mitra"/>
      <charset val="178"/>
    </font>
    <font>
      <b/>
      <sz val="18"/>
      <color theme="1"/>
      <name val="B Kamran"/>
      <charset val="178"/>
    </font>
    <font>
      <b/>
      <sz val="14"/>
      <name val="B Zar"/>
      <charset val="178"/>
    </font>
    <font>
      <b/>
      <sz val="10"/>
      <color theme="1"/>
      <name val="B Mitra"/>
      <charset val="178"/>
    </font>
    <font>
      <sz val="9"/>
      <color theme="1"/>
      <name val="2  Titr"/>
      <charset val="178"/>
    </font>
    <font>
      <b/>
      <sz val="16"/>
      <color theme="0"/>
      <name val="B Mitra"/>
      <charset val="178"/>
    </font>
    <font>
      <sz val="10"/>
      <color theme="0"/>
      <name val="2  Zar"/>
      <charset val="178"/>
    </font>
    <font>
      <sz val="10"/>
      <color theme="0"/>
      <name val="2  Titr"/>
      <charset val="178"/>
    </font>
    <font>
      <b/>
      <sz val="14"/>
      <name val="2  Zar"/>
      <charset val="178"/>
    </font>
    <font>
      <sz val="14"/>
      <color theme="1"/>
      <name val="2  Baran Outline"/>
      <charset val="178"/>
    </font>
    <font>
      <sz val="11"/>
      <color theme="1"/>
      <name val="2  Koodak"/>
      <charset val="178"/>
    </font>
    <font>
      <sz val="14"/>
      <color theme="1"/>
      <name val="B Mitra"/>
      <charset val="178"/>
    </font>
    <font>
      <sz val="14"/>
      <color theme="1"/>
      <name val="B Zar"/>
      <charset val="178"/>
    </font>
    <font>
      <b/>
      <sz val="11"/>
      <color theme="1"/>
      <name val="B Mitra"/>
      <charset val="178"/>
    </font>
    <font>
      <sz val="16"/>
      <name val="B Mitra"/>
      <charset val="178"/>
    </font>
    <font>
      <b/>
      <sz val="11"/>
      <color theme="1"/>
      <name val="Calibri"/>
      <family val="2"/>
      <scheme val="minor"/>
    </font>
    <font>
      <b/>
      <sz val="14"/>
      <color theme="1"/>
      <name val="2  Zar"/>
      <charset val="178"/>
    </font>
    <font>
      <b/>
      <sz val="11"/>
      <color theme="1"/>
      <name val="B Nazanin"/>
      <charset val="178"/>
    </font>
    <font>
      <sz val="16"/>
      <color theme="1"/>
      <name val="B Zar"/>
      <charset val="178"/>
    </font>
    <font>
      <b/>
      <sz val="16"/>
      <color theme="1"/>
      <name val="B Zar"/>
      <charset val="178"/>
    </font>
    <font>
      <sz val="18"/>
      <color theme="1"/>
      <name val="B Zar"/>
      <charset val="178"/>
    </font>
    <font>
      <b/>
      <sz val="18"/>
      <color theme="1"/>
      <name val="B Zar"/>
      <charset val="178"/>
    </font>
    <font>
      <b/>
      <sz val="14"/>
      <color rgb="FF000000"/>
      <name val="2  Nazanin"/>
      <charset val="178"/>
    </font>
    <font>
      <b/>
      <sz val="14"/>
      <name val="B Mitra"/>
    </font>
    <font>
      <sz val="14"/>
      <name val="B Mitra"/>
    </font>
  </fonts>
  <fills count="24">
    <fill>
      <patternFill patternType="none"/>
    </fill>
    <fill>
      <patternFill patternType="gray125"/>
    </fill>
    <fill>
      <patternFill patternType="solid">
        <fgColor theme="6"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9" tint="0.59999389629810485"/>
        <bgColor indexed="64"/>
      </patternFill>
    </fill>
    <fill>
      <patternFill patternType="solid">
        <fgColor theme="4"/>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0.14999847407452621"/>
        <bgColor theme="8" tint="0.79998168889431442"/>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6" tint="0.79998168889431442"/>
        <bgColor indexed="64"/>
      </patternFill>
    </fill>
  </fills>
  <borders count="7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5" tint="0.39997558519241921"/>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thin">
        <color indexed="64"/>
      </top>
      <bottom/>
      <diagonal/>
    </border>
    <border>
      <left style="medium">
        <color indexed="64"/>
      </left>
      <right style="medium">
        <color rgb="FF000000"/>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726">
    <xf numFmtId="0" fontId="0" fillId="0" borderId="0" xfId="0"/>
    <xf numFmtId="0" fontId="3" fillId="0" borderId="0" xfId="0" applyFont="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2" fillId="6" borderId="0" xfId="0" applyFont="1" applyFill="1" applyAlignment="1" applyProtection="1">
      <alignment horizontal="center" vertical="center"/>
      <protection locked="0"/>
    </xf>
    <xf numFmtId="0" fontId="0" fillId="0" borderId="0" xfId="0" applyProtection="1">
      <protection locked="0"/>
    </xf>
    <xf numFmtId="9" fontId="2" fillId="3" borderId="23" xfId="2" applyFont="1" applyFill="1" applyBorder="1" applyAlignment="1" applyProtection="1">
      <alignment horizontal="center" vertical="center"/>
    </xf>
    <xf numFmtId="166" fontId="0" fillId="0" borderId="0" xfId="0" applyNumberFormat="1" applyProtection="1">
      <protection locked="0"/>
    </xf>
    <xf numFmtId="0" fontId="2" fillId="2" borderId="22" xfId="0" applyFont="1" applyFill="1" applyBorder="1" applyAlignment="1" applyProtection="1">
      <alignment vertical="center"/>
      <protection locked="0"/>
    </xf>
    <xf numFmtId="0" fontId="6" fillId="0" borderId="0" xfId="0" applyFont="1" applyAlignment="1" applyProtection="1">
      <alignment horizontal="center" vertical="center"/>
      <protection locked="0"/>
    </xf>
    <xf numFmtId="0" fontId="2" fillId="2" borderId="20" xfId="0" applyFont="1" applyFill="1" applyBorder="1" applyAlignment="1" applyProtection="1">
      <alignment horizontal="center" vertical="center" readingOrder="2"/>
      <protection locked="0"/>
    </xf>
    <xf numFmtId="0" fontId="2" fillId="2" borderId="21" xfId="0" applyFont="1" applyFill="1" applyBorder="1" applyAlignment="1" applyProtection="1">
      <alignment horizontal="center" vertical="center" readingOrder="2"/>
      <protection locked="0"/>
    </xf>
    <xf numFmtId="0" fontId="2" fillId="2" borderId="22" xfId="0" applyFont="1" applyFill="1" applyBorder="1" applyAlignment="1" applyProtection="1">
      <alignment horizontal="center" vertical="center" readingOrder="2"/>
      <protection locked="0"/>
    </xf>
    <xf numFmtId="166" fontId="7" fillId="3" borderId="16" xfId="0" applyNumberFormat="1" applyFont="1" applyFill="1" applyBorder="1" applyAlignment="1">
      <alignment horizontal="center" vertical="center"/>
    </xf>
    <xf numFmtId="166" fontId="7" fillId="3" borderId="17" xfId="0" applyNumberFormat="1" applyFont="1" applyFill="1" applyBorder="1" applyAlignment="1">
      <alignment horizontal="center" vertical="center"/>
    </xf>
    <xf numFmtId="166" fontId="8" fillId="2" borderId="22" xfId="0" applyNumberFormat="1" applyFont="1" applyFill="1" applyBorder="1" applyAlignment="1">
      <alignment horizontal="center" vertical="center"/>
    </xf>
    <xf numFmtId="0" fontId="6" fillId="3" borderId="18" xfId="0" applyFont="1" applyFill="1" applyBorder="1" applyAlignment="1" applyProtection="1">
      <alignment horizontal="center" vertical="center" readingOrder="2"/>
      <protection locked="0"/>
    </xf>
    <xf numFmtId="166" fontId="7" fillId="3" borderId="19" xfId="0" applyNumberFormat="1" applyFont="1" applyFill="1" applyBorder="1" applyAlignment="1">
      <alignment horizontal="center" vertical="center"/>
    </xf>
    <xf numFmtId="0" fontId="3" fillId="0" borderId="0" xfId="0" applyFont="1" applyAlignment="1">
      <alignment horizontal="center" vertical="center"/>
    </xf>
    <xf numFmtId="165" fontId="3" fillId="0" borderId="0" xfId="1" applyNumberFormat="1" applyFont="1" applyAlignment="1" applyProtection="1">
      <alignment horizontal="center" vertical="center"/>
      <protection locked="0"/>
    </xf>
    <xf numFmtId="0" fontId="10" fillId="0" borderId="0" xfId="0" applyFont="1"/>
    <xf numFmtId="0" fontId="11" fillId="0" borderId="0" xfId="0" applyFont="1" applyAlignment="1" applyProtection="1">
      <alignment horizontal="center" vertical="center"/>
      <protection locked="0"/>
    </xf>
    <xf numFmtId="0" fontId="3" fillId="0" borderId="0" xfId="0" applyFont="1" applyAlignment="1" applyProtection="1">
      <alignment horizontal="center" vertical="center" wrapText="1"/>
      <protection locked="0"/>
    </xf>
    <xf numFmtId="166" fontId="3" fillId="0" borderId="15" xfId="0" applyNumberFormat="1" applyFont="1" applyBorder="1" applyAlignment="1">
      <alignment horizontal="center" vertical="center"/>
    </xf>
    <xf numFmtId="38" fontId="6" fillId="0" borderId="0" xfId="0" applyNumberFormat="1" applyFont="1" applyAlignment="1" applyProtection="1">
      <alignment horizontal="center" vertical="center"/>
      <protection locked="0"/>
    </xf>
    <xf numFmtId="167" fontId="6" fillId="0" borderId="0" xfId="0" applyNumberFormat="1" applyFont="1" applyAlignment="1" applyProtection="1">
      <alignment horizontal="center" vertical="center"/>
      <protection locked="0"/>
    </xf>
    <xf numFmtId="38" fontId="14" fillId="0" borderId="0" xfId="0" applyNumberFormat="1" applyFont="1" applyAlignment="1" applyProtection="1">
      <alignment horizontal="center" vertical="center"/>
      <protection locked="0"/>
    </xf>
    <xf numFmtId="0" fontId="9" fillId="0" borderId="0" xfId="0" applyFont="1" applyAlignment="1" applyProtection="1">
      <alignment vertical="center"/>
      <protection locked="0"/>
    </xf>
    <xf numFmtId="0" fontId="15" fillId="0" borderId="0" xfId="0" applyFont="1" applyAlignment="1">
      <alignment horizontal="justify" vertical="center" readingOrder="2"/>
    </xf>
    <xf numFmtId="0" fontId="2" fillId="2" borderId="8" xfId="0" applyFont="1" applyFill="1" applyBorder="1" applyAlignment="1" applyProtection="1">
      <alignment horizontal="center" vertical="center"/>
      <protection locked="0"/>
    </xf>
    <xf numFmtId="0" fontId="2" fillId="2" borderId="41" xfId="0" applyFont="1" applyFill="1" applyBorder="1" applyAlignment="1" applyProtection="1">
      <alignment horizontal="center" vertical="center"/>
      <protection locked="0"/>
    </xf>
    <xf numFmtId="0" fontId="2" fillId="2" borderId="56" xfId="0" applyFont="1" applyFill="1" applyBorder="1" applyAlignment="1" applyProtection="1">
      <alignment horizontal="center" vertical="center"/>
      <protection locked="0"/>
    </xf>
    <xf numFmtId="0" fontId="2" fillId="2" borderId="40" xfId="0" applyFont="1" applyFill="1" applyBorder="1" applyAlignment="1" applyProtection="1">
      <alignment horizontal="center" vertical="center"/>
      <protection locked="0"/>
    </xf>
    <xf numFmtId="0" fontId="2" fillId="2" borderId="55" xfId="0" applyFont="1" applyFill="1" applyBorder="1" applyAlignment="1" applyProtection="1">
      <alignment horizontal="center" vertical="center"/>
      <protection locked="0"/>
    </xf>
    <xf numFmtId="0" fontId="18" fillId="0" borderId="0" xfId="0" applyFont="1"/>
    <xf numFmtId="0" fontId="2" fillId="2" borderId="42" xfId="0" applyFont="1" applyFill="1" applyBorder="1" applyAlignment="1" applyProtection="1">
      <alignment vertical="center"/>
      <protection locked="0"/>
    </xf>
    <xf numFmtId="0" fontId="2" fillId="0" borderId="0" xfId="0" applyFont="1" applyAlignment="1" applyProtection="1">
      <alignment horizontal="right" vertical="center"/>
      <protection locked="0"/>
    </xf>
    <xf numFmtId="9" fontId="3" fillId="0" borderId="0" xfId="2" applyFont="1" applyFill="1" applyBorder="1" applyAlignment="1" applyProtection="1">
      <alignment horizontal="center" vertical="center"/>
    </xf>
    <xf numFmtId="0" fontId="2" fillId="0" borderId="0" xfId="0" applyFont="1" applyAlignment="1" applyProtection="1">
      <alignment horizontal="right" vertical="center" wrapText="1"/>
      <protection locked="0"/>
    </xf>
    <xf numFmtId="0" fontId="2" fillId="0" borderId="2" xfId="0" applyFont="1" applyBorder="1" applyAlignment="1" applyProtection="1">
      <alignment vertical="center"/>
      <protection locked="0"/>
    </xf>
    <xf numFmtId="9" fontId="3" fillId="12" borderId="33" xfId="2" applyFont="1" applyFill="1" applyBorder="1" applyAlignment="1" applyProtection="1">
      <alignment horizontal="center" vertical="center"/>
    </xf>
    <xf numFmtId="9" fontId="3" fillId="12" borderId="21" xfId="2" applyFont="1" applyFill="1" applyBorder="1" applyAlignment="1" applyProtection="1">
      <alignment horizontal="center" vertical="center"/>
    </xf>
    <xf numFmtId="166" fontId="12" fillId="12" borderId="21" xfId="0" applyNumberFormat="1" applyFont="1" applyFill="1" applyBorder="1" applyAlignment="1">
      <alignment horizontal="center" vertical="center"/>
    </xf>
    <xf numFmtId="0" fontId="2" fillId="12" borderId="34" xfId="0" applyFont="1" applyFill="1" applyBorder="1" applyAlignment="1" applyProtection="1">
      <alignment horizontal="center" vertical="center"/>
      <protection locked="0"/>
    </xf>
    <xf numFmtId="9" fontId="24" fillId="0" borderId="0" xfId="0" applyNumberFormat="1" applyFont="1" applyProtection="1">
      <protection locked="0"/>
    </xf>
    <xf numFmtId="9" fontId="2" fillId="0" borderId="0" xfId="2" applyFont="1" applyFill="1" applyBorder="1" applyAlignment="1" applyProtection="1">
      <alignment horizontal="center" vertical="center"/>
    </xf>
    <xf numFmtId="0" fontId="3" fillId="0" borderId="25" xfId="0" applyFont="1" applyBorder="1" applyAlignment="1" applyProtection="1">
      <alignment horizontal="center" vertical="center"/>
      <protection locked="0"/>
    </xf>
    <xf numFmtId="0" fontId="2" fillId="0" borderId="0" xfId="0" applyFont="1" applyAlignment="1">
      <alignment horizontal="center" vertical="center"/>
    </xf>
    <xf numFmtId="166" fontId="3" fillId="0" borderId="0" xfId="0" applyNumberFormat="1" applyFont="1" applyAlignment="1">
      <alignment horizontal="center" vertical="center"/>
    </xf>
    <xf numFmtId="0" fontId="32" fillId="0" borderId="0" xfId="0" applyFont="1"/>
    <xf numFmtId="0" fontId="33" fillId="0" borderId="0" xfId="0" applyFont="1"/>
    <xf numFmtId="0" fontId="34" fillId="0" borderId="0" xfId="0" applyFont="1"/>
    <xf numFmtId="0" fontId="35" fillId="0" borderId="0" xfId="0" applyFont="1"/>
    <xf numFmtId="0" fontId="2" fillId="7" borderId="37" xfId="0" applyFont="1" applyFill="1" applyBorder="1" applyAlignment="1" applyProtection="1">
      <alignment horizontal="center" vertical="center"/>
      <protection locked="0"/>
    </xf>
    <xf numFmtId="9" fontId="2" fillId="7" borderId="21" xfId="2" applyFont="1" applyFill="1" applyBorder="1" applyAlignment="1" applyProtection="1">
      <alignment horizontal="center" vertical="center"/>
    </xf>
    <xf numFmtId="9" fontId="2" fillId="7" borderId="22" xfId="2" applyFont="1" applyFill="1" applyBorder="1" applyAlignment="1" applyProtection="1">
      <alignment horizontal="center" vertical="center"/>
    </xf>
    <xf numFmtId="38" fontId="6" fillId="4" borderId="0" xfId="0" applyNumberFormat="1" applyFont="1" applyFill="1" applyAlignment="1" applyProtection="1">
      <alignment horizontal="center" vertical="center"/>
      <protection locked="0"/>
    </xf>
    <xf numFmtId="166" fontId="3" fillId="0" borderId="8" xfId="0" applyNumberFormat="1" applyFont="1" applyBorder="1" applyAlignment="1">
      <alignment horizontal="center" vertical="center"/>
    </xf>
    <xf numFmtId="166" fontId="3" fillId="0" borderId="9" xfId="0" applyNumberFormat="1" applyFont="1" applyBorder="1" applyAlignment="1">
      <alignment horizontal="center" vertical="center"/>
    </xf>
    <xf numFmtId="166" fontId="3" fillId="0" borderId="32" xfId="0" applyNumberFormat="1" applyFont="1" applyBorder="1" applyAlignment="1">
      <alignment horizontal="center" vertical="center"/>
    </xf>
    <xf numFmtId="38" fontId="6" fillId="4" borderId="11" xfId="0" applyNumberFormat="1" applyFont="1" applyFill="1" applyBorder="1" applyAlignment="1" applyProtection="1">
      <alignment horizontal="center" vertical="center"/>
      <protection locked="0"/>
    </xf>
    <xf numFmtId="38" fontId="6" fillId="0" borderId="11" xfId="0" applyNumberFormat="1" applyFont="1" applyBorder="1" applyAlignment="1" applyProtection="1">
      <alignment horizontal="center" vertical="center"/>
      <protection locked="0"/>
    </xf>
    <xf numFmtId="38" fontId="6" fillId="0" borderId="12" xfId="0" applyNumberFormat="1"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36" fillId="0" borderId="0" xfId="0" applyFont="1"/>
    <xf numFmtId="0" fontId="42" fillId="0" borderId="0" xfId="0" applyFont="1"/>
    <xf numFmtId="166" fontId="2" fillId="12" borderId="61" xfId="1" applyNumberFormat="1" applyFont="1" applyFill="1" applyBorder="1" applyAlignment="1">
      <alignment horizontal="center" vertical="center"/>
    </xf>
    <xf numFmtId="0" fontId="2" fillId="2" borderId="0" xfId="0" applyFont="1" applyFill="1" applyAlignment="1">
      <alignment horizontal="center" vertical="center"/>
    </xf>
    <xf numFmtId="166" fontId="2" fillId="12" borderId="6" xfId="0" applyNumberFormat="1" applyFont="1" applyFill="1" applyBorder="1" applyAlignment="1">
      <alignment horizontal="center" vertical="center"/>
    </xf>
    <xf numFmtId="9" fontId="3" fillId="0" borderId="62" xfId="2" applyFont="1" applyFill="1" applyBorder="1" applyAlignment="1">
      <alignment horizontal="center" vertical="center"/>
    </xf>
    <xf numFmtId="3" fontId="2" fillId="12" borderId="63" xfId="0" applyNumberFormat="1" applyFont="1" applyFill="1" applyBorder="1" applyAlignment="1">
      <alignment horizontal="center" vertical="center"/>
    </xf>
    <xf numFmtId="166" fontId="3" fillId="0" borderId="62" xfId="0" applyNumberFormat="1" applyFont="1" applyBorder="1" applyAlignment="1">
      <alignment horizontal="center" vertical="center"/>
    </xf>
    <xf numFmtId="0" fontId="2" fillId="0" borderId="62" xfId="0" applyFont="1" applyBorder="1" applyAlignment="1">
      <alignment horizontal="center" vertical="center"/>
    </xf>
    <xf numFmtId="0" fontId="2" fillId="2" borderId="62" xfId="0" applyFont="1" applyFill="1" applyBorder="1" applyAlignment="1">
      <alignment horizontal="center" vertical="center"/>
    </xf>
    <xf numFmtId="0" fontId="46" fillId="0" borderId="0" xfId="0" applyFont="1"/>
    <xf numFmtId="0" fontId="47" fillId="0" borderId="0" xfId="0" applyFont="1" applyAlignment="1" applyProtection="1">
      <alignment vertical="center"/>
      <protection locked="0"/>
    </xf>
    <xf numFmtId="3" fontId="48" fillId="0" borderId="0" xfId="0" applyNumberFormat="1" applyFont="1"/>
    <xf numFmtId="0" fontId="48" fillId="0" borderId="0" xfId="0" applyFont="1"/>
    <xf numFmtId="9" fontId="44" fillId="0" borderId="0" xfId="2" applyFont="1" applyFill="1" applyBorder="1" applyAlignment="1">
      <alignment horizontal="center" vertical="center"/>
    </xf>
    <xf numFmtId="3" fontId="44" fillId="0" borderId="0" xfId="2" applyNumberFormat="1" applyFont="1" applyFill="1" applyBorder="1" applyAlignment="1">
      <alignment horizontal="center" vertical="center"/>
    </xf>
    <xf numFmtId="166" fontId="49" fillId="0" borderId="15" xfId="0" applyNumberFormat="1" applyFont="1" applyBorder="1"/>
    <xf numFmtId="0" fontId="49" fillId="0" borderId="15" xfId="0" applyFont="1" applyBorder="1"/>
    <xf numFmtId="9" fontId="44" fillId="0" borderId="15" xfId="2" applyFont="1" applyFill="1" applyBorder="1" applyAlignment="1"/>
    <xf numFmtId="38" fontId="14" fillId="0" borderId="0" xfId="0" applyNumberFormat="1" applyFont="1" applyAlignment="1" applyProtection="1">
      <alignment vertical="center"/>
      <protection locked="0"/>
    </xf>
    <xf numFmtId="166" fontId="14" fillId="0" borderId="0" xfId="0" applyNumberFormat="1" applyFont="1" applyAlignment="1">
      <alignment horizontal="center" vertical="center"/>
    </xf>
    <xf numFmtId="0" fontId="2" fillId="2" borderId="34" xfId="0" applyFont="1" applyFill="1" applyBorder="1" applyAlignment="1" applyProtection="1">
      <alignment horizontal="center" vertical="center"/>
      <protection locked="0"/>
    </xf>
    <xf numFmtId="0" fontId="2" fillId="2" borderId="36" xfId="0" applyFont="1" applyFill="1" applyBorder="1" applyAlignment="1" applyProtection="1">
      <alignment horizontal="center" vertical="center"/>
      <protection locked="0"/>
    </xf>
    <xf numFmtId="0" fontId="2" fillId="2" borderId="38" xfId="0" applyFont="1" applyFill="1" applyBorder="1" applyAlignment="1" applyProtection="1">
      <alignment horizontal="center" vertical="center"/>
      <protection locked="0"/>
    </xf>
    <xf numFmtId="166" fontId="14" fillId="10" borderId="22" xfId="0" applyNumberFormat="1" applyFont="1" applyFill="1" applyBorder="1" applyAlignment="1">
      <alignment horizontal="center" vertical="center"/>
    </xf>
    <xf numFmtId="9" fontId="6" fillId="3" borderId="8" xfId="2" applyFont="1" applyFill="1" applyBorder="1" applyAlignment="1" applyProtection="1">
      <alignment horizontal="center" vertical="center"/>
      <protection locked="0"/>
    </xf>
    <xf numFmtId="9" fontId="6" fillId="3" borderId="9" xfId="2" applyFont="1" applyFill="1" applyBorder="1" applyAlignment="1" applyProtection="1">
      <alignment horizontal="center" vertical="center"/>
      <protection locked="0"/>
    </xf>
    <xf numFmtId="166" fontId="14" fillId="0" borderId="5" xfId="0" applyNumberFormat="1" applyFont="1" applyBorder="1" applyAlignment="1">
      <alignment horizontal="center" vertical="center"/>
    </xf>
    <xf numFmtId="166" fontId="14" fillId="0" borderId="6" xfId="0" applyNumberFormat="1" applyFont="1" applyBorder="1" applyAlignment="1">
      <alignment horizontal="center" vertical="center"/>
    </xf>
    <xf numFmtId="1" fontId="6" fillId="3" borderId="15" xfId="2" applyNumberFormat="1" applyFont="1" applyFill="1" applyBorder="1" applyAlignment="1" applyProtection="1">
      <alignment horizontal="center" vertical="center"/>
      <protection locked="0"/>
    </xf>
    <xf numFmtId="9" fontId="6" fillId="3" borderId="7" xfId="2" applyFont="1" applyFill="1" applyBorder="1" applyAlignment="1" applyProtection="1">
      <alignment horizontal="center" vertical="center"/>
      <protection locked="0"/>
    </xf>
    <xf numFmtId="1" fontId="6" fillId="3" borderId="31" xfId="2" applyNumberFormat="1" applyFont="1" applyFill="1" applyBorder="1" applyAlignment="1" applyProtection="1">
      <alignment horizontal="center" vertical="center"/>
      <protection locked="0"/>
    </xf>
    <xf numFmtId="1" fontId="6" fillId="3" borderId="32" xfId="2" applyNumberFormat="1" applyFont="1" applyFill="1" applyBorder="1" applyAlignment="1" applyProtection="1">
      <alignment horizontal="center" vertical="center"/>
      <protection locked="0"/>
    </xf>
    <xf numFmtId="166" fontId="14" fillId="0" borderId="10" xfId="0" applyNumberFormat="1" applyFont="1" applyBorder="1" applyAlignment="1">
      <alignment horizontal="center" vertical="center"/>
    </xf>
    <xf numFmtId="166" fontId="14" fillId="0" borderId="11" xfId="0" applyNumberFormat="1" applyFont="1" applyBorder="1" applyAlignment="1">
      <alignment horizontal="center" vertical="center"/>
    </xf>
    <xf numFmtId="166" fontId="14" fillId="0" borderId="12" xfId="0" applyNumberFormat="1" applyFont="1" applyBorder="1" applyAlignment="1">
      <alignment horizontal="center" vertical="center"/>
    </xf>
    <xf numFmtId="38" fontId="3" fillId="0" borderId="0" xfId="0" applyNumberFormat="1" applyFont="1" applyAlignment="1" applyProtection="1">
      <alignment horizontal="center" vertical="center"/>
      <protection locked="0"/>
    </xf>
    <xf numFmtId="0" fontId="53" fillId="0" borderId="0" xfId="0" applyFont="1" applyAlignment="1" applyProtection="1">
      <alignment horizontal="center" vertical="center"/>
      <protection locked="0"/>
    </xf>
    <xf numFmtId="166" fontId="53" fillId="0" borderId="0" xfId="0" applyNumberFormat="1" applyFont="1" applyAlignment="1" applyProtection="1">
      <alignment horizontal="center" vertical="center"/>
      <protection locked="0"/>
    </xf>
    <xf numFmtId="166" fontId="53" fillId="0" borderId="0" xfId="0" applyNumberFormat="1" applyFont="1" applyAlignment="1">
      <alignment horizontal="center" vertical="center"/>
    </xf>
    <xf numFmtId="0" fontId="2" fillId="0" borderId="8" xfId="0" applyFont="1" applyBorder="1" applyAlignment="1" applyProtection="1">
      <alignment horizontal="center" vertical="center"/>
      <protection locked="0"/>
    </xf>
    <xf numFmtId="166" fontId="2" fillId="0" borderId="15" xfId="0" applyNumberFormat="1" applyFont="1" applyBorder="1" applyAlignment="1">
      <alignment horizontal="center" vertical="center"/>
    </xf>
    <xf numFmtId="1" fontId="14" fillId="0" borderId="8" xfId="2" applyNumberFormat="1" applyFont="1" applyFill="1" applyBorder="1" applyAlignment="1" applyProtection="1">
      <alignment horizontal="center" vertical="center"/>
    </xf>
    <xf numFmtId="165" fontId="54" fillId="9" borderId="15" xfId="1" applyNumberFormat="1" applyFont="1" applyFill="1" applyBorder="1" applyAlignment="1">
      <alignment horizontal="center" vertical="top" wrapText="1" readingOrder="2"/>
    </xf>
    <xf numFmtId="166" fontId="3" fillId="0" borderId="11" xfId="0" applyNumberFormat="1" applyFont="1" applyBorder="1" applyAlignment="1">
      <alignment horizontal="center" vertical="center"/>
    </xf>
    <xf numFmtId="165" fontId="54" fillId="9" borderId="31" xfId="1" applyNumberFormat="1" applyFont="1" applyFill="1" applyBorder="1" applyAlignment="1">
      <alignment horizontal="center" vertical="center" wrapText="1" readingOrder="2"/>
    </xf>
    <xf numFmtId="0" fontId="2" fillId="15" borderId="35" xfId="0" applyFont="1" applyFill="1" applyBorder="1" applyAlignment="1">
      <alignment horizontal="center" vertical="center"/>
    </xf>
    <xf numFmtId="166" fontId="2" fillId="15" borderId="35" xfId="0" applyNumberFormat="1" applyFont="1" applyFill="1" applyBorder="1" applyAlignment="1">
      <alignment horizontal="center" vertical="center"/>
    </xf>
    <xf numFmtId="166" fontId="12" fillId="15" borderId="39" xfId="0" applyNumberFormat="1" applyFont="1" applyFill="1" applyBorder="1" applyAlignment="1">
      <alignment horizontal="center" vertical="center"/>
    </xf>
    <xf numFmtId="166" fontId="2" fillId="15" borderId="39" xfId="0" applyNumberFormat="1" applyFont="1" applyFill="1" applyBorder="1" applyAlignment="1">
      <alignment horizontal="center" vertical="center"/>
    </xf>
    <xf numFmtId="166" fontId="12" fillId="15" borderId="35" xfId="0" applyNumberFormat="1" applyFont="1" applyFill="1" applyBorder="1" applyAlignment="1">
      <alignment horizontal="center" vertical="center"/>
    </xf>
    <xf numFmtId="165" fontId="54" fillId="9" borderId="10" xfId="1" applyNumberFormat="1" applyFont="1" applyFill="1" applyBorder="1" applyAlignment="1">
      <alignment horizontal="center" vertical="center" wrapText="1" readingOrder="2"/>
    </xf>
    <xf numFmtId="166" fontId="6" fillId="0" borderId="8" xfId="0" applyNumberFormat="1" applyFont="1" applyBorder="1" applyAlignment="1">
      <alignment horizontal="center" vertical="center"/>
    </xf>
    <xf numFmtId="166" fontId="6" fillId="0" borderId="9" xfId="0" applyNumberFormat="1" applyFont="1" applyBorder="1" applyAlignment="1">
      <alignment horizontal="center" vertical="center"/>
    </xf>
    <xf numFmtId="166" fontId="13" fillId="9" borderId="32" xfId="0" applyNumberFormat="1" applyFont="1" applyFill="1" applyBorder="1" applyAlignment="1">
      <alignment horizontal="center" vertical="top" wrapText="1" readingOrder="2"/>
    </xf>
    <xf numFmtId="1" fontId="14" fillId="0" borderId="15" xfId="2" applyNumberFormat="1" applyFont="1" applyFill="1" applyBorder="1" applyAlignment="1" applyProtection="1">
      <alignment horizontal="center" vertical="center"/>
    </xf>
    <xf numFmtId="166" fontId="6" fillId="0" borderId="15" xfId="0" applyNumberFormat="1" applyFont="1" applyBorder="1" applyAlignment="1">
      <alignment horizontal="center" vertical="center"/>
    </xf>
    <xf numFmtId="166" fontId="13" fillId="9" borderId="15" xfId="0" applyNumberFormat="1" applyFont="1" applyFill="1" applyBorder="1" applyAlignment="1">
      <alignment horizontal="center" vertical="top" wrapText="1" readingOrder="2"/>
    </xf>
    <xf numFmtId="10" fontId="6" fillId="0" borderId="31" xfId="0" applyNumberFormat="1" applyFont="1" applyBorder="1" applyAlignment="1" applyProtection="1">
      <alignment horizontal="center" vertical="center"/>
      <protection locked="0"/>
    </xf>
    <xf numFmtId="166" fontId="6" fillId="0" borderId="32" xfId="0" applyNumberFormat="1" applyFont="1" applyBorder="1" applyAlignment="1">
      <alignment horizontal="center" vertical="center"/>
    </xf>
    <xf numFmtId="10" fontId="6" fillId="0" borderId="10" xfId="0" applyNumberFormat="1" applyFont="1" applyBorder="1" applyAlignment="1" applyProtection="1">
      <alignment horizontal="center" vertical="center"/>
      <protection locked="0"/>
    </xf>
    <xf numFmtId="1" fontId="6" fillId="0" borderId="11" xfId="2" applyNumberFormat="1" applyFont="1" applyFill="1" applyBorder="1" applyAlignment="1" applyProtection="1">
      <alignment horizontal="center" vertical="center"/>
    </xf>
    <xf numFmtId="165" fontId="54" fillId="9" borderId="11" xfId="1" applyNumberFormat="1" applyFont="1" applyFill="1" applyBorder="1" applyAlignment="1">
      <alignment horizontal="center" vertical="top" wrapText="1" readingOrder="2"/>
    </xf>
    <xf numFmtId="166" fontId="13" fillId="9" borderId="11" xfId="0" applyNumberFormat="1" applyFont="1" applyFill="1" applyBorder="1" applyAlignment="1">
      <alignment horizontal="center" vertical="top" wrapText="1" readingOrder="2"/>
    </xf>
    <xf numFmtId="166" fontId="13" fillId="9" borderId="12" xfId="0" applyNumberFormat="1" applyFont="1" applyFill="1" applyBorder="1" applyAlignment="1">
      <alignment horizontal="center" vertical="top" wrapText="1" readingOrder="2"/>
    </xf>
    <xf numFmtId="166" fontId="14" fillId="0" borderId="15" xfId="0" applyNumberFormat="1" applyFont="1" applyBorder="1" applyAlignment="1">
      <alignment horizontal="center" vertical="center" readingOrder="2"/>
    </xf>
    <xf numFmtId="38" fontId="2" fillId="2" borderId="34" xfId="0" applyNumberFormat="1" applyFont="1" applyFill="1" applyBorder="1" applyAlignment="1" applyProtection="1">
      <alignment horizontal="center" vertical="center"/>
      <protection locked="0"/>
    </xf>
    <xf numFmtId="38" fontId="14" fillId="3" borderId="16" xfId="0" applyNumberFormat="1" applyFont="1" applyFill="1" applyBorder="1" applyAlignment="1" applyProtection="1">
      <alignment horizontal="center" vertical="center"/>
      <protection locked="0"/>
    </xf>
    <xf numFmtId="9" fontId="14" fillId="3" borderId="16" xfId="2" applyFont="1" applyFill="1" applyBorder="1" applyAlignment="1" applyProtection="1">
      <alignment horizontal="center" vertical="center"/>
      <protection locked="0"/>
    </xf>
    <xf numFmtId="38" fontId="2" fillId="3" borderId="19" xfId="0" applyNumberFormat="1" applyFont="1" applyFill="1" applyBorder="1" applyAlignment="1" applyProtection="1">
      <alignment horizontal="center" vertical="center"/>
      <protection locked="0"/>
    </xf>
    <xf numFmtId="0" fontId="2" fillId="3" borderId="19" xfId="0" applyFont="1" applyFill="1" applyBorder="1" applyAlignment="1" applyProtection="1">
      <alignment horizontal="center" vertical="center"/>
      <protection locked="0"/>
    </xf>
    <xf numFmtId="38" fontId="6" fillId="4" borderId="15" xfId="0" applyNumberFormat="1" applyFont="1" applyFill="1" applyBorder="1" applyAlignment="1" applyProtection="1">
      <alignment horizontal="center" vertical="center"/>
      <protection locked="0"/>
    </xf>
    <xf numFmtId="38" fontId="6" fillId="0" borderId="15" xfId="0" applyNumberFormat="1" applyFont="1" applyBorder="1" applyAlignment="1" applyProtection="1">
      <alignment horizontal="center" vertical="center"/>
      <protection locked="0"/>
    </xf>
    <xf numFmtId="38" fontId="6" fillId="0" borderId="32" xfId="0" applyNumberFormat="1" applyFont="1" applyBorder="1" applyAlignment="1" applyProtection="1">
      <alignment horizontal="center" vertical="center"/>
      <protection locked="0"/>
    </xf>
    <xf numFmtId="165" fontId="54" fillId="9" borderId="18" xfId="1" applyNumberFormat="1" applyFont="1" applyFill="1" applyBorder="1" applyAlignment="1">
      <alignment horizontal="center" vertical="center" wrapText="1" readingOrder="2"/>
    </xf>
    <xf numFmtId="38" fontId="6" fillId="4" borderId="19" xfId="0" applyNumberFormat="1" applyFont="1" applyFill="1" applyBorder="1" applyAlignment="1" applyProtection="1">
      <alignment horizontal="center" vertical="center"/>
      <protection locked="0"/>
    </xf>
    <xf numFmtId="0" fontId="0" fillId="0" borderId="0" xfId="0" applyAlignment="1">
      <alignment horizontal="right"/>
    </xf>
    <xf numFmtId="0" fontId="3" fillId="0" borderId="0" xfId="0" applyFont="1" applyAlignment="1" applyProtection="1">
      <alignment horizontal="right" vertical="center"/>
      <protection locked="0"/>
    </xf>
    <xf numFmtId="165" fontId="54" fillId="9" borderId="52" xfId="1" applyNumberFormat="1" applyFont="1" applyFill="1" applyBorder="1" applyAlignment="1">
      <alignment horizontal="center" vertical="center" wrapText="1" readingOrder="2"/>
    </xf>
    <xf numFmtId="166" fontId="2" fillId="0" borderId="16" xfId="0" applyNumberFormat="1" applyFont="1" applyBorder="1" applyAlignment="1">
      <alignment horizontal="center" vertical="center"/>
    </xf>
    <xf numFmtId="166" fontId="3" fillId="0" borderId="16" xfId="0" applyNumberFormat="1" applyFont="1" applyBorder="1" applyAlignment="1">
      <alignment horizontal="center" vertical="center"/>
    </xf>
    <xf numFmtId="166" fontId="3" fillId="0" borderId="17" xfId="0" applyNumberFormat="1" applyFont="1" applyBorder="1" applyAlignment="1">
      <alignment horizontal="center" vertical="center"/>
    </xf>
    <xf numFmtId="0" fontId="2" fillId="0" borderId="11" xfId="0" applyFont="1" applyBorder="1" applyAlignment="1" applyProtection="1">
      <alignment horizontal="center" vertical="center"/>
      <protection locked="0"/>
    </xf>
    <xf numFmtId="166" fontId="3" fillId="0" borderId="12" xfId="0" applyNumberFormat="1" applyFont="1" applyBorder="1" applyAlignment="1">
      <alignment horizontal="center" vertical="center"/>
    </xf>
    <xf numFmtId="165" fontId="2" fillId="0" borderId="0" xfId="1" applyNumberFormat="1" applyFont="1" applyAlignment="1" applyProtection="1">
      <alignment horizontal="center" vertical="center"/>
      <protection locked="0"/>
    </xf>
    <xf numFmtId="0" fontId="2" fillId="8" borderId="0" xfId="0" applyFont="1" applyFill="1" applyAlignment="1" applyProtection="1">
      <alignment horizontal="center" vertical="center"/>
      <protection locked="0"/>
    </xf>
    <xf numFmtId="3" fontId="10" fillId="0" borderId="15" xfId="0" applyNumberFormat="1" applyFont="1" applyBorder="1"/>
    <xf numFmtId="0" fontId="19" fillId="0" borderId="15" xfId="0" applyFont="1" applyBorder="1"/>
    <xf numFmtId="0" fontId="10" fillId="0" borderId="15" xfId="0" applyFont="1" applyBorder="1"/>
    <xf numFmtId="10" fontId="6" fillId="0" borderId="52" xfId="0" applyNumberFormat="1" applyFont="1" applyBorder="1" applyAlignment="1" applyProtection="1">
      <alignment horizontal="center" vertical="center"/>
      <protection locked="0"/>
    </xf>
    <xf numFmtId="1" fontId="14" fillId="0" borderId="16" xfId="2" applyNumberFormat="1" applyFont="1" applyFill="1" applyBorder="1" applyAlignment="1" applyProtection="1">
      <alignment horizontal="center" vertical="center"/>
    </xf>
    <xf numFmtId="165" fontId="54" fillId="9" borderId="16" xfId="1" applyNumberFormat="1" applyFont="1" applyFill="1" applyBorder="1" applyAlignment="1">
      <alignment horizontal="center" vertical="top" wrapText="1" readingOrder="2"/>
    </xf>
    <xf numFmtId="1" fontId="14" fillId="0" borderId="11" xfId="2" applyNumberFormat="1" applyFont="1" applyFill="1" applyBorder="1" applyAlignment="1" applyProtection="1">
      <alignment horizontal="center" vertical="center"/>
    </xf>
    <xf numFmtId="166" fontId="6" fillId="0" borderId="11" xfId="0" applyNumberFormat="1" applyFont="1" applyBorder="1" applyAlignment="1">
      <alignment horizontal="center" vertical="center"/>
    </xf>
    <xf numFmtId="166" fontId="6" fillId="0" borderId="12" xfId="0" applyNumberFormat="1" applyFont="1" applyBorder="1" applyAlignment="1">
      <alignment horizontal="center" vertical="center"/>
    </xf>
    <xf numFmtId="166" fontId="14" fillId="0" borderId="16" xfId="0" applyNumberFormat="1" applyFont="1" applyBorder="1" applyAlignment="1">
      <alignment horizontal="center" vertical="center" readingOrder="2"/>
    </xf>
    <xf numFmtId="166" fontId="14" fillId="0" borderId="8" xfId="0" applyNumberFormat="1" applyFont="1" applyBorder="1" applyAlignment="1">
      <alignment horizontal="center" vertical="center" readingOrder="2"/>
    </xf>
    <xf numFmtId="166" fontId="14" fillId="0" borderId="9" xfId="0" applyNumberFormat="1" applyFont="1" applyBorder="1" applyAlignment="1">
      <alignment horizontal="center" vertical="center" readingOrder="2"/>
    </xf>
    <xf numFmtId="166" fontId="14" fillId="0" borderId="32" xfId="0" applyNumberFormat="1" applyFont="1" applyBorder="1" applyAlignment="1">
      <alignment horizontal="center" vertical="center" readingOrder="2"/>
    </xf>
    <xf numFmtId="166" fontId="14" fillId="0" borderId="11" xfId="0" applyNumberFormat="1" applyFont="1" applyBorder="1" applyAlignment="1">
      <alignment horizontal="center" vertical="center" readingOrder="2"/>
    </xf>
    <xf numFmtId="166" fontId="14" fillId="0" borderId="12" xfId="0" applyNumberFormat="1" applyFont="1" applyBorder="1" applyAlignment="1">
      <alignment horizontal="center" vertical="center" readingOrder="2"/>
    </xf>
    <xf numFmtId="166" fontId="12" fillId="12" borderId="35" xfId="0" applyNumberFormat="1" applyFont="1" applyFill="1" applyBorder="1" applyAlignment="1">
      <alignment horizontal="center" vertical="center"/>
    </xf>
    <xf numFmtId="165" fontId="12" fillId="12" borderId="35" xfId="1" applyNumberFormat="1" applyFont="1" applyFill="1" applyBorder="1" applyAlignment="1" applyProtection="1">
      <alignment horizontal="center" vertical="center"/>
    </xf>
    <xf numFmtId="165" fontId="12" fillId="12" borderId="39" xfId="1" applyNumberFormat="1" applyFont="1" applyFill="1" applyBorder="1" applyAlignment="1" applyProtection="1">
      <alignment horizontal="center" vertical="center"/>
    </xf>
    <xf numFmtId="166" fontId="12" fillId="0" borderId="0" xfId="0" applyNumberFormat="1" applyFont="1" applyAlignment="1">
      <alignment horizontal="center" vertical="center"/>
    </xf>
    <xf numFmtId="9" fontId="3" fillId="0" borderId="15" xfId="2" applyFont="1" applyFill="1" applyBorder="1" applyAlignment="1">
      <alignment horizontal="center" vertical="center"/>
    </xf>
    <xf numFmtId="0" fontId="43" fillId="0" borderId="0" xfId="0" applyFont="1"/>
    <xf numFmtId="0" fontId="4" fillId="2" borderId="34" xfId="0" applyFont="1" applyFill="1" applyBorder="1" applyAlignment="1" applyProtection="1">
      <alignment horizontal="center" vertical="center"/>
      <protection locked="0"/>
    </xf>
    <xf numFmtId="0" fontId="55" fillId="2" borderId="34" xfId="0" applyFont="1" applyFill="1" applyBorder="1" applyAlignment="1" applyProtection="1">
      <alignment horizontal="center" vertical="center"/>
      <protection locked="0"/>
    </xf>
    <xf numFmtId="0" fontId="8" fillId="8" borderId="0" xfId="0" applyFont="1" applyFill="1" applyAlignment="1" applyProtection="1">
      <alignment horizontal="center" vertical="center"/>
      <protection locked="0"/>
    </xf>
    <xf numFmtId="0" fontId="8" fillId="8" borderId="41" xfId="0" applyFont="1" applyFill="1" applyBorder="1" applyAlignment="1" applyProtection="1">
      <alignment horizontal="center" vertical="center"/>
      <protection locked="0"/>
    </xf>
    <xf numFmtId="0" fontId="8" fillId="0" borderId="0" xfId="0" applyFont="1" applyAlignment="1" applyProtection="1">
      <alignment vertical="center"/>
      <protection locked="0"/>
    </xf>
    <xf numFmtId="0" fontId="2" fillId="0" borderId="15" xfId="0" applyFont="1" applyBorder="1" applyAlignment="1" applyProtection="1">
      <alignment horizontal="center" vertical="center"/>
      <protection locked="0"/>
    </xf>
    <xf numFmtId="0" fontId="2" fillId="4" borderId="30" xfId="0" applyFont="1" applyFill="1" applyBorder="1" applyAlignment="1" applyProtection="1">
      <alignment horizontal="center" vertical="center"/>
      <protection locked="0"/>
    </xf>
    <xf numFmtId="166" fontId="3" fillId="4" borderId="16" xfId="0" applyNumberFormat="1" applyFont="1" applyFill="1" applyBorder="1" applyAlignment="1" applyProtection="1">
      <alignment horizontal="center" vertical="center"/>
      <protection locked="0"/>
    </xf>
    <xf numFmtId="1" fontId="3" fillId="4" borderId="16" xfId="0" applyNumberFormat="1" applyFont="1" applyFill="1" applyBorder="1" applyAlignment="1">
      <alignment horizontal="center" vertical="center"/>
    </xf>
    <xf numFmtId="1" fontId="3" fillId="4" borderId="51" xfId="0" applyNumberFormat="1" applyFont="1" applyFill="1" applyBorder="1" applyAlignment="1">
      <alignment horizontal="center" vertical="center"/>
    </xf>
    <xf numFmtId="0" fontId="2" fillId="4" borderId="44" xfId="0" applyFont="1" applyFill="1" applyBorder="1" applyAlignment="1" applyProtection="1">
      <alignment horizontal="center" vertical="center"/>
      <protection locked="0"/>
    </xf>
    <xf numFmtId="166" fontId="3" fillId="4" borderId="15" xfId="0" applyNumberFormat="1" applyFont="1" applyFill="1" applyBorder="1" applyAlignment="1" applyProtection="1">
      <alignment horizontal="center" vertical="center"/>
      <protection locked="0"/>
    </xf>
    <xf numFmtId="1" fontId="3" fillId="4" borderId="15" xfId="0" applyNumberFormat="1" applyFont="1" applyFill="1" applyBorder="1" applyAlignment="1">
      <alignment horizontal="center" vertical="center"/>
    </xf>
    <xf numFmtId="1" fontId="3" fillId="4" borderId="43" xfId="0" applyNumberFormat="1" applyFont="1" applyFill="1" applyBorder="1" applyAlignment="1">
      <alignment horizontal="center" vertical="center"/>
    </xf>
    <xf numFmtId="0" fontId="2" fillId="4" borderId="48" xfId="0" applyFont="1" applyFill="1" applyBorder="1" applyAlignment="1" applyProtection="1">
      <alignment horizontal="center" vertical="center"/>
      <protection locked="0"/>
    </xf>
    <xf numFmtId="166" fontId="3" fillId="4" borderId="19" xfId="0" applyNumberFormat="1" applyFont="1" applyFill="1" applyBorder="1" applyAlignment="1" applyProtection="1">
      <alignment horizontal="center" vertical="center"/>
      <protection locked="0"/>
    </xf>
    <xf numFmtId="1" fontId="3" fillId="4" borderId="19" xfId="0" applyNumberFormat="1" applyFont="1" applyFill="1" applyBorder="1" applyAlignment="1">
      <alignment horizontal="center" vertical="center"/>
    </xf>
    <xf numFmtId="1" fontId="3" fillId="4" borderId="71" xfId="0" applyNumberFormat="1" applyFont="1" applyFill="1" applyBorder="1" applyAlignment="1">
      <alignment horizontal="center" vertical="center"/>
    </xf>
    <xf numFmtId="38" fontId="8" fillId="2" borderId="36" xfId="0" applyNumberFormat="1" applyFont="1" applyFill="1" applyBorder="1" applyAlignment="1" applyProtection="1">
      <alignment horizontal="center" vertical="center"/>
      <protection locked="0"/>
    </xf>
    <xf numFmtId="0" fontId="2" fillId="2" borderId="22" xfId="0" applyFont="1" applyFill="1" applyBorder="1" applyAlignment="1" applyProtection="1">
      <alignment horizontal="center" vertical="center"/>
      <protection locked="0"/>
    </xf>
    <xf numFmtId="0" fontId="8" fillId="12" borderId="34" xfId="0" applyFont="1" applyFill="1" applyBorder="1" applyAlignment="1" applyProtection="1">
      <alignment horizontal="center" vertical="center"/>
      <protection locked="0"/>
    </xf>
    <xf numFmtId="0" fontId="4" fillId="12" borderId="38" xfId="0" applyFont="1" applyFill="1" applyBorder="1" applyAlignment="1" applyProtection="1">
      <alignment horizontal="center" vertical="center"/>
      <protection locked="0"/>
    </xf>
    <xf numFmtId="166" fontId="61" fillId="4" borderId="0" xfId="0" applyNumberFormat="1" applyFont="1" applyFill="1"/>
    <xf numFmtId="0" fontId="61" fillId="4" borderId="0" xfId="0" applyFont="1" applyFill="1"/>
    <xf numFmtId="3" fontId="61" fillId="4" borderId="0" xfId="0" applyNumberFormat="1" applyFont="1" applyFill="1"/>
    <xf numFmtId="9" fontId="59" fillId="0" borderId="15" xfId="2" applyFont="1" applyFill="1" applyBorder="1" applyAlignment="1"/>
    <xf numFmtId="10" fontId="6" fillId="4" borderId="7" xfId="0" applyNumberFormat="1" applyFont="1" applyFill="1" applyBorder="1" applyAlignment="1" applyProtection="1">
      <alignment horizontal="center" vertical="center"/>
      <protection locked="0"/>
    </xf>
    <xf numFmtId="0" fontId="2" fillId="0" borderId="19" xfId="0" applyFont="1" applyBorder="1" applyAlignment="1" applyProtection="1">
      <alignment horizontal="center" vertical="center"/>
      <protection locked="0"/>
    </xf>
    <xf numFmtId="0" fontId="2" fillId="0" borderId="48" xfId="0" applyFont="1" applyBorder="1" applyAlignment="1" applyProtection="1">
      <alignment horizontal="center" vertical="center"/>
      <protection locked="0"/>
    </xf>
    <xf numFmtId="0" fontId="63" fillId="12" borderId="11" xfId="0" applyFont="1" applyFill="1" applyBorder="1" applyAlignment="1">
      <alignment horizontal="center" vertical="center"/>
    </xf>
    <xf numFmtId="0" fontId="2" fillId="2" borderId="19" xfId="0" applyFont="1" applyFill="1" applyBorder="1" applyAlignment="1" applyProtection="1">
      <alignment horizontal="center" vertical="center"/>
      <protection locked="0"/>
    </xf>
    <xf numFmtId="166" fontId="13" fillId="9" borderId="16" xfId="0" applyNumberFormat="1" applyFont="1" applyFill="1" applyBorder="1" applyAlignment="1">
      <alignment horizontal="center" vertical="top" wrapText="1" readingOrder="2"/>
    </xf>
    <xf numFmtId="166" fontId="13" fillId="9" borderId="17" xfId="0" applyNumberFormat="1" applyFont="1" applyFill="1" applyBorder="1" applyAlignment="1">
      <alignment horizontal="center" vertical="top" wrapText="1" readingOrder="2"/>
    </xf>
    <xf numFmtId="0" fontId="7" fillId="0" borderId="0" xfId="0" applyFont="1"/>
    <xf numFmtId="166" fontId="12" fillId="2" borderId="12" xfId="0" applyNumberFormat="1" applyFont="1" applyFill="1" applyBorder="1" applyAlignment="1">
      <alignment horizontal="center" vertical="center"/>
    </xf>
    <xf numFmtId="0" fontId="2" fillId="2" borderId="15" xfId="0" applyFont="1" applyFill="1" applyBorder="1" applyAlignment="1" applyProtection="1">
      <alignment horizontal="center" vertical="center"/>
      <protection locked="0"/>
    </xf>
    <xf numFmtId="0" fontId="2" fillId="2" borderId="20" xfId="0" applyFont="1" applyFill="1" applyBorder="1" applyAlignment="1" applyProtection="1">
      <alignment horizontal="center" vertical="center"/>
      <protection locked="0"/>
    </xf>
    <xf numFmtId="0" fontId="2" fillId="2" borderId="21" xfId="0" applyFont="1" applyFill="1" applyBorder="1" applyAlignment="1" applyProtection="1">
      <alignment horizontal="center" vertical="center"/>
      <protection locked="0"/>
    </xf>
    <xf numFmtId="0" fontId="64" fillId="0" borderId="72" xfId="0" applyFont="1" applyBorder="1" applyAlignment="1">
      <alignment horizontal="center" vertical="center"/>
    </xf>
    <xf numFmtId="0" fontId="64" fillId="0" borderId="73" xfId="0" applyFont="1" applyBorder="1" applyAlignment="1">
      <alignment horizontal="center" vertical="center"/>
    </xf>
    <xf numFmtId="0" fontId="65" fillId="0" borderId="52" xfId="0" applyFont="1" applyBorder="1" applyAlignment="1">
      <alignment horizontal="center" vertical="center"/>
    </xf>
    <xf numFmtId="0" fontId="65" fillId="0" borderId="16" xfId="0" applyFont="1" applyBorder="1"/>
    <xf numFmtId="3" fontId="65" fillId="0" borderId="16" xfId="0" applyNumberFormat="1" applyFont="1" applyBorder="1" applyAlignment="1">
      <alignment horizontal="center" vertical="center"/>
    </xf>
    <xf numFmtId="0" fontId="65" fillId="0" borderId="31" xfId="0" applyFont="1" applyBorder="1" applyAlignment="1">
      <alignment horizontal="center" vertical="center"/>
    </xf>
    <xf numFmtId="0" fontId="65" fillId="0" borderId="15" xfId="0" applyFont="1" applyBorder="1"/>
    <xf numFmtId="3" fontId="65" fillId="0" borderId="15" xfId="0" applyNumberFormat="1" applyFont="1" applyBorder="1" applyAlignment="1">
      <alignment horizontal="center" vertical="center"/>
    </xf>
    <xf numFmtId="165" fontId="2" fillId="0" borderId="26" xfId="1" applyNumberFormat="1" applyFont="1" applyFill="1" applyBorder="1" applyAlignment="1" applyProtection="1">
      <alignment horizontal="center" vertical="center"/>
    </xf>
    <xf numFmtId="0" fontId="8" fillId="2" borderId="8" xfId="0" applyFont="1" applyFill="1" applyBorder="1" applyAlignment="1" applyProtection="1">
      <alignment horizontal="center" vertical="center"/>
      <protection locked="0"/>
    </xf>
    <xf numFmtId="0" fontId="59" fillId="0" borderId="0" xfId="0" applyFont="1"/>
    <xf numFmtId="166" fontId="14" fillId="0" borderId="35" xfId="0" applyNumberFormat="1" applyFont="1" applyBorder="1" applyAlignment="1">
      <alignment horizontal="center" vertical="center" readingOrder="2"/>
    </xf>
    <xf numFmtId="166" fontId="14" fillId="0" borderId="39" xfId="0" applyNumberFormat="1" applyFont="1" applyBorder="1" applyAlignment="1">
      <alignment horizontal="center" vertical="center" readingOrder="2"/>
    </xf>
    <xf numFmtId="9" fontId="2" fillId="2" borderId="15" xfId="0" applyNumberFormat="1" applyFont="1" applyFill="1" applyBorder="1" applyAlignment="1" applyProtection="1">
      <alignment horizontal="center" vertical="center"/>
      <protection locked="0"/>
    </xf>
    <xf numFmtId="166" fontId="50" fillId="3" borderId="15" xfId="0" applyNumberFormat="1" applyFont="1" applyFill="1" applyBorder="1" applyAlignment="1">
      <alignment horizontal="center" vertical="center"/>
    </xf>
    <xf numFmtId="166" fontId="50" fillId="0" borderId="15" xfId="0" applyNumberFormat="1" applyFont="1" applyBorder="1" applyAlignment="1">
      <alignment horizontal="center" vertical="center"/>
    </xf>
    <xf numFmtId="169" fontId="14" fillId="0" borderId="0" xfId="0" applyNumberFormat="1" applyFont="1" applyAlignment="1">
      <alignment horizontal="center" vertical="center"/>
    </xf>
    <xf numFmtId="165" fontId="2" fillId="2" borderId="21" xfId="1" applyNumberFormat="1" applyFont="1" applyFill="1" applyBorder="1" applyAlignment="1" applyProtection="1">
      <alignment horizontal="center" vertical="center" wrapText="1"/>
      <protection locked="0"/>
    </xf>
    <xf numFmtId="0" fontId="2" fillId="2" borderId="21" xfId="0" applyFont="1" applyFill="1" applyBorder="1" applyAlignment="1" applyProtection="1">
      <alignment horizontal="center" vertical="center" wrapText="1"/>
      <protection locked="0"/>
    </xf>
    <xf numFmtId="165" fontId="2" fillId="2" borderId="21" xfId="1" applyNumberFormat="1" applyFont="1" applyFill="1" applyBorder="1" applyAlignment="1" applyProtection="1">
      <alignment horizontal="center" vertical="center"/>
      <protection locked="0"/>
    </xf>
    <xf numFmtId="9" fontId="3" fillId="0" borderId="8" xfId="0" applyNumberFormat="1" applyFont="1" applyBorder="1" applyAlignment="1" applyProtection="1">
      <alignment horizontal="center" vertical="center"/>
      <protection locked="0"/>
    </xf>
    <xf numFmtId="166" fontId="12" fillId="2" borderId="32" xfId="0" applyNumberFormat="1" applyFont="1" applyFill="1" applyBorder="1" applyAlignment="1">
      <alignment horizontal="center" vertical="center"/>
    </xf>
    <xf numFmtId="9" fontId="22" fillId="12" borderId="60" xfId="2" applyFont="1" applyFill="1" applyBorder="1" applyAlignment="1" applyProtection="1">
      <alignment horizontal="center" vertical="center"/>
    </xf>
    <xf numFmtId="0" fontId="12" fillId="12" borderId="35" xfId="0" applyFont="1" applyFill="1" applyBorder="1" applyAlignment="1">
      <alignment horizontal="center" vertical="center"/>
    </xf>
    <xf numFmtId="0" fontId="2" fillId="2" borderId="38" xfId="0" applyFont="1" applyFill="1" applyBorder="1" applyAlignment="1" applyProtection="1">
      <alignment vertical="center"/>
      <protection locked="0"/>
    </xf>
    <xf numFmtId="0" fontId="2" fillId="0" borderId="30" xfId="0" applyFont="1" applyBorder="1" applyAlignment="1" applyProtection="1">
      <alignment horizontal="center" vertical="center"/>
      <protection locked="0"/>
    </xf>
    <xf numFmtId="9" fontId="3" fillId="0" borderId="16" xfId="2" applyFont="1" applyFill="1" applyBorder="1" applyAlignment="1" applyProtection="1">
      <alignment horizontal="center" vertical="center"/>
    </xf>
    <xf numFmtId="0" fontId="2" fillId="0" borderId="44" xfId="0" applyFont="1" applyBorder="1" applyAlignment="1" applyProtection="1">
      <alignment horizontal="center" vertical="center"/>
      <protection locked="0"/>
    </xf>
    <xf numFmtId="9" fontId="3" fillId="4" borderId="16" xfId="2" applyFont="1" applyFill="1" applyBorder="1" applyAlignment="1" applyProtection="1">
      <alignment horizontal="center" vertical="center"/>
    </xf>
    <xf numFmtId="1" fontId="3" fillId="4" borderId="16" xfId="0" applyNumberFormat="1" applyFont="1" applyFill="1" applyBorder="1" applyAlignment="1" applyProtection="1">
      <alignment horizontal="center" vertical="center"/>
      <protection locked="0"/>
    </xf>
    <xf numFmtId="1" fontId="3" fillId="4" borderId="15" xfId="0" applyNumberFormat="1" applyFont="1" applyFill="1" applyBorder="1" applyAlignment="1" applyProtection="1">
      <alignment horizontal="center" vertical="center"/>
      <protection locked="0"/>
    </xf>
    <xf numFmtId="1" fontId="3" fillId="4" borderId="19" xfId="0" applyNumberFormat="1" applyFont="1" applyFill="1" applyBorder="1" applyAlignment="1" applyProtection="1">
      <alignment horizontal="center" vertical="center"/>
      <protection locked="0"/>
    </xf>
    <xf numFmtId="0" fontId="9" fillId="3" borderId="16" xfId="0" applyFont="1" applyFill="1" applyBorder="1" applyAlignment="1" applyProtection="1">
      <alignment horizontal="center" vertical="center"/>
      <protection locked="0"/>
    </xf>
    <xf numFmtId="0" fontId="9" fillId="3" borderId="16" xfId="0" applyFont="1" applyFill="1" applyBorder="1" applyAlignment="1" applyProtection="1">
      <alignment vertical="center"/>
      <protection locked="0"/>
    </xf>
    <xf numFmtId="0" fontId="9" fillId="3" borderId="51" xfId="0" applyFont="1" applyFill="1" applyBorder="1" applyAlignment="1" applyProtection="1">
      <alignment horizontal="center" vertical="center"/>
      <protection locked="0"/>
    </xf>
    <xf numFmtId="0" fontId="9" fillId="3" borderId="30" xfId="0" applyFont="1" applyFill="1" applyBorder="1" applyAlignment="1" applyProtection="1">
      <alignment horizontal="center" vertical="center"/>
      <protection locked="0"/>
    </xf>
    <xf numFmtId="0" fontId="9" fillId="3" borderId="0" xfId="0" applyFont="1" applyFill="1" applyAlignment="1" applyProtection="1">
      <alignment vertical="center"/>
      <protection locked="0"/>
    </xf>
    <xf numFmtId="0" fontId="2" fillId="21" borderId="11" xfId="0" applyFont="1" applyFill="1" applyBorder="1" applyAlignment="1" applyProtection="1">
      <alignment horizontal="center" vertical="center"/>
      <protection locked="0"/>
    </xf>
    <xf numFmtId="0" fontId="0" fillId="23" borderId="0" xfId="0" applyFill="1"/>
    <xf numFmtId="165" fontId="2" fillId="12" borderId="35" xfId="1" applyNumberFormat="1" applyFont="1" applyFill="1" applyBorder="1" applyAlignment="1" applyProtection="1">
      <alignment horizontal="center" vertical="center"/>
    </xf>
    <xf numFmtId="165" fontId="2" fillId="12" borderId="39" xfId="1" applyNumberFormat="1" applyFont="1" applyFill="1" applyBorder="1" applyAlignment="1" applyProtection="1">
      <alignment horizontal="center" vertical="center"/>
    </xf>
    <xf numFmtId="0" fontId="2" fillId="0" borderId="16" xfId="0" applyFont="1" applyBorder="1" applyAlignment="1" applyProtection="1">
      <alignment horizontal="right" vertical="center"/>
      <protection locked="0"/>
    </xf>
    <xf numFmtId="0" fontId="2" fillId="0" borderId="15" xfId="0" applyFont="1" applyBorder="1" applyAlignment="1" applyProtection="1">
      <alignment horizontal="right" vertical="center" wrapText="1"/>
      <protection locked="0"/>
    </xf>
    <xf numFmtId="0" fontId="2" fillId="0" borderId="15" xfId="0" applyFont="1" applyBorder="1" applyAlignment="1" applyProtection="1">
      <alignment horizontal="right" vertical="center"/>
      <protection locked="0"/>
    </xf>
    <xf numFmtId="0" fontId="2" fillId="0" borderId="19" xfId="0" applyFont="1" applyBorder="1" applyAlignment="1" applyProtection="1">
      <alignment horizontal="right" vertical="center"/>
      <protection locked="0"/>
    </xf>
    <xf numFmtId="0" fontId="2" fillId="0" borderId="25" xfId="0" applyFont="1" applyBorder="1" applyAlignment="1" applyProtection="1">
      <alignment horizontal="center" vertical="center"/>
      <protection locked="0"/>
    </xf>
    <xf numFmtId="3" fontId="21" fillId="0" borderId="0" xfId="0" applyNumberFormat="1" applyFont="1" applyAlignment="1" applyProtection="1">
      <alignment horizontal="center" vertical="center" shrinkToFit="1" readingOrder="2"/>
      <protection locked="0" hidden="1"/>
    </xf>
    <xf numFmtId="1" fontId="2" fillId="0" borderId="0" xfId="0" applyNumberFormat="1" applyFont="1" applyAlignment="1">
      <alignment horizontal="center" vertical="center"/>
    </xf>
    <xf numFmtId="0" fontId="68" fillId="0" borderId="0" xfId="0" applyFont="1"/>
    <xf numFmtId="0" fontId="8" fillId="2" borderId="19" xfId="0" applyFont="1" applyFill="1" applyBorder="1" applyAlignment="1" applyProtection="1">
      <alignment horizontal="center" vertical="center"/>
      <protection locked="0"/>
    </xf>
    <xf numFmtId="165" fontId="2" fillId="0" borderId="0" xfId="1" applyNumberFormat="1" applyFont="1" applyFill="1" applyBorder="1" applyAlignment="1" applyProtection="1">
      <alignment horizontal="center" vertical="center"/>
    </xf>
    <xf numFmtId="166" fontId="2" fillId="4" borderId="16" xfId="0" applyNumberFormat="1" applyFont="1" applyFill="1" applyBorder="1" applyAlignment="1" applyProtection="1">
      <alignment horizontal="right" vertical="center"/>
      <protection locked="0"/>
    </xf>
    <xf numFmtId="166" fontId="2" fillId="4" borderId="15" xfId="0" applyNumberFormat="1" applyFont="1" applyFill="1" applyBorder="1" applyAlignment="1" applyProtection="1">
      <alignment horizontal="right" vertical="center"/>
      <protection locked="0"/>
    </xf>
    <xf numFmtId="166" fontId="2" fillId="4" borderId="15" xfId="0" applyNumberFormat="1" applyFont="1" applyFill="1" applyBorder="1" applyAlignment="1" applyProtection="1">
      <alignment horizontal="right" vertical="center" wrapText="1"/>
      <protection locked="0"/>
    </xf>
    <xf numFmtId="166" fontId="2" fillId="4" borderId="19" xfId="0" applyNumberFormat="1" applyFont="1" applyFill="1" applyBorder="1" applyAlignment="1" applyProtection="1">
      <alignment horizontal="right" vertical="center"/>
      <protection locked="0"/>
    </xf>
    <xf numFmtId="166" fontId="2" fillId="0" borderId="15" xfId="0" applyNumberFormat="1" applyFont="1" applyBorder="1" applyAlignment="1" applyProtection="1">
      <alignment horizontal="center" vertical="center"/>
      <protection locked="0"/>
    </xf>
    <xf numFmtId="0" fontId="69" fillId="0" borderId="0" xfId="0" applyFont="1" applyAlignment="1" applyProtection="1">
      <alignment horizontal="center" vertical="center"/>
      <protection locked="0"/>
    </xf>
    <xf numFmtId="0" fontId="69" fillId="0" borderId="0" xfId="0" applyFont="1" applyAlignment="1">
      <alignment horizontal="center" vertical="center"/>
    </xf>
    <xf numFmtId="166" fontId="12" fillId="12" borderId="22" xfId="0" applyNumberFormat="1" applyFont="1" applyFill="1" applyBorder="1" applyAlignment="1">
      <alignment horizontal="center" vertical="center"/>
    </xf>
    <xf numFmtId="166" fontId="2" fillId="0" borderId="51" xfId="1" applyNumberFormat="1" applyFont="1" applyFill="1" applyBorder="1" applyAlignment="1" applyProtection="1">
      <alignment horizontal="center" vertical="center"/>
    </xf>
    <xf numFmtId="166" fontId="2" fillId="0" borderId="44" xfId="0" applyNumberFormat="1" applyFont="1" applyBorder="1" applyAlignment="1">
      <alignment horizontal="center" vertical="center"/>
    </xf>
    <xf numFmtId="166" fontId="2" fillId="0" borderId="48" xfId="0" applyNumberFormat="1" applyFont="1" applyBorder="1" applyAlignment="1">
      <alignment horizontal="center" vertical="center"/>
    </xf>
    <xf numFmtId="166" fontId="2" fillId="0" borderId="47" xfId="1" applyNumberFormat="1" applyFont="1" applyFill="1" applyBorder="1" applyAlignment="1" applyProtection="1">
      <alignment horizontal="center" vertical="center"/>
    </xf>
    <xf numFmtId="0" fontId="2" fillId="0" borderId="58" xfId="0" applyFont="1" applyBorder="1" applyAlignment="1" applyProtection="1">
      <alignment vertical="center"/>
      <protection locked="0"/>
    </xf>
    <xf numFmtId="0" fontId="2" fillId="0" borderId="49" xfId="0" applyFont="1" applyBorder="1" applyAlignment="1" applyProtection="1">
      <alignment vertical="center"/>
      <protection locked="0"/>
    </xf>
    <xf numFmtId="0" fontId="2" fillId="0" borderId="50" xfId="0" applyFont="1" applyBorder="1" applyAlignment="1" applyProtection="1">
      <alignment vertical="center"/>
      <protection locked="0"/>
    </xf>
    <xf numFmtId="166" fontId="2" fillId="0" borderId="8" xfId="0" applyNumberFormat="1" applyFont="1" applyBorder="1" applyAlignment="1">
      <alignment horizontal="center" vertical="center"/>
    </xf>
    <xf numFmtId="9" fontId="2" fillId="0" borderId="8" xfId="2" applyFont="1" applyFill="1" applyBorder="1" applyAlignment="1" applyProtection="1">
      <alignment horizontal="center" vertical="center"/>
    </xf>
    <xf numFmtId="9" fontId="2" fillId="0" borderId="9" xfId="2" applyFont="1" applyFill="1" applyBorder="1" applyAlignment="1" applyProtection="1">
      <alignment horizontal="center" vertical="center"/>
    </xf>
    <xf numFmtId="166" fontId="2" fillId="0" borderId="11" xfId="0" applyNumberFormat="1" applyFont="1" applyBorder="1" applyAlignment="1">
      <alignment horizontal="center" vertical="center"/>
    </xf>
    <xf numFmtId="9" fontId="2" fillId="0" borderId="11" xfId="2" applyFont="1" applyFill="1" applyBorder="1" applyAlignment="1" applyProtection="1">
      <alignment horizontal="center" vertical="center"/>
    </xf>
    <xf numFmtId="9" fontId="2" fillId="0" borderId="12" xfId="2" applyFont="1" applyFill="1" applyBorder="1" applyAlignment="1" applyProtection="1">
      <alignment horizontal="center" vertical="center"/>
    </xf>
    <xf numFmtId="9" fontId="2" fillId="0" borderId="15" xfId="2" applyFont="1" applyFill="1" applyBorder="1" applyAlignment="1" applyProtection="1">
      <alignment horizontal="center" vertical="center"/>
      <protection locked="0"/>
    </xf>
    <xf numFmtId="0" fontId="2" fillId="21" borderId="15" xfId="0" applyFont="1" applyFill="1" applyBorder="1" applyAlignment="1" applyProtection="1">
      <alignment horizontal="center" vertical="center"/>
      <protection locked="0"/>
    </xf>
    <xf numFmtId="0" fontId="12" fillId="0" borderId="0" xfId="0" applyFont="1" applyAlignment="1" applyProtection="1">
      <alignment horizontal="center" vertical="center"/>
      <protection locked="0"/>
    </xf>
    <xf numFmtId="1" fontId="12" fillId="0" borderId="0" xfId="0" applyNumberFormat="1" applyFont="1" applyAlignment="1" applyProtection="1">
      <alignment horizontal="center" vertical="center"/>
      <protection locked="0"/>
    </xf>
    <xf numFmtId="0" fontId="47" fillId="12" borderId="20" xfId="0" applyFont="1" applyFill="1" applyBorder="1" applyAlignment="1">
      <alignment vertical="center"/>
    </xf>
    <xf numFmtId="166" fontId="47" fillId="12" borderId="29" xfId="0" applyNumberFormat="1" applyFont="1" applyFill="1" applyBorder="1" applyAlignment="1">
      <alignment horizontal="center" vertical="center"/>
    </xf>
    <xf numFmtId="1" fontId="22" fillId="0" borderId="7" xfId="0" applyNumberFormat="1" applyFont="1" applyBorder="1" applyAlignment="1" applyProtection="1">
      <alignment horizontal="center" vertical="center"/>
      <protection locked="0"/>
    </xf>
    <xf numFmtId="9" fontId="12" fillId="0" borderId="8" xfId="0" applyNumberFormat="1" applyFont="1" applyBorder="1" applyAlignment="1" applyProtection="1">
      <alignment horizontal="right" vertical="center"/>
      <protection locked="0"/>
    </xf>
    <xf numFmtId="9" fontId="22" fillId="0" borderId="8" xfId="0" applyNumberFormat="1" applyFont="1" applyBorder="1" applyAlignment="1" applyProtection="1">
      <alignment horizontal="center" vertical="center"/>
      <protection locked="0"/>
    </xf>
    <xf numFmtId="165" fontId="22" fillId="0" borderId="8" xfId="1" applyNumberFormat="1" applyFont="1" applyFill="1" applyBorder="1" applyAlignment="1" applyProtection="1">
      <alignment horizontal="center" vertical="center"/>
      <protection locked="0"/>
    </xf>
    <xf numFmtId="166" fontId="12" fillId="0" borderId="9" xfId="0" applyNumberFormat="1" applyFont="1" applyBorder="1" applyAlignment="1">
      <alignment horizontal="center" vertical="center"/>
    </xf>
    <xf numFmtId="1" fontId="22" fillId="0" borderId="31" xfId="0" applyNumberFormat="1" applyFont="1" applyBorder="1" applyAlignment="1" applyProtection="1">
      <alignment horizontal="center" vertical="center"/>
      <protection locked="0"/>
    </xf>
    <xf numFmtId="9" fontId="12" fillId="0" borderId="15" xfId="0" applyNumberFormat="1" applyFont="1" applyBorder="1" applyAlignment="1" applyProtection="1">
      <alignment horizontal="right" vertical="center"/>
      <protection locked="0"/>
    </xf>
    <xf numFmtId="9" fontId="22" fillId="0" borderId="15" xfId="0" applyNumberFormat="1" applyFont="1" applyBorder="1" applyAlignment="1" applyProtection="1">
      <alignment horizontal="center" vertical="center"/>
      <protection locked="0"/>
    </xf>
    <xf numFmtId="165" fontId="22" fillId="0" borderId="15" xfId="1" applyNumberFormat="1" applyFont="1" applyFill="1" applyBorder="1" applyAlignment="1" applyProtection="1">
      <alignment horizontal="center" vertical="center"/>
      <protection locked="0"/>
    </xf>
    <xf numFmtId="166" fontId="12" fillId="0" borderId="32" xfId="0" applyNumberFormat="1" applyFont="1" applyBorder="1" applyAlignment="1">
      <alignment horizontal="center" vertical="center"/>
    </xf>
    <xf numFmtId="165" fontId="12" fillId="0" borderId="8" xfId="1" applyNumberFormat="1" applyFont="1" applyFill="1" applyBorder="1" applyAlignment="1" applyProtection="1">
      <alignment horizontal="center" vertical="center"/>
      <protection locked="0"/>
    </xf>
    <xf numFmtId="165" fontId="12" fillId="0" borderId="15" xfId="1" applyNumberFormat="1" applyFont="1" applyFill="1" applyBorder="1" applyAlignment="1" applyProtection="1">
      <alignment horizontal="center" vertical="center"/>
      <protection locked="0"/>
    </xf>
    <xf numFmtId="0" fontId="66" fillId="0" borderId="15" xfId="0" applyFont="1" applyBorder="1" applyAlignment="1">
      <alignment horizontal="center" vertical="center"/>
    </xf>
    <xf numFmtId="9" fontId="66" fillId="0" borderId="15" xfId="0" applyNumberFormat="1" applyFont="1" applyBorder="1" applyAlignment="1" applyProtection="1">
      <alignment horizontal="center" vertical="center"/>
      <protection locked="0"/>
    </xf>
    <xf numFmtId="0" fontId="50" fillId="0" borderId="15" xfId="0" applyFont="1" applyBorder="1"/>
    <xf numFmtId="3" fontId="50" fillId="0" borderId="15" xfId="0" applyNumberFormat="1" applyFont="1" applyBorder="1" applyAlignment="1">
      <alignment horizontal="center" vertical="center"/>
    </xf>
    <xf numFmtId="1" fontId="2" fillId="4" borderId="52" xfId="0" applyNumberFormat="1" applyFont="1" applyFill="1" applyBorder="1" applyAlignment="1" applyProtection="1">
      <alignment horizontal="center" vertical="center"/>
      <protection locked="0"/>
    </xf>
    <xf numFmtId="9" fontId="2" fillId="4" borderId="16" xfId="0" applyNumberFormat="1" applyFont="1" applyFill="1" applyBorder="1" applyAlignment="1" applyProtection="1">
      <alignment horizontal="center" vertical="center"/>
      <protection locked="0"/>
    </xf>
    <xf numFmtId="9" fontId="4" fillId="4" borderId="16" xfId="0" applyNumberFormat="1" applyFont="1" applyFill="1" applyBorder="1" applyAlignment="1" applyProtection="1">
      <alignment horizontal="center" vertical="center"/>
      <protection locked="0"/>
    </xf>
    <xf numFmtId="3" fontId="2" fillId="4" borderId="16" xfId="0" applyNumberFormat="1" applyFont="1" applyFill="1" applyBorder="1" applyAlignment="1" applyProtection="1">
      <alignment horizontal="center" vertical="center"/>
      <protection locked="0"/>
    </xf>
    <xf numFmtId="165" fontId="2" fillId="4" borderId="16" xfId="1" applyNumberFormat="1" applyFont="1" applyFill="1" applyBorder="1" applyAlignment="1" applyProtection="1">
      <alignment horizontal="center" vertical="center"/>
      <protection locked="0"/>
    </xf>
    <xf numFmtId="166" fontId="2" fillId="4" borderId="32" xfId="0" applyNumberFormat="1" applyFont="1" applyFill="1" applyBorder="1" applyAlignment="1">
      <alignment horizontal="center" vertical="center"/>
    </xf>
    <xf numFmtId="165" fontId="2" fillId="4" borderId="15" xfId="1" applyNumberFormat="1" applyFont="1" applyFill="1" applyBorder="1" applyAlignment="1" applyProtection="1">
      <alignment horizontal="center" vertical="center"/>
      <protection locked="0"/>
    </xf>
    <xf numFmtId="1" fontId="2" fillId="4" borderId="55" xfId="0" applyNumberFormat="1" applyFont="1" applyFill="1" applyBorder="1" applyAlignment="1" applyProtection="1">
      <alignment horizontal="center" vertical="center"/>
      <protection locked="0"/>
    </xf>
    <xf numFmtId="9" fontId="2" fillId="4" borderId="41" xfId="0" applyNumberFormat="1" applyFont="1" applyFill="1" applyBorder="1" applyAlignment="1" applyProtection="1">
      <alignment horizontal="center" vertical="center"/>
      <protection locked="0"/>
    </xf>
    <xf numFmtId="3" fontId="2" fillId="4" borderId="41" xfId="0" applyNumberFormat="1" applyFont="1" applyFill="1" applyBorder="1" applyAlignment="1" applyProtection="1">
      <alignment horizontal="center" vertical="center"/>
      <protection locked="0"/>
    </xf>
    <xf numFmtId="165" fontId="2" fillId="4" borderId="19" xfId="1" applyNumberFormat="1" applyFont="1" applyFill="1" applyBorder="1" applyAlignment="1" applyProtection="1">
      <alignment horizontal="center" vertical="center"/>
      <protection locked="0"/>
    </xf>
    <xf numFmtId="166" fontId="71" fillId="7" borderId="22" xfId="0" applyNumberFormat="1" applyFont="1" applyFill="1" applyBorder="1" applyAlignment="1">
      <alignment horizontal="center" vertical="center"/>
    </xf>
    <xf numFmtId="0" fontId="8" fillId="2" borderId="7" xfId="0" applyFont="1" applyFill="1" applyBorder="1" applyAlignment="1" applyProtection="1">
      <alignment horizontal="center" vertical="center"/>
      <protection locked="0"/>
    </xf>
    <xf numFmtId="165" fontId="8" fillId="2" borderId="8" xfId="1" applyNumberFormat="1" applyFont="1" applyFill="1" applyBorder="1" applyAlignment="1" applyProtection="1">
      <alignment horizontal="center" vertical="center"/>
      <protection locked="0"/>
    </xf>
    <xf numFmtId="165" fontId="8" fillId="2" borderId="8" xfId="1" applyNumberFormat="1" applyFont="1" applyFill="1" applyBorder="1" applyAlignment="1" applyProtection="1">
      <alignment horizontal="center" vertical="center" wrapText="1"/>
      <protection locked="0"/>
    </xf>
    <xf numFmtId="0" fontId="8" fillId="2" borderId="9" xfId="0" applyFont="1" applyFill="1" applyBorder="1" applyAlignment="1" applyProtection="1">
      <alignment horizontal="center" vertical="center" wrapText="1"/>
      <protection locked="0"/>
    </xf>
    <xf numFmtId="0" fontId="3" fillId="4" borderId="7" xfId="0" applyFont="1" applyFill="1" applyBorder="1" applyAlignment="1" applyProtection="1">
      <alignment horizontal="center" vertical="center"/>
      <protection locked="0"/>
    </xf>
    <xf numFmtId="0" fontId="51" fillId="4" borderId="8" xfId="0" applyFont="1" applyFill="1" applyBorder="1" applyAlignment="1" applyProtection="1">
      <alignment horizontal="center" vertical="center"/>
      <protection locked="0"/>
    </xf>
    <xf numFmtId="166" fontId="51" fillId="4" borderId="8" xfId="0" applyNumberFormat="1" applyFont="1" applyFill="1" applyBorder="1" applyAlignment="1" applyProtection="1">
      <alignment horizontal="center" vertical="center"/>
      <protection locked="0"/>
    </xf>
    <xf numFmtId="166" fontId="52" fillId="4" borderId="8" xfId="0" applyNumberFormat="1" applyFont="1" applyFill="1" applyBorder="1" applyAlignment="1">
      <alignment horizontal="center" vertical="center"/>
    </xf>
    <xf numFmtId="0" fontId="3" fillId="4" borderId="31" xfId="0" applyFont="1" applyFill="1" applyBorder="1" applyAlignment="1" applyProtection="1">
      <alignment horizontal="center" vertical="center"/>
      <protection locked="0"/>
    </xf>
    <xf numFmtId="0" fontId="3" fillId="4" borderId="15" xfId="0" applyFont="1" applyFill="1" applyBorder="1" applyAlignment="1" applyProtection="1">
      <alignment horizontal="center" vertical="center"/>
      <protection locked="0"/>
    </xf>
    <xf numFmtId="0" fontId="51" fillId="4" borderId="15" xfId="0" applyFont="1" applyFill="1" applyBorder="1" applyAlignment="1" applyProtection="1">
      <alignment horizontal="center" vertical="center"/>
      <protection locked="0"/>
    </xf>
    <xf numFmtId="166" fontId="51" fillId="4" borderId="15" xfId="0" applyNumberFormat="1" applyFont="1" applyFill="1" applyBorder="1" applyAlignment="1" applyProtection="1">
      <alignment horizontal="center" vertical="center"/>
      <protection locked="0"/>
    </xf>
    <xf numFmtId="166" fontId="52" fillId="4" borderId="15" xfId="0" applyNumberFormat="1" applyFont="1" applyFill="1" applyBorder="1" applyAlignment="1">
      <alignment horizontal="center" vertical="center"/>
    </xf>
    <xf numFmtId="0" fontId="2" fillId="4" borderId="8"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72" fillId="4" borderId="8" xfId="0" applyFont="1" applyFill="1" applyBorder="1"/>
    <xf numFmtId="0" fontId="72" fillId="4" borderId="9" xfId="0" applyFont="1" applyFill="1" applyBorder="1"/>
    <xf numFmtId="0" fontId="72" fillId="4" borderId="15" xfId="0" applyFont="1" applyFill="1" applyBorder="1"/>
    <xf numFmtId="0" fontId="72" fillId="4" borderId="32" xfId="0" applyFont="1" applyFill="1" applyBorder="1"/>
    <xf numFmtId="0" fontId="11" fillId="3" borderId="36" xfId="0" applyFont="1" applyFill="1" applyBorder="1" applyAlignment="1" applyProtection="1">
      <alignment horizontal="center" vertical="center"/>
      <protection locked="0"/>
    </xf>
    <xf numFmtId="0" fontId="9" fillId="3" borderId="34" xfId="0" applyFont="1" applyFill="1" applyBorder="1" applyAlignment="1" applyProtection="1">
      <alignment horizontal="center" vertical="center"/>
      <protection locked="0"/>
    </xf>
    <xf numFmtId="0" fontId="9" fillId="3" borderId="59" xfId="0" applyFont="1" applyFill="1" applyBorder="1" applyAlignment="1" applyProtection="1">
      <alignment horizontal="center" vertical="center"/>
      <protection locked="0"/>
    </xf>
    <xf numFmtId="0" fontId="9" fillId="3" borderId="54" xfId="0" applyFont="1" applyFill="1" applyBorder="1" applyAlignment="1" applyProtection="1">
      <alignment horizontal="center" vertical="center"/>
      <protection locked="0"/>
    </xf>
    <xf numFmtId="0" fontId="9" fillId="3" borderId="2" xfId="0" applyFont="1" applyFill="1" applyBorder="1" applyAlignment="1" applyProtection="1">
      <alignment horizontal="center" vertical="center"/>
      <protection locked="0"/>
    </xf>
    <xf numFmtId="0" fontId="9" fillId="3" borderId="3" xfId="0" applyFont="1" applyFill="1" applyBorder="1" applyAlignment="1" applyProtection="1">
      <alignment horizontal="center" vertical="center"/>
      <protection locked="0"/>
    </xf>
    <xf numFmtId="0" fontId="9" fillId="3" borderId="52" xfId="0" applyFont="1" applyFill="1" applyBorder="1" applyAlignment="1" applyProtection="1">
      <alignment horizontal="center" vertical="center"/>
      <protection locked="0"/>
    </xf>
    <xf numFmtId="0" fontId="9" fillId="3" borderId="26" xfId="0" applyFont="1" applyFill="1" applyBorder="1" applyAlignment="1" applyProtection="1">
      <alignment vertical="center"/>
      <protection locked="0"/>
    </xf>
    <xf numFmtId="166" fontId="2" fillId="0" borderId="0" xfId="0" applyNumberFormat="1" applyFont="1" applyAlignment="1">
      <alignment horizontal="center" vertical="center"/>
    </xf>
    <xf numFmtId="0" fontId="14" fillId="0" borderId="52" xfId="0" applyFont="1" applyBorder="1" applyAlignment="1" applyProtection="1">
      <alignment horizontal="center" vertical="center" readingOrder="2"/>
      <protection locked="0"/>
    </xf>
    <xf numFmtId="166" fontId="68" fillId="0" borderId="16" xfId="0" applyNumberFormat="1" applyFont="1" applyBorder="1" applyAlignment="1">
      <alignment horizontal="center" vertical="center"/>
    </xf>
    <xf numFmtId="166" fontId="68" fillId="0" borderId="17" xfId="0" applyNumberFormat="1" applyFont="1" applyBorder="1" applyAlignment="1" applyProtection="1">
      <alignment horizontal="center" vertical="center"/>
      <protection locked="0"/>
    </xf>
    <xf numFmtId="0" fontId="14" fillId="0" borderId="31" xfId="0" applyFont="1" applyBorder="1" applyAlignment="1" applyProtection="1">
      <alignment horizontal="center" vertical="center" readingOrder="2"/>
      <protection locked="0"/>
    </xf>
    <xf numFmtId="166" fontId="68" fillId="0" borderId="17" xfId="0" applyNumberFormat="1" applyFont="1" applyBorder="1" applyAlignment="1">
      <alignment horizontal="center" vertical="center"/>
    </xf>
    <xf numFmtId="166" fontId="68" fillId="0" borderId="32" xfId="0" applyNumberFormat="1" applyFont="1" applyBorder="1" applyAlignment="1">
      <alignment horizontal="center" vertical="center"/>
    </xf>
    <xf numFmtId="0" fontId="14" fillId="0" borderId="10" xfId="0" applyFont="1" applyBorder="1" applyAlignment="1" applyProtection="1">
      <alignment horizontal="center" vertical="center" readingOrder="2"/>
      <protection locked="0"/>
    </xf>
    <xf numFmtId="166" fontId="68" fillId="0" borderId="11" xfId="0" applyNumberFormat="1" applyFont="1" applyBorder="1" applyAlignment="1" applyProtection="1">
      <alignment horizontal="center" vertical="center"/>
      <protection locked="0"/>
    </xf>
    <xf numFmtId="166" fontId="68" fillId="0" borderId="39" xfId="0" applyNumberFormat="1" applyFont="1" applyBorder="1" applyAlignment="1" applyProtection="1">
      <alignment horizontal="center" vertical="center"/>
      <protection locked="0"/>
    </xf>
    <xf numFmtId="0" fontId="73" fillId="4" borderId="15" xfId="0" applyFont="1" applyFill="1" applyBorder="1"/>
    <xf numFmtId="0" fontId="75" fillId="4" borderId="31" xfId="0" applyFont="1" applyFill="1" applyBorder="1"/>
    <xf numFmtId="0" fontId="75" fillId="4" borderId="15" xfId="0" applyFont="1" applyFill="1" applyBorder="1"/>
    <xf numFmtId="165" fontId="75" fillId="4" borderId="15" xfId="1" applyNumberFormat="1" applyFont="1" applyFill="1" applyBorder="1"/>
    <xf numFmtId="0" fontId="75" fillId="4" borderId="18" xfId="0" applyFont="1" applyFill="1" applyBorder="1"/>
    <xf numFmtId="0" fontId="75" fillId="4" borderId="19" xfId="0" applyFont="1" applyFill="1" applyBorder="1"/>
    <xf numFmtId="165" fontId="75" fillId="4" borderId="19" xfId="1" applyNumberFormat="1" applyFont="1" applyFill="1" applyBorder="1"/>
    <xf numFmtId="165" fontId="76" fillId="17" borderId="34" xfId="1" applyNumberFormat="1" applyFont="1" applyFill="1" applyBorder="1"/>
    <xf numFmtId="165" fontId="76" fillId="17" borderId="21" xfId="1" applyNumberFormat="1" applyFont="1" applyFill="1" applyBorder="1"/>
    <xf numFmtId="165" fontId="76" fillId="17" borderId="35" xfId="1" applyNumberFormat="1" applyFont="1" applyFill="1" applyBorder="1"/>
    <xf numFmtId="165" fontId="22" fillId="0" borderId="15" xfId="1" applyNumberFormat="1" applyFont="1" applyFill="1" applyBorder="1" applyAlignment="1">
      <alignment horizontal="center" vertical="center"/>
    </xf>
    <xf numFmtId="165" fontId="22" fillId="0" borderId="16" xfId="1" applyNumberFormat="1" applyFont="1" applyFill="1" applyBorder="1" applyAlignment="1" applyProtection="1">
      <alignment horizontal="center" vertical="center"/>
      <protection locked="0"/>
    </xf>
    <xf numFmtId="166" fontId="22" fillId="0" borderId="16" xfId="0" applyNumberFormat="1" applyFont="1" applyBorder="1" applyAlignment="1" applyProtection="1">
      <alignment horizontal="center" vertical="center"/>
      <protection locked="0"/>
    </xf>
    <xf numFmtId="166" fontId="22" fillId="0" borderId="16" xfId="0" applyNumberFormat="1" applyFont="1" applyBorder="1" applyAlignment="1">
      <alignment horizontal="center" vertical="center"/>
    </xf>
    <xf numFmtId="166" fontId="22" fillId="0" borderId="17" xfId="0" applyNumberFormat="1" applyFont="1" applyBorder="1" applyAlignment="1">
      <alignment horizontal="center" vertical="center"/>
    </xf>
    <xf numFmtId="166" fontId="22" fillId="0" borderId="19" xfId="0" applyNumberFormat="1" applyFont="1" applyBorder="1" applyAlignment="1" applyProtection="1">
      <alignment horizontal="center" vertical="center"/>
      <protection locked="0"/>
    </xf>
    <xf numFmtId="0" fontId="22" fillId="0" borderId="19" xfId="0" applyFont="1" applyBorder="1" applyAlignment="1" applyProtection="1">
      <alignment horizontal="center" vertical="center"/>
      <protection locked="0"/>
    </xf>
    <xf numFmtId="166" fontId="12" fillId="21" borderId="22" xfId="0" applyNumberFormat="1" applyFont="1" applyFill="1" applyBorder="1" applyAlignment="1">
      <alignment horizontal="center" vertical="center"/>
    </xf>
    <xf numFmtId="0" fontId="12" fillId="21" borderId="22" xfId="0" applyFont="1" applyFill="1" applyBorder="1" applyAlignment="1">
      <alignment horizontal="center" vertical="center"/>
    </xf>
    <xf numFmtId="9" fontId="2" fillId="0" borderId="16" xfId="2" applyFont="1" applyFill="1" applyBorder="1" applyAlignment="1" applyProtection="1">
      <alignment horizontal="center" vertical="center"/>
    </xf>
    <xf numFmtId="0" fontId="2" fillId="0" borderId="16" xfId="0" applyFont="1" applyBorder="1" applyAlignment="1" applyProtection="1">
      <alignment horizontal="center" vertical="center"/>
      <protection locked="0"/>
    </xf>
    <xf numFmtId="166" fontId="2" fillId="0" borderId="16" xfId="0" applyNumberFormat="1" applyFont="1" applyBorder="1" applyAlignment="1" applyProtection="1">
      <alignment horizontal="center" vertical="center"/>
      <protection locked="0"/>
    </xf>
    <xf numFmtId="166" fontId="2" fillId="0" borderId="16" xfId="1" applyNumberFormat="1" applyFont="1" applyFill="1" applyBorder="1" applyAlignment="1" applyProtection="1">
      <alignment horizontal="center" vertical="center"/>
    </xf>
    <xf numFmtId="166" fontId="2" fillId="0" borderId="51" xfId="0" applyNumberFormat="1" applyFont="1" applyBorder="1" applyAlignment="1">
      <alignment horizontal="center" vertical="center"/>
    </xf>
    <xf numFmtId="9" fontId="2" fillId="0" borderId="15" xfId="2" applyFont="1" applyFill="1" applyBorder="1" applyAlignment="1" applyProtection="1">
      <alignment horizontal="center" vertical="center"/>
    </xf>
    <xf numFmtId="1" fontId="2" fillId="0" borderId="15" xfId="0" applyNumberFormat="1" applyFont="1" applyBorder="1" applyAlignment="1" applyProtection="1">
      <alignment horizontal="center" vertical="center"/>
      <protection locked="0"/>
    </xf>
    <xf numFmtId="166" fontId="2" fillId="0" borderId="15" xfId="1" applyNumberFormat="1" applyFont="1" applyFill="1" applyBorder="1" applyAlignment="1" applyProtection="1">
      <alignment horizontal="center" vertical="center"/>
    </xf>
    <xf numFmtId="166" fontId="2" fillId="0" borderId="43" xfId="0" applyNumberFormat="1" applyFont="1" applyBorder="1" applyAlignment="1">
      <alignment horizontal="center" vertical="center"/>
    </xf>
    <xf numFmtId="9" fontId="2" fillId="0" borderId="19" xfId="2" applyFont="1" applyFill="1" applyBorder="1" applyAlignment="1" applyProtection="1">
      <alignment horizontal="center" vertical="center"/>
    </xf>
    <xf numFmtId="1" fontId="2" fillId="0" borderId="19" xfId="0" applyNumberFormat="1" applyFont="1" applyBorder="1" applyAlignment="1" applyProtection="1">
      <alignment horizontal="center" vertical="center"/>
      <protection locked="0"/>
    </xf>
    <xf numFmtId="166" fontId="2" fillId="0" borderId="19" xfId="0" applyNumberFormat="1" applyFont="1" applyBorder="1" applyAlignment="1" applyProtection="1">
      <alignment horizontal="center" vertical="center"/>
      <protection locked="0"/>
    </xf>
    <xf numFmtId="166" fontId="2" fillId="0" borderId="19" xfId="1" applyNumberFormat="1" applyFont="1" applyFill="1" applyBorder="1" applyAlignment="1" applyProtection="1">
      <alignment horizontal="center" vertical="center"/>
    </xf>
    <xf numFmtId="166" fontId="2" fillId="0" borderId="71" xfId="0" applyNumberFormat="1" applyFont="1" applyBorder="1" applyAlignment="1">
      <alignment horizontal="center" vertical="center"/>
    </xf>
    <xf numFmtId="0" fontId="12" fillId="2" borderId="15" xfId="0" applyFont="1" applyFill="1" applyBorder="1" applyAlignment="1" applyProtection="1">
      <alignment horizontal="center" vertical="center"/>
      <protection locked="0"/>
    </xf>
    <xf numFmtId="0" fontId="12" fillId="2" borderId="15" xfId="0" applyFont="1" applyFill="1" applyBorder="1" applyAlignment="1" applyProtection="1">
      <alignment vertical="center"/>
      <protection locked="0"/>
    </xf>
    <xf numFmtId="0" fontId="12" fillId="2" borderId="32" xfId="0" applyFont="1" applyFill="1" applyBorder="1" applyAlignment="1" applyProtection="1">
      <alignment vertical="center"/>
      <protection locked="0"/>
    </xf>
    <xf numFmtId="0" fontId="12" fillId="0" borderId="31" xfId="0" applyFont="1" applyBorder="1" applyAlignment="1" applyProtection="1">
      <alignment horizontal="center" vertical="center"/>
      <protection locked="0"/>
    </xf>
    <xf numFmtId="0" fontId="12" fillId="0" borderId="15" xfId="0" applyFont="1" applyBorder="1" applyAlignment="1" applyProtection="1">
      <alignment horizontal="center" vertical="center"/>
      <protection locked="0"/>
    </xf>
    <xf numFmtId="9" fontId="22" fillId="0" borderId="15" xfId="2" applyFont="1" applyFill="1" applyBorder="1" applyAlignment="1" applyProtection="1">
      <alignment horizontal="center" vertical="center"/>
    </xf>
    <xf numFmtId="166" fontId="22" fillId="0" borderId="15" xfId="0" applyNumberFormat="1" applyFont="1" applyBorder="1" applyAlignment="1" applyProtection="1">
      <alignment horizontal="center" vertical="center"/>
      <protection locked="0"/>
    </xf>
    <xf numFmtId="165" fontId="22" fillId="0" borderId="15" xfId="1" applyNumberFormat="1" applyFont="1" applyFill="1" applyBorder="1" applyAlignment="1" applyProtection="1">
      <alignment horizontal="left" vertical="center"/>
    </xf>
    <xf numFmtId="165" fontId="22" fillId="0" borderId="32" xfId="1" applyNumberFormat="1" applyFont="1" applyFill="1" applyBorder="1" applyAlignment="1" applyProtection="1">
      <alignment horizontal="left" vertical="center"/>
    </xf>
    <xf numFmtId="9" fontId="22" fillId="12" borderId="11" xfId="2" applyFont="1" applyFill="1" applyBorder="1" applyAlignment="1" applyProtection="1">
      <alignment horizontal="center" vertical="center"/>
    </xf>
    <xf numFmtId="165" fontId="71" fillId="12" borderId="11" xfId="1" applyNumberFormat="1" applyFont="1" applyFill="1" applyBorder="1" applyAlignment="1" applyProtection="1">
      <alignment horizontal="center" vertical="center"/>
    </xf>
    <xf numFmtId="165" fontId="71" fillId="12" borderId="12" xfId="1" applyNumberFormat="1" applyFont="1" applyFill="1" applyBorder="1" applyAlignment="1" applyProtection="1">
      <alignment horizontal="center" vertical="center"/>
    </xf>
    <xf numFmtId="0" fontId="12" fillId="2" borderId="8" xfId="0" applyFont="1" applyFill="1" applyBorder="1" applyAlignment="1" applyProtection="1">
      <alignment horizontal="center" vertical="center"/>
      <protection locked="0"/>
    </xf>
    <xf numFmtId="0" fontId="2" fillId="21" borderId="15" xfId="0" applyFont="1" applyFill="1" applyBorder="1" applyAlignment="1" applyProtection="1">
      <alignment vertical="center" wrapText="1"/>
      <protection locked="0"/>
    </xf>
    <xf numFmtId="9" fontId="2" fillId="21" borderId="15" xfId="0" applyNumberFormat="1" applyFont="1" applyFill="1" applyBorder="1" applyAlignment="1" applyProtection="1">
      <alignment vertical="center" wrapText="1"/>
      <protection locked="0"/>
    </xf>
    <xf numFmtId="3" fontId="2" fillId="0" borderId="15" xfId="2" applyNumberFormat="1" applyFont="1" applyFill="1" applyBorder="1" applyAlignment="1" applyProtection="1">
      <alignment horizontal="center" vertical="center"/>
      <protection locked="0"/>
    </xf>
    <xf numFmtId="165" fontId="2" fillId="0" borderId="15" xfId="1" applyNumberFormat="1" applyFont="1" applyFill="1" applyBorder="1" applyAlignment="1" applyProtection="1">
      <alignment horizontal="center" vertical="center"/>
      <protection locked="0"/>
    </xf>
    <xf numFmtId="3" fontId="44" fillId="0" borderId="15" xfId="2" applyNumberFormat="1" applyFont="1" applyFill="1" applyBorder="1" applyAlignment="1"/>
    <xf numFmtId="165" fontId="77" fillId="9" borderId="7" xfId="1" applyNumberFormat="1" applyFont="1" applyFill="1" applyBorder="1" applyAlignment="1">
      <alignment horizontal="center" vertical="center" wrapText="1" readingOrder="2"/>
    </xf>
    <xf numFmtId="165" fontId="77" fillId="9" borderId="31" xfId="1" applyNumberFormat="1" applyFont="1" applyFill="1" applyBorder="1" applyAlignment="1">
      <alignment horizontal="center" vertical="center" wrapText="1" readingOrder="2"/>
    </xf>
    <xf numFmtId="1" fontId="54" fillId="9" borderId="15" xfId="1" applyNumberFormat="1" applyFont="1" applyFill="1" applyBorder="1" applyAlignment="1">
      <alignment horizontal="center" vertical="top" wrapText="1" readingOrder="2"/>
    </xf>
    <xf numFmtId="1" fontId="54" fillId="9" borderId="11" xfId="1" applyNumberFormat="1" applyFont="1" applyFill="1" applyBorder="1" applyAlignment="1">
      <alignment horizontal="center" vertical="top" wrapText="1" readingOrder="2"/>
    </xf>
    <xf numFmtId="1" fontId="50" fillId="0" borderId="15" xfId="2" applyNumberFormat="1" applyFont="1" applyFill="1" applyBorder="1" applyAlignment="1" applyProtection="1">
      <alignment horizontal="center" vertical="center"/>
    </xf>
    <xf numFmtId="1" fontId="74" fillId="0" borderId="0" xfId="0" applyNumberFormat="1" applyFont="1" applyAlignment="1">
      <alignment horizontal="center" vertical="center"/>
    </xf>
    <xf numFmtId="9" fontId="74" fillId="0" borderId="0" xfId="2" applyFont="1" applyBorder="1" applyAlignment="1">
      <alignment horizontal="center" vertical="center"/>
    </xf>
    <xf numFmtId="0" fontId="73" fillId="7" borderId="5" xfId="0" applyFont="1" applyFill="1" applyBorder="1" applyAlignment="1">
      <alignment horizontal="center"/>
    </xf>
    <xf numFmtId="0" fontId="67" fillId="7" borderId="5" xfId="0" applyFont="1" applyFill="1" applyBorder="1" applyAlignment="1">
      <alignment horizontal="center"/>
    </xf>
    <xf numFmtId="0" fontId="19" fillId="7" borderId="5" xfId="0" applyFont="1" applyFill="1" applyBorder="1" applyAlignment="1">
      <alignment horizontal="center"/>
    </xf>
    <xf numFmtId="9" fontId="75" fillId="4" borderId="15" xfId="2" applyFont="1" applyFill="1" applyBorder="1" applyAlignment="1">
      <alignment horizontal="center"/>
    </xf>
    <xf numFmtId="9" fontId="75" fillId="4" borderId="32" xfId="2" applyFont="1" applyFill="1" applyBorder="1" applyAlignment="1">
      <alignment horizontal="center"/>
    </xf>
    <xf numFmtId="9" fontId="75" fillId="4" borderId="19" xfId="2" applyFont="1" applyFill="1" applyBorder="1" applyAlignment="1">
      <alignment horizontal="center"/>
    </xf>
    <xf numFmtId="9" fontId="75" fillId="4" borderId="74" xfId="2" applyFont="1" applyFill="1" applyBorder="1" applyAlignment="1">
      <alignment horizontal="center"/>
    </xf>
    <xf numFmtId="9" fontId="76" fillId="17" borderId="34" xfId="2" applyFont="1" applyFill="1" applyBorder="1" applyAlignment="1">
      <alignment horizontal="center"/>
    </xf>
    <xf numFmtId="9" fontId="75" fillId="17" borderId="38" xfId="2" applyFont="1" applyFill="1" applyBorder="1" applyAlignment="1">
      <alignment horizontal="center"/>
    </xf>
    <xf numFmtId="165" fontId="76" fillId="17" borderId="21" xfId="1" applyNumberFormat="1" applyFont="1" applyFill="1" applyBorder="1" applyAlignment="1">
      <alignment horizontal="center"/>
    </xf>
    <xf numFmtId="9" fontId="76" fillId="17" borderId="22" xfId="2" applyFont="1" applyFill="1" applyBorder="1" applyAlignment="1">
      <alignment horizontal="center"/>
    </xf>
    <xf numFmtId="0" fontId="73" fillId="0" borderId="0" xfId="0" applyFont="1" applyAlignment="1">
      <alignment horizontal="center"/>
    </xf>
    <xf numFmtId="166" fontId="22" fillId="0" borderId="19" xfId="0" applyNumberFormat="1" applyFont="1" applyBorder="1" applyAlignment="1" applyProtection="1">
      <alignment horizontal="right" vertical="center"/>
      <protection locked="0"/>
    </xf>
    <xf numFmtId="166" fontId="12" fillId="21" borderId="22" xfId="0" applyNumberFormat="1" applyFont="1" applyFill="1" applyBorder="1" applyAlignment="1">
      <alignment horizontal="right" vertical="center"/>
    </xf>
    <xf numFmtId="0" fontId="6" fillId="0" borderId="0" xfId="0" applyFont="1" applyAlignment="1">
      <alignment horizontal="center"/>
    </xf>
    <xf numFmtId="0" fontId="43" fillId="0" borderId="0" xfId="0" applyFont="1" applyAlignment="1">
      <alignment vertical="center" readingOrder="2"/>
    </xf>
    <xf numFmtId="0" fontId="57" fillId="4" borderId="0" xfId="0" applyFont="1" applyFill="1" applyAlignment="1">
      <alignment horizontal="center" vertical="center"/>
    </xf>
    <xf numFmtId="9" fontId="57" fillId="4" borderId="0" xfId="2" applyFont="1" applyFill="1" applyBorder="1" applyAlignment="1" applyProtection="1">
      <alignment horizontal="center" vertical="center"/>
    </xf>
    <xf numFmtId="1" fontId="10" fillId="4" borderId="0" xfId="1" applyNumberFormat="1" applyFont="1" applyFill="1" applyBorder="1" applyAlignment="1" applyProtection="1">
      <alignment horizontal="center" vertical="center"/>
    </xf>
    <xf numFmtId="166" fontId="20" fillId="4" borderId="0" xfId="0" applyNumberFormat="1" applyFont="1" applyFill="1" applyAlignment="1">
      <alignment horizontal="center" vertical="center"/>
    </xf>
    <xf numFmtId="165" fontId="20" fillId="4" borderId="0" xfId="1" applyNumberFormat="1" applyFont="1" applyFill="1" applyBorder="1" applyAlignment="1" applyProtection="1">
      <alignment horizontal="center" vertical="center"/>
    </xf>
    <xf numFmtId="3" fontId="10" fillId="0" borderId="0" xfId="0" applyNumberFormat="1" applyFont="1" applyAlignment="1" applyProtection="1">
      <alignment horizontal="center" vertical="center" wrapText="1" shrinkToFit="1" readingOrder="2"/>
      <protection locked="0" hidden="1"/>
    </xf>
    <xf numFmtId="9" fontId="4" fillId="0" borderId="0" xfId="2" applyFont="1" applyFill="1" applyBorder="1" applyAlignment="1" applyProtection="1">
      <alignment horizontal="center" vertical="center"/>
    </xf>
    <xf numFmtId="9" fontId="57" fillId="19" borderId="70" xfId="2" applyFont="1" applyFill="1" applyBorder="1" applyAlignment="1" applyProtection="1">
      <alignment horizontal="center" vertical="center"/>
    </xf>
    <xf numFmtId="165" fontId="2" fillId="20" borderId="70" xfId="1" applyNumberFormat="1" applyFont="1" applyFill="1" applyBorder="1" applyAlignment="1">
      <alignment horizontal="center" vertical="center"/>
    </xf>
    <xf numFmtId="165" fontId="2" fillId="20" borderId="44" xfId="1" applyNumberFormat="1" applyFont="1" applyFill="1" applyBorder="1" applyAlignment="1">
      <alignment horizontal="center" vertical="center"/>
    </xf>
    <xf numFmtId="0" fontId="8" fillId="2" borderId="15" xfId="0" applyFont="1" applyFill="1" applyBorder="1" applyAlignment="1" applyProtection="1">
      <alignment horizontal="center" vertical="center"/>
      <protection locked="0"/>
    </xf>
    <xf numFmtId="0" fontId="57" fillId="0" borderId="43" xfId="0" applyFont="1" applyBorder="1" applyAlignment="1">
      <alignment horizontal="center" vertical="center"/>
    </xf>
    <xf numFmtId="0" fontId="57" fillId="0" borderId="70" xfId="0" applyFont="1" applyBorder="1" applyAlignment="1">
      <alignment horizontal="center" vertical="center"/>
    </xf>
    <xf numFmtId="9" fontId="57" fillId="0" borderId="70" xfId="2" applyFont="1" applyFill="1" applyBorder="1" applyAlignment="1" applyProtection="1">
      <alignment horizontal="center" vertical="center"/>
    </xf>
    <xf numFmtId="165" fontId="2" fillId="0" borderId="70" xfId="1" applyNumberFormat="1" applyFont="1" applyFill="1" applyBorder="1" applyAlignment="1">
      <alignment horizontal="center" vertical="center"/>
    </xf>
    <xf numFmtId="165" fontId="2" fillId="0" borderId="44" xfId="1" applyNumberFormat="1" applyFont="1" applyFill="1" applyBorder="1" applyAlignment="1">
      <alignment horizontal="center" vertical="center"/>
    </xf>
    <xf numFmtId="9" fontId="4" fillId="19" borderId="70" xfId="2" applyFont="1" applyFill="1" applyBorder="1" applyAlignment="1" applyProtection="1">
      <alignment horizontal="center" vertical="center"/>
    </xf>
    <xf numFmtId="166" fontId="2" fillId="0" borderId="30" xfId="0" applyNumberFormat="1" applyFont="1" applyBorder="1" applyAlignment="1">
      <alignment horizontal="center" vertical="center"/>
    </xf>
    <xf numFmtId="166" fontId="2" fillId="0" borderId="46" xfId="0" applyNumberFormat="1" applyFont="1" applyBorder="1" applyAlignment="1">
      <alignment horizontal="center" vertical="center"/>
    </xf>
    <xf numFmtId="166" fontId="2" fillId="0" borderId="11" xfId="1" applyNumberFormat="1" applyFont="1" applyFill="1" applyBorder="1" applyAlignment="1" applyProtection="1">
      <alignment horizontal="center" vertical="center"/>
    </xf>
    <xf numFmtId="166" fontId="12" fillId="7" borderId="21" xfId="0" applyNumberFormat="1" applyFont="1" applyFill="1" applyBorder="1" applyAlignment="1">
      <alignment horizontal="center" vertical="center"/>
    </xf>
    <xf numFmtId="166" fontId="12" fillId="7" borderId="21" xfId="1" applyNumberFormat="1" applyFont="1" applyFill="1" applyBorder="1" applyAlignment="1" applyProtection="1">
      <alignment horizontal="center" vertical="center"/>
    </xf>
    <xf numFmtId="0" fontId="70" fillId="12" borderId="36" xfId="0" applyFont="1" applyFill="1" applyBorder="1" applyAlignment="1" applyProtection="1">
      <alignment horizontal="center"/>
      <protection locked="0"/>
    </xf>
    <xf numFmtId="0" fontId="70" fillId="0" borderId="7" xfId="0" applyFont="1" applyBorder="1" applyAlignment="1" applyProtection="1">
      <alignment horizontal="center"/>
      <protection locked="0"/>
    </xf>
    <xf numFmtId="0" fontId="70" fillId="0" borderId="10" xfId="0" applyFont="1" applyBorder="1" applyAlignment="1" applyProtection="1">
      <alignment horizontal="center"/>
      <protection locked="0"/>
    </xf>
    <xf numFmtId="3" fontId="67" fillId="0" borderId="0" xfId="0" applyNumberFormat="1" applyFont="1" applyAlignment="1" applyProtection="1">
      <alignment horizontal="right" vertical="center" wrapText="1" shrinkToFit="1"/>
      <protection locked="0" hidden="1"/>
    </xf>
    <xf numFmtId="3" fontId="19" fillId="0" borderId="0" xfId="0" applyNumberFormat="1" applyFont="1" applyAlignment="1" applyProtection="1">
      <alignment horizontal="right" vertical="center" wrapText="1" shrinkToFit="1"/>
      <protection locked="0" hidden="1"/>
    </xf>
    <xf numFmtId="0" fontId="8" fillId="0" borderId="0" xfId="0" applyFont="1" applyAlignment="1" applyProtection="1">
      <alignment horizontal="center" vertical="center"/>
      <protection locked="0"/>
    </xf>
    <xf numFmtId="165" fontId="12" fillId="20" borderId="70" xfId="1" applyNumberFormat="1" applyFont="1" applyFill="1" applyBorder="1" applyAlignment="1">
      <alignment horizontal="center" vertical="center"/>
    </xf>
    <xf numFmtId="3" fontId="67" fillId="0" borderId="0" xfId="0" applyNumberFormat="1" applyFont="1" applyAlignment="1" applyProtection="1">
      <alignment horizontal="right" vertical="center" wrapText="1" shrinkToFit="1" readingOrder="2"/>
      <protection locked="0" hidden="1"/>
    </xf>
    <xf numFmtId="0" fontId="2" fillId="0" borderId="56" xfId="0" applyFont="1" applyBorder="1" applyAlignment="1" applyProtection="1">
      <alignment horizontal="center" vertical="center"/>
      <protection locked="0"/>
    </xf>
    <xf numFmtId="165" fontId="2" fillId="0" borderId="40" xfId="1" applyNumberFormat="1" applyFont="1" applyFill="1" applyBorder="1" applyAlignment="1" applyProtection="1">
      <alignment horizontal="center" vertical="center"/>
    </xf>
    <xf numFmtId="0" fontId="2" fillId="0" borderId="44" xfId="0" applyFont="1" applyBorder="1" applyAlignment="1">
      <alignment horizontal="center" vertical="center"/>
    </xf>
    <xf numFmtId="0" fontId="55" fillId="0" borderId="44" xfId="0" applyFont="1" applyBorder="1" applyAlignment="1">
      <alignment horizontal="center" vertical="center"/>
    </xf>
    <xf numFmtId="0" fontId="8" fillId="0" borderId="48" xfId="0" applyFont="1" applyBorder="1" applyAlignment="1">
      <alignment horizontal="center" vertical="center" wrapText="1"/>
    </xf>
    <xf numFmtId="166" fontId="3" fillId="0" borderId="19" xfId="0" applyNumberFormat="1" applyFont="1" applyBorder="1" applyAlignment="1">
      <alignment horizontal="center" vertical="center"/>
    </xf>
    <xf numFmtId="9" fontId="3" fillId="0" borderId="19" xfId="2" applyFont="1" applyFill="1" applyBorder="1" applyAlignment="1">
      <alignment horizontal="center" vertical="center"/>
    </xf>
    <xf numFmtId="166" fontId="3" fillId="0" borderId="74" xfId="0" applyNumberFormat="1" applyFont="1" applyBorder="1" applyAlignment="1">
      <alignment horizontal="center" vertical="center"/>
    </xf>
    <xf numFmtId="0" fontId="2" fillId="19" borderId="27" xfId="0" applyFont="1" applyFill="1" applyBorder="1" applyAlignment="1">
      <alignment horizontal="center" vertical="center"/>
    </xf>
    <xf numFmtId="0" fontId="2" fillId="19" borderId="33" xfId="0" applyFont="1" applyFill="1" applyBorder="1" applyAlignment="1">
      <alignment horizontal="center" vertical="center"/>
    </xf>
    <xf numFmtId="166" fontId="3" fillId="20" borderId="75" xfId="0" applyNumberFormat="1" applyFont="1" applyFill="1" applyBorder="1" applyAlignment="1">
      <alignment horizontal="center" vertical="center"/>
    </xf>
    <xf numFmtId="166" fontId="2" fillId="19" borderId="28" xfId="1" applyNumberFormat="1" applyFont="1" applyFill="1" applyBorder="1" applyAlignment="1">
      <alignment horizontal="center" vertical="center"/>
    </xf>
    <xf numFmtId="3" fontId="2" fillId="19" borderId="23" xfId="0" applyNumberFormat="1" applyFont="1" applyFill="1" applyBorder="1" applyAlignment="1">
      <alignment horizontal="center" vertical="center"/>
    </xf>
    <xf numFmtId="3" fontId="2" fillId="19" borderId="29" xfId="0" applyNumberFormat="1" applyFont="1" applyFill="1" applyBorder="1" applyAlignment="1">
      <alignment horizontal="center" vertical="center"/>
    </xf>
    <xf numFmtId="166" fontId="3" fillId="20" borderId="23" xfId="0" applyNumberFormat="1" applyFont="1" applyFill="1" applyBorder="1" applyAlignment="1">
      <alignment horizontal="center" vertical="center"/>
    </xf>
    <xf numFmtId="0" fontId="2" fillId="0" borderId="30" xfId="0" applyFont="1" applyBorder="1" applyAlignment="1">
      <alignment horizontal="center" vertical="center"/>
    </xf>
    <xf numFmtId="9" fontId="3" fillId="0" borderId="16" xfId="2" applyFont="1" applyFill="1" applyBorder="1" applyAlignment="1">
      <alignment horizontal="center" vertical="center"/>
    </xf>
    <xf numFmtId="0" fontId="2" fillId="2" borderId="27" xfId="0" applyFont="1" applyFill="1" applyBorder="1" applyAlignment="1">
      <alignment horizontal="center" vertical="center"/>
    </xf>
    <xf numFmtId="0" fontId="2" fillId="2" borderId="23" xfId="0" applyFont="1" applyFill="1" applyBorder="1" applyAlignment="1">
      <alignment horizontal="center" vertical="center"/>
    </xf>
    <xf numFmtId="0" fontId="8" fillId="2" borderId="23" xfId="0" applyFont="1" applyFill="1" applyBorder="1" applyAlignment="1">
      <alignment horizontal="center" vertical="center" wrapText="1"/>
    </xf>
    <xf numFmtId="0" fontId="55" fillId="2" borderId="23"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wrapText="1"/>
    </xf>
    <xf numFmtId="0" fontId="2" fillId="2" borderId="41" xfId="0" applyFont="1" applyFill="1" applyBorder="1" applyAlignment="1" applyProtection="1">
      <alignment horizontal="center" vertical="center"/>
      <protection locked="0"/>
    </xf>
    <xf numFmtId="0" fontId="2" fillId="2" borderId="15" xfId="0" applyFont="1" applyFill="1" applyBorder="1" applyAlignment="1" applyProtection="1">
      <alignment horizontal="center" vertical="center"/>
      <protection locked="0"/>
    </xf>
    <xf numFmtId="0" fontId="2" fillId="2" borderId="19" xfId="0"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8" borderId="41" xfId="0" applyFont="1" applyFill="1" applyBorder="1" applyAlignment="1" applyProtection="1">
      <alignment horizontal="center" vertical="center"/>
      <protection locked="0"/>
    </xf>
    <xf numFmtId="0" fontId="78" fillId="0" borderId="44" xfId="0" applyFont="1" applyFill="1" applyBorder="1" applyAlignment="1" applyProtection="1">
      <alignment horizontal="center" vertical="center"/>
      <protection locked="0"/>
    </xf>
    <xf numFmtId="0" fontId="78" fillId="0" borderId="15" xfId="0" applyFont="1" applyFill="1" applyBorder="1" applyAlignment="1" applyProtection="1">
      <alignment horizontal="center" vertical="center"/>
      <protection locked="0"/>
    </xf>
    <xf numFmtId="9" fontId="79" fillId="0" borderId="15" xfId="2" applyNumberFormat="1" applyFont="1" applyFill="1" applyBorder="1" applyAlignment="1" applyProtection="1">
      <alignment horizontal="center" vertical="center"/>
    </xf>
    <xf numFmtId="166" fontId="79" fillId="0" borderId="15" xfId="0" applyNumberFormat="1" applyFont="1" applyFill="1" applyBorder="1" applyAlignment="1" applyProtection="1">
      <alignment horizontal="center" vertical="center"/>
      <protection locked="0"/>
    </xf>
    <xf numFmtId="165" fontId="79" fillId="0" borderId="15" xfId="1" applyNumberFormat="1" applyFont="1" applyFill="1" applyBorder="1" applyAlignment="1" applyProtection="1">
      <alignment horizontal="left" vertical="center"/>
    </xf>
    <xf numFmtId="166" fontId="0" fillId="0" borderId="0" xfId="0" applyNumberFormat="1"/>
    <xf numFmtId="165" fontId="22" fillId="0" borderId="15" xfId="1" applyNumberFormat="1" applyFont="1" applyBorder="1" applyAlignment="1" applyProtection="1">
      <alignment horizontal="center" vertical="center"/>
      <protection locked="0"/>
    </xf>
    <xf numFmtId="165" fontId="79" fillId="0" borderId="15" xfId="1" applyNumberFormat="1" applyFont="1" applyFill="1" applyBorder="1" applyAlignment="1" applyProtection="1">
      <alignment horizontal="center" vertical="center"/>
      <protection locked="0"/>
    </xf>
    <xf numFmtId="165" fontId="2" fillId="0" borderId="16" xfId="1" applyNumberFormat="1"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164" fontId="0" fillId="0" borderId="0" xfId="1" applyFont="1"/>
    <xf numFmtId="43" fontId="0" fillId="0" borderId="0" xfId="0" applyNumberFormat="1"/>
    <xf numFmtId="165" fontId="66" fillId="0" borderId="15" xfId="1" applyNumberFormat="1" applyFont="1" applyBorder="1" applyAlignment="1">
      <alignment horizontal="center"/>
    </xf>
    <xf numFmtId="0" fontId="42" fillId="0" borderId="0" xfId="0" applyFont="1" applyAlignment="1">
      <alignment horizontal="center"/>
    </xf>
    <xf numFmtId="0" fontId="39" fillId="11" borderId="0" xfId="0" applyFont="1" applyFill="1" applyAlignment="1">
      <alignment horizontal="center"/>
    </xf>
    <xf numFmtId="0" fontId="15" fillId="0" borderId="0" xfId="0" applyFont="1" applyAlignment="1">
      <alignment horizontal="center" vertical="center" readingOrder="2"/>
    </xf>
    <xf numFmtId="0" fontId="17" fillId="21" borderId="15" xfId="0" applyFont="1" applyFill="1" applyBorder="1" applyAlignment="1">
      <alignment horizontal="center" vertical="center" readingOrder="2"/>
    </xf>
    <xf numFmtId="0" fontId="74" fillId="17" borderId="36" xfId="0" applyFont="1" applyFill="1" applyBorder="1" applyAlignment="1">
      <alignment horizontal="center"/>
    </xf>
    <xf numFmtId="0" fontId="74" fillId="17" borderId="34" xfId="0" applyFont="1" applyFill="1" applyBorder="1" applyAlignment="1">
      <alignment horizontal="center"/>
    </xf>
    <xf numFmtId="0" fontId="74" fillId="17" borderId="20" xfId="0" applyFont="1" applyFill="1" applyBorder="1" applyAlignment="1">
      <alignment horizontal="center"/>
    </xf>
    <xf numFmtId="0" fontId="74" fillId="17" borderId="21" xfId="0" applyFont="1" applyFill="1" applyBorder="1" applyAlignment="1">
      <alignment horizontal="center"/>
    </xf>
    <xf numFmtId="0" fontId="74" fillId="17" borderId="37" xfId="0" applyFont="1" applyFill="1" applyBorder="1" applyAlignment="1">
      <alignment horizontal="center"/>
    </xf>
    <xf numFmtId="0" fontId="74" fillId="17" borderId="35" xfId="0" applyFont="1" applyFill="1" applyBorder="1" applyAlignment="1">
      <alignment horizontal="center"/>
    </xf>
    <xf numFmtId="165" fontId="76" fillId="17" borderId="35" xfId="1" applyNumberFormat="1" applyFont="1" applyFill="1" applyBorder="1" applyAlignment="1">
      <alignment horizontal="center"/>
    </xf>
    <xf numFmtId="165" fontId="76" fillId="17" borderId="39" xfId="1" applyNumberFormat="1" applyFont="1" applyFill="1" applyBorder="1" applyAlignment="1">
      <alignment horizontal="center"/>
    </xf>
    <xf numFmtId="0" fontId="9" fillId="0" borderId="0" xfId="0" applyFont="1" applyAlignment="1" applyProtection="1">
      <alignment horizontal="center" vertical="center"/>
      <protection locked="0"/>
    </xf>
    <xf numFmtId="0" fontId="11" fillId="0" borderId="0" xfId="0" applyFont="1" applyAlignment="1" applyProtection="1">
      <alignment horizontal="center" vertical="center"/>
      <protection locked="0"/>
    </xf>
    <xf numFmtId="0" fontId="2" fillId="6" borderId="57" xfId="0" applyFont="1" applyFill="1" applyBorder="1" applyAlignment="1" applyProtection="1">
      <alignment horizontal="center" vertical="center"/>
      <protection locked="0"/>
    </xf>
    <xf numFmtId="0" fontId="22" fillId="0" borderId="24" xfId="0" applyFont="1" applyBorder="1" applyAlignment="1">
      <alignment horizontal="center" vertical="center"/>
    </xf>
    <xf numFmtId="0" fontId="22" fillId="0" borderId="14" xfId="0" applyFont="1" applyBorder="1" applyAlignment="1">
      <alignment horizontal="center" vertical="center"/>
    </xf>
    <xf numFmtId="0" fontId="22" fillId="0" borderId="18" xfId="0" applyFont="1" applyBorder="1" applyAlignment="1" applyProtection="1">
      <alignment horizontal="center" vertical="center"/>
      <protection locked="0"/>
    </xf>
    <xf numFmtId="0" fontId="22" fillId="0" borderId="19" xfId="0" applyFont="1" applyBorder="1" applyAlignment="1" applyProtection="1">
      <alignment horizontal="center" vertical="center"/>
      <protection locked="0"/>
    </xf>
    <xf numFmtId="0" fontId="12" fillId="21" borderId="20" xfId="0" applyFont="1" applyFill="1" applyBorder="1" applyAlignment="1" applyProtection="1">
      <alignment horizontal="center" vertical="center"/>
      <protection locked="0"/>
    </xf>
    <xf numFmtId="0" fontId="12" fillId="21" borderId="21" xfId="0" applyFont="1" applyFill="1" applyBorder="1" applyAlignment="1" applyProtection="1">
      <alignment horizontal="center" vertical="center"/>
      <protection locked="0"/>
    </xf>
    <xf numFmtId="0" fontId="69" fillId="0" borderId="25" xfId="0" applyFont="1" applyBorder="1" applyAlignment="1" applyProtection="1">
      <alignment horizontal="right" vertical="center"/>
      <protection locked="0"/>
    </xf>
    <xf numFmtId="0" fontId="69" fillId="0" borderId="0" xfId="0" applyFont="1" applyAlignment="1" applyProtection="1">
      <alignment horizontal="right" vertical="center"/>
      <protection locked="0"/>
    </xf>
    <xf numFmtId="0" fontId="69" fillId="0" borderId="26" xfId="0" applyFont="1" applyBorder="1" applyAlignment="1" applyProtection="1">
      <alignment horizontal="right" vertical="center"/>
      <protection locked="0"/>
    </xf>
    <xf numFmtId="0" fontId="2" fillId="21" borderId="7" xfId="0" applyFont="1" applyFill="1" applyBorder="1" applyAlignment="1" applyProtection="1">
      <alignment horizontal="center" vertical="center"/>
      <protection locked="0"/>
    </xf>
    <xf numFmtId="0" fontId="2" fillId="21" borderId="8" xfId="0" applyFont="1" applyFill="1" applyBorder="1" applyAlignment="1" applyProtection="1">
      <alignment horizontal="center" vertical="center"/>
      <protection locked="0"/>
    </xf>
    <xf numFmtId="0" fontId="2" fillId="21" borderId="10" xfId="0" applyFont="1" applyFill="1" applyBorder="1" applyAlignment="1" applyProtection="1">
      <alignment horizontal="center" vertical="center"/>
      <protection locked="0"/>
    </xf>
    <xf numFmtId="0" fontId="2" fillId="21" borderId="11" xfId="0" applyFont="1" applyFill="1" applyBorder="1" applyAlignment="1" applyProtection="1">
      <alignment horizontal="center" vertical="center"/>
      <protection locked="0"/>
    </xf>
    <xf numFmtId="0" fontId="8" fillId="21" borderId="8" xfId="0" applyFont="1" applyFill="1" applyBorder="1" applyAlignment="1" applyProtection="1">
      <alignment horizontal="center" vertical="center"/>
      <protection locked="0"/>
    </xf>
    <xf numFmtId="0" fontId="8" fillId="21" borderId="11" xfId="0" applyFont="1" applyFill="1" applyBorder="1" applyAlignment="1" applyProtection="1">
      <alignment horizontal="center" vertical="center"/>
      <protection locked="0"/>
    </xf>
    <xf numFmtId="0" fontId="2" fillId="21" borderId="9" xfId="0" applyFont="1" applyFill="1" applyBorder="1" applyAlignment="1" applyProtection="1">
      <alignment horizontal="center" vertical="center"/>
      <protection locked="0"/>
    </xf>
    <xf numFmtId="0" fontId="2" fillId="21" borderId="12" xfId="0" applyFont="1" applyFill="1" applyBorder="1" applyAlignment="1" applyProtection="1">
      <alignment horizontal="center" vertical="center"/>
      <protection locked="0"/>
    </xf>
    <xf numFmtId="0" fontId="56" fillId="17" borderId="43" xfId="0" applyFont="1" applyFill="1" applyBorder="1" applyAlignment="1" applyProtection="1">
      <alignment horizontal="center" vertical="center"/>
      <protection locked="0"/>
    </xf>
    <xf numFmtId="0" fontId="56" fillId="17" borderId="70" xfId="0" applyFont="1" applyFill="1" applyBorder="1" applyAlignment="1" applyProtection="1">
      <alignment horizontal="center" vertical="center"/>
      <protection locked="0"/>
    </xf>
    <xf numFmtId="0" fontId="56" fillId="17" borderId="44" xfId="0" applyFont="1" applyFill="1" applyBorder="1" applyAlignment="1" applyProtection="1">
      <alignment horizontal="center" vertical="center"/>
      <protection locked="0"/>
    </xf>
    <xf numFmtId="0" fontId="69" fillId="0" borderId="4" xfId="0" applyFont="1" applyBorder="1" applyAlignment="1" applyProtection="1">
      <alignment horizontal="right" vertical="center"/>
      <protection locked="0"/>
    </xf>
    <xf numFmtId="0" fontId="69" fillId="0" borderId="5" xfId="0" applyFont="1" applyBorder="1" applyAlignment="1" applyProtection="1">
      <alignment horizontal="right" vertical="center"/>
      <protection locked="0"/>
    </xf>
    <xf numFmtId="0" fontId="69" fillId="0" borderId="6" xfId="0" applyFont="1" applyBorder="1" applyAlignment="1" applyProtection="1">
      <alignment horizontal="right" vertical="center"/>
      <protection locked="0"/>
    </xf>
    <xf numFmtId="0" fontId="42" fillId="0" borderId="69" xfId="0" applyFont="1" applyBorder="1" applyAlignment="1">
      <alignment horizontal="center"/>
    </xf>
    <xf numFmtId="0" fontId="2" fillId="12" borderId="4" xfId="0" applyFont="1" applyFill="1" applyBorder="1" applyAlignment="1" applyProtection="1">
      <alignment horizontal="center" vertical="center"/>
      <protection locked="0"/>
    </xf>
    <xf numFmtId="0" fontId="2" fillId="12" borderId="5" xfId="0" applyFont="1" applyFill="1" applyBorder="1" applyAlignment="1" applyProtection="1">
      <alignment horizontal="center" vertical="center"/>
      <protection locked="0"/>
    </xf>
    <xf numFmtId="0" fontId="2" fillId="12" borderId="60" xfId="0" applyFont="1" applyFill="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2"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30" fillId="22" borderId="0" xfId="0" applyFont="1" applyFill="1" applyAlignment="1" applyProtection="1">
      <alignment horizontal="center" vertical="center"/>
      <protection locked="0"/>
    </xf>
    <xf numFmtId="0" fontId="2" fillId="2" borderId="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8" xfId="0" applyFont="1" applyFill="1" applyBorder="1" applyAlignment="1" applyProtection="1">
      <alignment horizontal="center" vertical="center" wrapText="1"/>
      <protection locked="0"/>
    </xf>
    <xf numFmtId="0" fontId="2" fillId="2" borderId="11" xfId="0" applyFont="1" applyFill="1" applyBorder="1" applyAlignment="1" applyProtection="1">
      <alignment horizontal="center" vertical="center" wrapText="1"/>
      <protection locked="0"/>
    </xf>
    <xf numFmtId="0" fontId="2" fillId="6" borderId="0" xfId="0" applyFont="1" applyFill="1" applyAlignment="1" applyProtection="1">
      <alignment horizontal="center" vertical="center"/>
      <protection locked="0"/>
    </xf>
    <xf numFmtId="0" fontId="2" fillId="4" borderId="0" xfId="0" applyFont="1" applyFill="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2" borderId="59" xfId="0" applyFont="1" applyFill="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2" fillId="2" borderId="34" xfId="0" applyFont="1" applyFill="1" applyBorder="1" applyAlignment="1" applyProtection="1">
      <alignment horizontal="center" vertical="center"/>
      <protection locked="0"/>
    </xf>
    <xf numFmtId="0" fontId="2" fillId="2" borderId="35" xfId="0" applyFont="1" applyFill="1" applyBorder="1" applyAlignment="1" applyProtection="1">
      <alignment horizontal="center" vertical="center"/>
      <protection locked="0"/>
    </xf>
    <xf numFmtId="0" fontId="2" fillId="2" borderId="36" xfId="0" applyFont="1" applyFill="1" applyBorder="1" applyAlignment="1" applyProtection="1">
      <alignment horizontal="center" vertical="center"/>
      <protection locked="0"/>
    </xf>
    <xf numFmtId="0" fontId="2" fillId="2" borderId="37" xfId="0"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protection locked="0"/>
    </xf>
    <xf numFmtId="0" fontId="12" fillId="2" borderId="9" xfId="0" applyFont="1" applyFill="1" applyBorder="1" applyAlignment="1" applyProtection="1">
      <alignment horizontal="center" vertical="center"/>
      <protection locked="0"/>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2" borderId="15" xfId="0" applyFont="1" applyFill="1" applyBorder="1" applyAlignment="1" applyProtection="1">
      <alignment horizontal="center" vertical="center"/>
      <protection locked="0"/>
    </xf>
    <xf numFmtId="0" fontId="12" fillId="2" borderId="7" xfId="0" applyFont="1" applyFill="1" applyBorder="1" applyAlignment="1" applyProtection="1">
      <alignment horizontal="center" vertical="center"/>
      <protection locked="0"/>
    </xf>
    <xf numFmtId="0" fontId="12" fillId="2" borderId="31" xfId="0" applyFont="1" applyFill="1" applyBorder="1" applyAlignment="1" applyProtection="1">
      <alignment horizontal="center" vertical="center"/>
      <protection locked="0"/>
    </xf>
    <xf numFmtId="0" fontId="38" fillId="11" borderId="0" xfId="0" applyFont="1" applyFill="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6" xfId="0" applyFont="1" applyBorder="1" applyAlignment="1" applyProtection="1">
      <alignment horizontal="center" vertical="center"/>
      <protection locked="0"/>
    </xf>
    <xf numFmtId="0" fontId="42" fillId="0" borderId="5" xfId="0" applyFont="1" applyBorder="1" applyAlignment="1">
      <alignment horizontal="center"/>
    </xf>
    <xf numFmtId="0" fontId="12" fillId="12" borderId="4" xfId="0" applyFont="1" applyFill="1" applyBorder="1" applyAlignment="1">
      <alignment horizontal="center" vertical="center"/>
    </xf>
    <xf numFmtId="0" fontId="12" fillId="12" borderId="60" xfId="0" applyFont="1" applyFill="1" applyBorder="1" applyAlignment="1">
      <alignment horizontal="center" vertical="center"/>
    </xf>
    <xf numFmtId="0" fontId="2" fillId="2" borderId="1" xfId="0" applyFont="1" applyFill="1" applyBorder="1" applyAlignment="1" applyProtection="1">
      <alignment horizontal="center" vertical="center"/>
      <protection locked="0"/>
    </xf>
    <xf numFmtId="0" fontId="2" fillId="3" borderId="25" xfId="0" applyFont="1" applyFill="1" applyBorder="1" applyAlignment="1" applyProtection="1">
      <alignment horizontal="center" vertical="center"/>
      <protection locked="0"/>
    </xf>
    <xf numFmtId="0" fontId="2" fillId="3" borderId="0" xfId="0" applyFont="1" applyFill="1" applyAlignment="1" applyProtection="1">
      <alignment horizontal="center" vertical="center"/>
      <protection locked="0"/>
    </xf>
    <xf numFmtId="0" fontId="2" fillId="3" borderId="26" xfId="0" applyFont="1" applyFill="1" applyBorder="1" applyAlignment="1" applyProtection="1">
      <alignment horizontal="center" vertical="center"/>
      <protection locked="0"/>
    </xf>
    <xf numFmtId="0" fontId="2" fillId="6" borderId="2" xfId="0" applyFont="1" applyFill="1" applyBorder="1" applyAlignment="1" applyProtection="1">
      <alignment horizontal="center" vertical="center"/>
      <protection locked="0"/>
    </xf>
    <xf numFmtId="0" fontId="2" fillId="2" borderId="55" xfId="0" applyFont="1" applyFill="1" applyBorder="1" applyAlignment="1" applyProtection="1">
      <alignment horizontal="center" vertical="center"/>
      <protection locked="0"/>
    </xf>
    <xf numFmtId="0" fontId="2" fillId="2" borderId="41" xfId="0" applyFont="1" applyFill="1" applyBorder="1" applyAlignment="1" applyProtection="1">
      <alignment horizontal="center" vertical="center"/>
      <protection locked="0"/>
    </xf>
    <xf numFmtId="0" fontId="2" fillId="2" borderId="13"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4" fillId="2" borderId="34" xfId="0" applyFont="1" applyFill="1" applyBorder="1" applyAlignment="1" applyProtection="1">
      <alignment horizontal="center" vertical="center"/>
      <protection locked="0"/>
    </xf>
    <xf numFmtId="0" fontId="4" fillId="2" borderId="41" xfId="0" applyFont="1" applyFill="1" applyBorder="1" applyAlignment="1" applyProtection="1">
      <alignment horizontal="center" vertical="center"/>
      <protection locked="0"/>
    </xf>
    <xf numFmtId="0" fontId="57" fillId="19" borderId="43" xfId="0" applyFont="1" applyFill="1" applyBorder="1" applyAlignment="1">
      <alignment horizontal="center" vertical="center"/>
    </xf>
    <xf numFmtId="0" fontId="57" fillId="19" borderId="70" xfId="0" applyFont="1" applyFill="1" applyBorder="1" applyAlignment="1">
      <alignment horizontal="center" vertical="center"/>
    </xf>
    <xf numFmtId="0" fontId="2" fillId="2" borderId="15" xfId="0" applyFont="1" applyFill="1" applyBorder="1" applyAlignment="1" applyProtection="1">
      <alignment horizontal="center" vertical="center"/>
      <protection locked="0"/>
    </xf>
    <xf numFmtId="0" fontId="8" fillId="2" borderId="15" xfId="0" applyFont="1" applyFill="1" applyBorder="1" applyAlignment="1" applyProtection="1">
      <alignment horizontal="center" vertical="center"/>
      <protection locked="0"/>
    </xf>
    <xf numFmtId="0" fontId="2" fillId="2" borderId="15" xfId="0" applyFont="1" applyFill="1" applyBorder="1" applyAlignment="1" applyProtection="1">
      <alignment horizontal="center" vertical="center" wrapText="1"/>
      <protection locked="0"/>
    </xf>
    <xf numFmtId="0" fontId="68" fillId="0" borderId="0" xfId="0" applyFont="1" applyAlignment="1">
      <alignment horizontal="center"/>
    </xf>
    <xf numFmtId="0" fontId="2" fillId="2" borderId="19" xfId="0" applyFont="1" applyFill="1" applyBorder="1" applyAlignment="1" applyProtection="1">
      <alignment horizontal="center" vertical="center" wrapText="1"/>
      <protection locked="0"/>
    </xf>
    <xf numFmtId="0" fontId="2" fillId="2" borderId="41" xfId="0" applyFont="1" applyFill="1" applyBorder="1" applyAlignment="1" applyProtection="1">
      <alignment horizontal="center" vertical="center" wrapText="1"/>
      <protection locked="0"/>
    </xf>
    <xf numFmtId="0" fontId="2" fillId="2" borderId="43" xfId="0" applyFont="1" applyFill="1" applyBorder="1" applyAlignment="1" applyProtection="1">
      <alignment horizontal="center" vertical="center"/>
      <protection locked="0"/>
    </xf>
    <xf numFmtId="0" fontId="2" fillId="2" borderId="44" xfId="0" applyFont="1" applyFill="1" applyBorder="1" applyAlignment="1" applyProtection="1">
      <alignment horizontal="center" vertical="center"/>
      <protection locked="0"/>
    </xf>
    <xf numFmtId="0" fontId="2" fillId="6" borderId="43" xfId="0" applyFont="1" applyFill="1" applyBorder="1" applyAlignment="1" applyProtection="1">
      <alignment horizontal="center" vertical="center"/>
      <protection locked="0"/>
    </xf>
    <xf numFmtId="0" fontId="2" fillId="6" borderId="70" xfId="0" applyFont="1" applyFill="1" applyBorder="1" applyAlignment="1" applyProtection="1">
      <alignment horizontal="center" vertical="center"/>
      <protection locked="0"/>
    </xf>
    <xf numFmtId="0" fontId="2" fillId="6" borderId="44" xfId="0" applyFont="1" applyFill="1" applyBorder="1" applyAlignment="1" applyProtection="1">
      <alignment horizontal="center" vertical="center"/>
      <protection locked="0"/>
    </xf>
    <xf numFmtId="0" fontId="2" fillId="2" borderId="19" xfId="0"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0" fontId="8" fillId="2" borderId="41" xfId="0" applyFont="1" applyFill="1" applyBorder="1" applyAlignment="1" applyProtection="1">
      <alignment horizontal="center" vertical="center"/>
      <protection locked="0"/>
    </xf>
    <xf numFmtId="0" fontId="59" fillId="0" borderId="0" xfId="0" applyFont="1" applyAlignment="1">
      <alignment horizontal="center"/>
    </xf>
    <xf numFmtId="0" fontId="43" fillId="0" borderId="5" xfId="0" applyFont="1" applyBorder="1" applyAlignment="1">
      <alignment horizontal="center"/>
    </xf>
    <xf numFmtId="0" fontId="2" fillId="2" borderId="9"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12" borderId="20" xfId="0" applyFont="1" applyFill="1" applyBorder="1" applyAlignment="1">
      <alignment horizontal="center" vertical="center"/>
    </xf>
    <xf numFmtId="0" fontId="2" fillId="12" borderId="21" xfId="0" applyFont="1" applyFill="1" applyBorder="1" applyAlignment="1">
      <alignment horizontal="center" vertical="center"/>
    </xf>
    <xf numFmtId="0" fontId="40" fillId="14" borderId="1" xfId="0" applyFont="1" applyFill="1" applyBorder="1" applyAlignment="1" applyProtection="1">
      <alignment horizontal="center" vertical="center"/>
      <protection locked="0"/>
    </xf>
    <xf numFmtId="0" fontId="40" fillId="14" borderId="2" xfId="0" applyFont="1" applyFill="1" applyBorder="1" applyAlignment="1" applyProtection="1">
      <alignment horizontal="center" vertical="center"/>
      <protection locked="0"/>
    </xf>
    <xf numFmtId="0" fontId="2" fillId="3" borderId="27" xfId="0" applyFont="1" applyFill="1" applyBorder="1" applyAlignment="1" applyProtection="1">
      <alignment horizontal="center" vertical="center" wrapText="1"/>
      <protection locked="0"/>
    </xf>
    <xf numFmtId="0" fontId="2" fillId="3" borderId="29" xfId="0" applyFont="1" applyFill="1" applyBorder="1" applyAlignment="1" applyProtection="1">
      <alignment horizontal="center" vertical="center" wrapText="1"/>
      <protection locked="0"/>
    </xf>
    <xf numFmtId="0" fontId="23" fillId="14" borderId="0" xfId="0" applyFont="1" applyFill="1" applyAlignment="1" applyProtection="1">
      <alignment horizontal="center" vertical="center"/>
      <protection locked="0"/>
    </xf>
    <xf numFmtId="0" fontId="2"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60" fillId="4" borderId="0" xfId="0" applyFont="1" applyFill="1" applyAlignment="1" applyProtection="1">
      <alignment horizontal="center" vertical="center"/>
      <protection locked="0"/>
    </xf>
    <xf numFmtId="3" fontId="62" fillId="4" borderId="0" xfId="2" applyNumberFormat="1" applyFont="1" applyFill="1" applyBorder="1" applyAlignment="1">
      <alignment horizontal="center"/>
    </xf>
    <xf numFmtId="0" fontId="47" fillId="15" borderId="15" xfId="0" applyFont="1" applyFill="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2" fillId="21" borderId="15" xfId="0" applyFont="1" applyFill="1" applyBorder="1" applyAlignment="1" applyProtection="1">
      <alignment horizontal="center" vertical="center"/>
      <protection locked="0"/>
    </xf>
    <xf numFmtId="0" fontId="17" fillId="12" borderId="0" xfId="0" applyFont="1" applyFill="1" applyAlignment="1">
      <alignment horizontal="center" vertical="center" readingOrder="2"/>
    </xf>
    <xf numFmtId="0" fontId="25" fillId="0" borderId="0" xfId="0" applyFont="1" applyAlignment="1">
      <alignment horizontal="center" vertical="center" readingOrder="2"/>
    </xf>
    <xf numFmtId="0" fontId="2" fillId="21" borderId="15" xfId="0" applyFont="1" applyFill="1" applyBorder="1" applyAlignment="1" applyProtection="1">
      <alignment horizontal="center" vertical="center" wrapText="1"/>
      <protection locked="0"/>
    </xf>
    <xf numFmtId="0" fontId="47" fillId="12" borderId="27" xfId="0" applyFont="1" applyFill="1" applyBorder="1" applyAlignment="1" applyProtection="1">
      <alignment horizontal="center" vertical="center"/>
      <protection locked="0"/>
    </xf>
    <xf numFmtId="0" fontId="47" fillId="12" borderId="28" xfId="0" applyFont="1" applyFill="1" applyBorder="1" applyAlignment="1" applyProtection="1">
      <alignment horizontal="center" vertical="center"/>
      <protection locked="0"/>
    </xf>
    <xf numFmtId="0" fontId="0" fillId="0" borderId="0" xfId="0" applyAlignment="1">
      <alignment horizontal="center"/>
    </xf>
    <xf numFmtId="0" fontId="26" fillId="14" borderId="0" xfId="0" applyFont="1" applyFill="1" applyAlignment="1">
      <alignment horizontal="center"/>
    </xf>
    <xf numFmtId="0" fontId="2" fillId="3" borderId="1" xfId="0" applyFont="1" applyFill="1" applyBorder="1" applyAlignment="1" applyProtection="1">
      <alignment horizontal="center" vertical="center"/>
      <protection locked="0"/>
    </xf>
    <xf numFmtId="0" fontId="2" fillId="3" borderId="2" xfId="0" applyFont="1" applyFill="1" applyBorder="1" applyAlignment="1" applyProtection="1">
      <alignment horizontal="center" vertical="center"/>
      <protection locked="0"/>
    </xf>
    <xf numFmtId="0" fontId="2" fillId="3" borderId="3" xfId="0" applyFont="1" applyFill="1" applyBorder="1" applyAlignment="1" applyProtection="1">
      <alignment horizontal="center" vertical="center"/>
      <protection locked="0"/>
    </xf>
    <xf numFmtId="0" fontId="2" fillId="2" borderId="31" xfId="0" applyFont="1" applyFill="1" applyBorder="1" applyAlignment="1" applyProtection="1">
      <alignment horizontal="center" vertical="center"/>
      <protection locked="0"/>
    </xf>
    <xf numFmtId="0" fontId="2" fillId="2" borderId="10" xfId="0" applyFont="1" applyFill="1" applyBorder="1" applyAlignment="1" applyProtection="1">
      <alignment horizontal="center" vertical="center"/>
      <protection locked="0"/>
    </xf>
    <xf numFmtId="0" fontId="41" fillId="14" borderId="5" xfId="0" applyFont="1" applyFill="1" applyBorder="1" applyAlignment="1">
      <alignment horizontal="center"/>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0" fontId="2" fillId="3" borderId="6" xfId="0" applyFont="1" applyFill="1" applyBorder="1" applyAlignment="1" applyProtection="1">
      <alignment horizontal="center" vertical="center"/>
      <protection locked="0"/>
    </xf>
    <xf numFmtId="0" fontId="2" fillId="2" borderId="20" xfId="0" applyFont="1" applyFill="1" applyBorder="1" applyAlignment="1" applyProtection="1">
      <alignment horizontal="center" vertical="center"/>
      <protection locked="0"/>
    </xf>
    <xf numFmtId="0" fontId="2" fillId="2" borderId="21" xfId="0" applyFont="1" applyFill="1" applyBorder="1" applyAlignment="1" applyProtection="1">
      <alignment horizontal="center" vertical="center"/>
      <protection locked="0"/>
    </xf>
    <xf numFmtId="0" fontId="30" fillId="11" borderId="0" xfId="0" applyFont="1" applyFill="1" applyAlignment="1" applyProtection="1">
      <alignment horizontal="center" vertical="center"/>
      <protection locked="0"/>
    </xf>
    <xf numFmtId="0" fontId="2" fillId="15" borderId="4" xfId="0" applyFont="1" applyFill="1" applyBorder="1" applyAlignment="1" applyProtection="1">
      <alignment horizontal="center" vertical="center"/>
      <protection locked="0"/>
    </xf>
    <xf numFmtId="0" fontId="2" fillId="15" borderId="60" xfId="0" applyFont="1" applyFill="1" applyBorder="1" applyAlignment="1" applyProtection="1">
      <alignment horizontal="center" vertical="center"/>
      <protection locked="0"/>
    </xf>
    <xf numFmtId="0" fontId="27" fillId="0" borderId="0" xfId="0" applyFont="1" applyAlignment="1">
      <alignment horizontal="center" vertical="center" readingOrder="2"/>
    </xf>
    <xf numFmtId="0" fontId="2" fillId="8" borderId="25" xfId="0" applyFont="1" applyFill="1" applyBorder="1" applyAlignment="1" applyProtection="1">
      <alignment horizontal="center" vertical="center"/>
      <protection locked="0"/>
    </xf>
    <xf numFmtId="0" fontId="2" fillId="8" borderId="0" xfId="0" applyFont="1" applyFill="1" applyAlignment="1" applyProtection="1">
      <alignment horizontal="center" vertical="center"/>
      <protection locked="0"/>
    </xf>
    <xf numFmtId="0" fontId="2" fillId="5" borderId="0" xfId="0" applyFont="1" applyFill="1" applyAlignment="1" applyProtection="1">
      <alignment horizontal="center" vertical="center"/>
      <protection locked="0"/>
    </xf>
    <xf numFmtId="0" fontId="28" fillId="8" borderId="0" xfId="0" applyFont="1" applyFill="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2" fillId="15" borderId="37" xfId="0" applyFont="1" applyFill="1" applyBorder="1" applyAlignment="1" applyProtection="1">
      <alignment horizontal="center" vertical="center"/>
      <protection locked="0"/>
    </xf>
    <xf numFmtId="0" fontId="2" fillId="15" borderId="35" xfId="0" applyFont="1" applyFill="1" applyBorder="1" applyAlignment="1" applyProtection="1">
      <alignment horizontal="center" vertical="center"/>
      <protection locked="0"/>
    </xf>
    <xf numFmtId="0" fontId="2" fillId="3" borderId="27" xfId="0" applyFont="1" applyFill="1" applyBorder="1" applyAlignment="1" applyProtection="1">
      <alignment horizontal="center" vertical="center"/>
      <protection locked="0"/>
    </xf>
    <xf numFmtId="0" fontId="2" fillId="3" borderId="28" xfId="0" applyFont="1" applyFill="1" applyBorder="1" applyAlignment="1" applyProtection="1">
      <alignment horizontal="center" vertical="center"/>
      <protection locked="0"/>
    </xf>
    <xf numFmtId="0" fontId="2" fillId="3" borderId="29" xfId="0" applyFont="1" applyFill="1" applyBorder="1" applyAlignment="1" applyProtection="1">
      <alignment horizontal="center" vertical="center"/>
      <protection locked="0"/>
    </xf>
    <xf numFmtId="0" fontId="31" fillId="11" borderId="0" xfId="0" applyFont="1" applyFill="1" applyAlignment="1">
      <alignment horizontal="center"/>
    </xf>
    <xf numFmtId="0" fontId="43" fillId="0" borderId="0" xfId="0" applyFont="1" applyAlignment="1">
      <alignment horizontal="center"/>
    </xf>
    <xf numFmtId="0" fontId="8" fillId="3" borderId="27" xfId="0" applyFont="1" applyFill="1" applyBorder="1" applyAlignment="1">
      <alignment horizontal="center" vertical="center" wrapText="1"/>
    </xf>
    <xf numFmtId="0" fontId="8" fillId="3" borderId="28"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2" fillId="12" borderId="4" xfId="0" applyFont="1" applyFill="1" applyBorder="1" applyAlignment="1">
      <alignment horizontal="center" vertical="center"/>
    </xf>
    <xf numFmtId="0" fontId="2" fillId="12" borderId="60" xfId="0" applyFont="1" applyFill="1" applyBorder="1" applyAlignment="1">
      <alignment horizontal="center" vertical="center"/>
    </xf>
    <xf numFmtId="0" fontId="29" fillId="8" borderId="27" xfId="0" applyFont="1" applyFill="1" applyBorder="1" applyAlignment="1">
      <alignment horizontal="center"/>
    </xf>
    <xf numFmtId="0" fontId="0" fillId="8" borderId="28" xfId="0" applyFill="1" applyBorder="1" applyAlignment="1">
      <alignment horizontal="center"/>
    </xf>
    <xf numFmtId="0" fontId="0" fillId="8" borderId="29" xfId="0" applyFill="1" applyBorder="1" applyAlignment="1">
      <alignment horizontal="center"/>
    </xf>
    <xf numFmtId="1" fontId="50" fillId="0" borderId="67" xfId="0" applyNumberFormat="1" applyFont="1" applyBorder="1" applyAlignment="1">
      <alignment horizontal="center" vertical="center"/>
    </xf>
    <xf numFmtId="1" fontId="50" fillId="0" borderId="48" xfId="0" applyNumberFormat="1" applyFont="1" applyBorder="1" applyAlignment="1">
      <alignment horizontal="center" vertical="center"/>
    </xf>
    <xf numFmtId="38" fontId="14" fillId="16" borderId="0" xfId="0" applyNumberFormat="1" applyFont="1" applyFill="1" applyAlignment="1" applyProtection="1">
      <alignment horizontal="right" vertical="center" readingOrder="2"/>
      <protection locked="0"/>
    </xf>
    <xf numFmtId="38" fontId="14" fillId="16" borderId="0" xfId="0" applyNumberFormat="1" applyFont="1" applyFill="1" applyAlignment="1" applyProtection="1">
      <alignment horizontal="center" vertical="center"/>
      <protection locked="0"/>
    </xf>
    <xf numFmtId="38" fontId="47" fillId="17" borderId="27" xfId="0" applyNumberFormat="1" applyFont="1" applyFill="1" applyBorder="1" applyAlignment="1" applyProtection="1">
      <alignment horizontal="center" vertical="center"/>
      <protection locked="0"/>
    </xf>
    <xf numFmtId="38" fontId="47" fillId="17" borderId="28" xfId="0" applyNumberFormat="1" applyFont="1" applyFill="1" applyBorder="1" applyAlignment="1" applyProtection="1">
      <alignment horizontal="center" vertical="center"/>
      <protection locked="0"/>
    </xf>
    <xf numFmtId="38" fontId="47" fillId="17" borderId="2" xfId="0" applyNumberFormat="1" applyFont="1" applyFill="1" applyBorder="1" applyAlignment="1" applyProtection="1">
      <alignment horizontal="center" vertical="center"/>
      <protection locked="0"/>
    </xf>
    <xf numFmtId="38" fontId="3" fillId="18" borderId="1" xfId="0" applyNumberFormat="1" applyFont="1" applyFill="1" applyBorder="1" applyAlignment="1" applyProtection="1">
      <alignment horizontal="center" vertical="center"/>
      <protection locked="0"/>
    </xf>
    <xf numFmtId="38" fontId="3" fillId="18" borderId="2" xfId="0" applyNumberFormat="1" applyFont="1" applyFill="1" applyBorder="1" applyAlignment="1" applyProtection="1">
      <alignment horizontal="center" vertical="center"/>
      <protection locked="0"/>
    </xf>
    <xf numFmtId="38" fontId="3" fillId="18" borderId="25" xfId="0" applyNumberFormat="1" applyFont="1" applyFill="1" applyBorder="1" applyAlignment="1" applyProtection="1">
      <alignment horizontal="center" vertical="center"/>
      <protection locked="0"/>
    </xf>
    <xf numFmtId="38" fontId="3" fillId="18" borderId="0" xfId="0" applyNumberFormat="1" applyFont="1" applyFill="1" applyAlignment="1" applyProtection="1">
      <alignment horizontal="center" vertical="center"/>
      <protection locked="0"/>
    </xf>
    <xf numFmtId="38" fontId="3" fillId="18" borderId="4" xfId="0" applyNumberFormat="1" applyFont="1" applyFill="1" applyBorder="1" applyAlignment="1" applyProtection="1">
      <alignment horizontal="center" vertical="center"/>
      <protection locked="0"/>
    </xf>
    <xf numFmtId="38" fontId="3" fillId="18" borderId="5" xfId="0" applyNumberFormat="1" applyFont="1" applyFill="1" applyBorder="1" applyAlignment="1" applyProtection="1">
      <alignment horizontal="center" vertical="center"/>
      <protection locked="0"/>
    </xf>
    <xf numFmtId="0" fontId="45" fillId="0" borderId="0" xfId="0" applyFont="1" applyAlignment="1">
      <alignment horizontal="center"/>
    </xf>
    <xf numFmtId="38" fontId="50" fillId="10" borderId="27" xfId="0" applyNumberFormat="1" applyFont="1" applyFill="1" applyBorder="1" applyAlignment="1" applyProtection="1">
      <alignment horizontal="center" vertical="center"/>
      <protection locked="0"/>
    </xf>
    <xf numFmtId="38" fontId="50" fillId="10" borderId="33" xfId="0" applyNumberFormat="1" applyFont="1" applyFill="1" applyBorder="1" applyAlignment="1" applyProtection="1">
      <alignment horizontal="center" vertical="center"/>
      <protection locked="0"/>
    </xf>
    <xf numFmtId="1" fontId="50" fillId="0" borderId="7" xfId="0" applyNumberFormat="1" applyFont="1" applyBorder="1" applyAlignment="1">
      <alignment horizontal="center" vertical="center"/>
    </xf>
    <xf numFmtId="1" fontId="50" fillId="0" borderId="8" xfId="0" applyNumberFormat="1" applyFont="1" applyBorder="1" applyAlignment="1">
      <alignment horizontal="center" vertical="center"/>
    </xf>
    <xf numFmtId="1" fontId="50" fillId="0" borderId="31" xfId="0" applyNumberFormat="1" applyFont="1" applyBorder="1" applyAlignment="1">
      <alignment horizontal="center" vertical="center"/>
    </xf>
    <xf numFmtId="1" fontId="50" fillId="0" borderId="15" xfId="0" applyNumberFormat="1" applyFont="1" applyBorder="1" applyAlignment="1">
      <alignment horizontal="center" vertical="center"/>
    </xf>
    <xf numFmtId="1" fontId="50" fillId="0" borderId="10" xfId="0" applyNumberFormat="1" applyFont="1" applyBorder="1" applyAlignment="1">
      <alignment horizontal="center" vertical="center"/>
    </xf>
    <xf numFmtId="1" fontId="50" fillId="0" borderId="11" xfId="0" applyNumberFormat="1" applyFont="1" applyBorder="1" applyAlignment="1">
      <alignment horizontal="center" vertical="center"/>
    </xf>
    <xf numFmtId="1" fontId="50" fillId="0" borderId="68" xfId="0" applyNumberFormat="1" applyFont="1" applyBorder="1" applyAlignment="1">
      <alignment horizontal="center" vertical="center"/>
    </xf>
    <xf numFmtId="1" fontId="50" fillId="0" borderId="30" xfId="0" applyNumberFormat="1" applyFont="1" applyBorder="1" applyAlignment="1">
      <alignment horizontal="center" vertical="center"/>
    </xf>
    <xf numFmtId="0" fontId="30" fillId="8" borderId="0" xfId="0" applyFont="1" applyFill="1" applyAlignment="1" applyProtection="1">
      <alignment horizontal="center" vertical="center" wrapText="1"/>
      <protection locked="0"/>
    </xf>
    <xf numFmtId="38" fontId="3" fillId="2" borderId="27" xfId="0" applyNumberFormat="1" applyFont="1" applyFill="1" applyBorder="1" applyAlignment="1" applyProtection="1">
      <alignment horizontal="center" vertical="center"/>
      <protection locked="0"/>
    </xf>
    <xf numFmtId="38" fontId="3" fillId="2" borderId="28" xfId="0" applyNumberFormat="1" applyFont="1" applyFill="1" applyBorder="1" applyAlignment="1" applyProtection="1">
      <alignment horizontal="center" vertical="center"/>
      <protection locked="0"/>
    </xf>
    <xf numFmtId="38" fontId="14" fillId="2" borderId="45" xfId="0" applyNumberFormat="1" applyFont="1" applyFill="1" applyBorder="1" applyAlignment="1" applyProtection="1">
      <alignment horizontal="center" vertical="center"/>
      <protection locked="0"/>
    </xf>
    <xf numFmtId="38" fontId="14" fillId="2" borderId="53" xfId="0" applyNumberFormat="1" applyFont="1" applyFill="1" applyBorder="1" applyAlignment="1" applyProtection="1">
      <alignment horizontal="center" vertical="center"/>
      <protection locked="0"/>
    </xf>
    <xf numFmtId="38" fontId="2" fillId="3" borderId="36" xfId="0" applyNumberFormat="1" applyFont="1" applyFill="1" applyBorder="1" applyAlignment="1" applyProtection="1">
      <alignment horizontal="center" vertical="center"/>
      <protection locked="0"/>
    </xf>
    <xf numFmtId="38" fontId="2" fillId="3" borderId="55" xfId="0" applyNumberFormat="1" applyFont="1" applyFill="1" applyBorder="1" applyAlignment="1" applyProtection="1">
      <alignment horizontal="center" vertical="center"/>
      <protection locked="0"/>
    </xf>
    <xf numFmtId="38" fontId="14" fillId="2" borderId="1" xfId="0" applyNumberFormat="1" applyFont="1" applyFill="1" applyBorder="1" applyAlignment="1" applyProtection="1">
      <alignment horizontal="center" vertical="center"/>
      <protection locked="0"/>
    </xf>
    <xf numFmtId="38" fontId="14" fillId="2" borderId="54" xfId="0" applyNumberFormat="1" applyFont="1" applyFill="1" applyBorder="1" applyAlignment="1" applyProtection="1">
      <alignment horizontal="center" vertical="center"/>
      <protection locked="0"/>
    </xf>
    <xf numFmtId="38" fontId="50" fillId="2" borderId="27" xfId="0" applyNumberFormat="1" applyFont="1" applyFill="1" applyBorder="1" applyAlignment="1" applyProtection="1">
      <alignment horizontal="center" vertical="center"/>
      <protection locked="0"/>
    </xf>
    <xf numFmtId="38" fontId="50" fillId="2" borderId="28" xfId="0" applyNumberFormat="1" applyFont="1" applyFill="1" applyBorder="1" applyAlignment="1" applyProtection="1">
      <alignment horizontal="center" vertical="center"/>
      <protection locked="0"/>
    </xf>
    <xf numFmtId="168" fontId="14" fillId="16" borderId="64" xfId="2" applyNumberFormat="1" applyFont="1" applyFill="1" applyBorder="1" applyAlignment="1" applyProtection="1">
      <alignment horizontal="center" vertical="center"/>
      <protection locked="0"/>
    </xf>
    <xf numFmtId="168" fontId="14" fillId="16" borderId="65" xfId="2" applyNumberFormat="1" applyFont="1" applyFill="1" applyBorder="1" applyAlignment="1" applyProtection="1">
      <alignment horizontal="center" vertical="center"/>
      <protection locked="0"/>
    </xf>
    <xf numFmtId="38" fontId="12" fillId="2" borderId="1" xfId="0" applyNumberFormat="1" applyFont="1" applyFill="1" applyBorder="1" applyAlignment="1" applyProtection="1">
      <alignment horizontal="center" vertical="center"/>
      <protection locked="0"/>
    </xf>
    <xf numFmtId="38" fontId="12" fillId="2" borderId="2" xfId="0" applyNumberFormat="1" applyFont="1" applyFill="1" applyBorder="1" applyAlignment="1" applyProtection="1">
      <alignment horizontal="center" vertical="center"/>
      <protection locked="0"/>
    </xf>
    <xf numFmtId="38" fontId="12" fillId="2" borderId="3" xfId="0" applyNumberFormat="1" applyFont="1" applyFill="1" applyBorder="1" applyAlignment="1" applyProtection="1">
      <alignment horizontal="center" vertical="center"/>
      <protection locked="0"/>
    </xf>
    <xf numFmtId="38" fontId="14" fillId="13" borderId="4" xfId="0" applyNumberFormat="1" applyFont="1" applyFill="1" applyBorder="1" applyAlignment="1" applyProtection="1">
      <alignment horizontal="center" vertical="center"/>
      <protection locked="0"/>
    </xf>
    <xf numFmtId="38" fontId="14" fillId="13" borderId="5" xfId="0" applyNumberFormat="1" applyFont="1" applyFill="1" applyBorder="1" applyAlignment="1" applyProtection="1">
      <alignment horizontal="center" vertical="center"/>
      <protection locked="0"/>
    </xf>
    <xf numFmtId="38" fontId="14" fillId="16" borderId="64" xfId="0" applyNumberFormat="1" applyFont="1" applyFill="1" applyBorder="1" applyAlignment="1" applyProtection="1">
      <alignment horizontal="center" vertical="center"/>
      <protection locked="0"/>
    </xf>
    <xf numFmtId="38" fontId="14" fillId="16" borderId="65" xfId="0" applyNumberFormat="1" applyFont="1" applyFill="1" applyBorder="1" applyAlignment="1" applyProtection="1">
      <alignment horizontal="center" vertical="center"/>
      <protection locked="0"/>
    </xf>
    <xf numFmtId="38" fontId="58" fillId="16" borderId="0" xfId="0" applyNumberFormat="1" applyFont="1" applyFill="1" applyAlignment="1" applyProtection="1">
      <alignment horizontal="center" vertical="center"/>
      <protection locked="0"/>
    </xf>
    <xf numFmtId="38" fontId="14" fillId="16" borderId="66" xfId="0" applyNumberFormat="1" applyFont="1" applyFill="1" applyBorder="1" applyAlignment="1" applyProtection="1">
      <alignment horizontal="center" vertical="center"/>
      <protection locked="0"/>
    </xf>
    <xf numFmtId="1" fontId="14" fillId="0" borderId="68" xfId="0" applyNumberFormat="1" applyFont="1" applyBorder="1" applyAlignment="1">
      <alignment horizontal="center" vertical="center"/>
    </xf>
    <xf numFmtId="1" fontId="14" fillId="0" borderId="30" xfId="0" applyNumberFormat="1" applyFont="1" applyBorder="1" applyAlignment="1">
      <alignment horizontal="center" vertical="center"/>
    </xf>
    <xf numFmtId="38" fontId="50" fillId="2" borderId="1" xfId="0" applyNumberFormat="1" applyFont="1" applyFill="1" applyBorder="1" applyAlignment="1" applyProtection="1">
      <alignment horizontal="center" vertical="center"/>
      <protection locked="0"/>
    </xf>
    <xf numFmtId="38" fontId="50" fillId="2" borderId="2" xfId="0" applyNumberFormat="1" applyFont="1" applyFill="1" applyBorder="1" applyAlignment="1" applyProtection="1">
      <alignment horizontal="center" vertical="center"/>
      <protection locked="0"/>
    </xf>
    <xf numFmtId="38" fontId="14" fillId="2" borderId="15" xfId="0" applyNumberFormat="1" applyFont="1" applyFill="1" applyBorder="1" applyAlignment="1" applyProtection="1">
      <alignment horizontal="center" vertical="center"/>
      <protection locked="0"/>
    </xf>
    <xf numFmtId="1" fontId="14" fillId="0" borderId="37" xfId="0" applyNumberFormat="1" applyFont="1" applyBorder="1" applyAlignment="1">
      <alignment horizontal="center" vertical="center"/>
    </xf>
    <xf numFmtId="1" fontId="14" fillId="0" borderId="35" xfId="0" applyNumberFormat="1" applyFont="1" applyBorder="1" applyAlignment="1">
      <alignment horizontal="center" vertical="center"/>
    </xf>
    <xf numFmtId="166" fontId="50" fillId="0" borderId="15" xfId="0" applyNumberFormat="1" applyFont="1" applyBorder="1" applyAlignment="1">
      <alignment horizontal="center" vertical="center"/>
    </xf>
    <xf numFmtId="38" fontId="47" fillId="17" borderId="1" xfId="0" applyNumberFormat="1" applyFont="1" applyFill="1" applyBorder="1" applyAlignment="1" applyProtection="1">
      <alignment horizontal="center" vertical="center"/>
      <protection locked="0"/>
    </xf>
    <xf numFmtId="1" fontId="14" fillId="0" borderId="67" xfId="0" applyNumberFormat="1" applyFont="1" applyBorder="1" applyAlignment="1">
      <alignment horizontal="center" vertical="center"/>
    </xf>
    <xf numFmtId="1" fontId="14" fillId="0" borderId="48" xfId="0" applyNumberFormat="1" applyFont="1" applyBorder="1" applyAlignment="1">
      <alignment horizontal="center" vertical="center"/>
    </xf>
    <xf numFmtId="38" fontId="14" fillId="10" borderId="27" xfId="0" applyNumberFormat="1" applyFont="1" applyFill="1" applyBorder="1" applyAlignment="1" applyProtection="1">
      <alignment horizontal="center" vertical="center"/>
      <protection locked="0"/>
    </xf>
    <xf numFmtId="38" fontId="14" fillId="10" borderId="33" xfId="0" applyNumberFormat="1" applyFont="1" applyFill="1" applyBorder="1" applyAlignment="1" applyProtection="1">
      <alignment horizontal="center" vertical="center"/>
      <protection locked="0"/>
    </xf>
    <xf numFmtId="166" fontId="50" fillId="3" borderId="15" xfId="0" applyNumberFormat="1" applyFont="1" applyFill="1" applyBorder="1" applyAlignment="1">
      <alignment horizontal="center" vertical="center"/>
    </xf>
    <xf numFmtId="38" fontId="12" fillId="2" borderId="15" xfId="0" applyNumberFormat="1" applyFont="1" applyFill="1" applyBorder="1" applyAlignment="1" applyProtection="1">
      <alignment horizontal="center" vertical="center"/>
      <protection locked="0"/>
    </xf>
    <xf numFmtId="38" fontId="14" fillId="13" borderId="15" xfId="0" applyNumberFormat="1" applyFont="1" applyFill="1" applyBorder="1" applyAlignment="1" applyProtection="1">
      <alignment horizontal="center" vertical="center"/>
      <protection locked="0"/>
    </xf>
    <xf numFmtId="0" fontId="36" fillId="11" borderId="0" xfId="0" applyFont="1" applyFill="1" applyAlignment="1">
      <alignment horizontal="center"/>
    </xf>
    <xf numFmtId="0" fontId="44" fillId="0" borderId="0" xfId="0" applyFont="1" applyAlignment="1">
      <alignment horizontal="center"/>
    </xf>
    <xf numFmtId="0" fontId="37" fillId="14" borderId="0" xfId="0" applyFont="1" applyFill="1" applyAlignment="1" applyProtection="1">
      <alignment horizontal="center" vertical="center"/>
      <protection locked="0"/>
    </xf>
  </cellXfs>
  <cellStyles count="3">
    <cellStyle name="Comma" xfId="1" builtinId="3"/>
    <cellStyle name="Normal" xfId="0" builtinId="0"/>
    <cellStyle name="Percent" xfId="2" builtinId="5"/>
  </cellStyles>
  <dxfs count="182">
    <dxf>
      <font>
        <b val="0"/>
        <i val="0"/>
        <strike val="0"/>
        <condense val="0"/>
        <extend val="0"/>
        <outline val="0"/>
        <shadow val="0"/>
        <u val="none"/>
        <vertAlign val="baseline"/>
        <sz val="12"/>
        <color auto="1"/>
        <name val="B Mitra"/>
        <scheme val="none"/>
      </font>
      <numFmt numFmtId="166" formatCode="#,##0_ ;[Red]\-#,##0\ "/>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border diagonalUp="0" diagonalDown="0">
        <left style="medium">
          <color indexed="64"/>
        </left>
        <right style="medium">
          <color indexed="64"/>
        </right>
        <top/>
        <bottom/>
        <vertical/>
        <horizontal/>
      </border>
    </dxf>
    <dxf>
      <font>
        <b val="0"/>
        <i val="0"/>
        <strike val="0"/>
        <condense val="0"/>
        <extend val="0"/>
        <outline val="0"/>
        <shadow val="0"/>
        <u val="none"/>
        <vertAlign val="baseline"/>
        <sz val="12"/>
        <color auto="1"/>
        <name val="B Mitra"/>
        <scheme val="none"/>
      </font>
      <numFmt numFmtId="166" formatCode="#,##0_ ;[Red]\-#,##0\ "/>
      <fill>
        <patternFill patternType="none">
          <fgColor indexed="64"/>
          <bgColor auto="1"/>
        </patternFill>
      </fill>
      <alignment horizontal="center" vertical="center" textRotation="0" wrapText="0" indent="0" justifyLastLine="0" shrinkToFit="0" readingOrder="0"/>
      <border diagonalUp="0" diagonalDown="0">
        <left style="medium">
          <color indexed="64"/>
        </left>
        <right style="medium">
          <color indexed="64"/>
        </right>
        <top/>
        <bottom/>
        <vertical/>
        <horizontal/>
      </border>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border diagonalUp="0" diagonalDown="0">
        <left style="medium">
          <color indexed="64"/>
        </left>
        <right style="medium">
          <color indexed="64"/>
        </right>
        <top/>
        <bottom/>
        <vertical/>
        <horizontal/>
      </border>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ont>
        <b/>
        <i val="0"/>
        <strike val="0"/>
        <condense val="0"/>
        <extend val="0"/>
        <outline val="0"/>
        <shadow val="0"/>
        <u val="none"/>
        <vertAlign val="baseline"/>
        <sz val="12"/>
        <color auto="1"/>
        <name val="B Mitra"/>
        <scheme val="none"/>
      </font>
      <fill>
        <patternFill patternType="solid">
          <fgColor indexed="64"/>
          <bgColor theme="6"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rgb="FF424242"/>
        <name val="2  Kamran"/>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6"/>
        <color rgb="FF424242"/>
        <name val="2  Kamran"/>
        <scheme val="none"/>
      </font>
      <numFmt numFmtId="170" formatCode="[$-3000401]0.00%"/>
      <fill>
        <patternFill patternType="none">
          <fgColor indexed="64"/>
          <bgColor indexed="65"/>
        </patternFill>
      </fill>
      <alignment horizontal="center" vertical="top" textRotation="0" wrapText="1" indent="0" justifyLastLine="0" shrinkToFit="0" readingOrder="0"/>
    </dxf>
    <dxf>
      <font>
        <b/>
        <i val="0"/>
        <strike val="0"/>
        <condense val="0"/>
        <extend val="0"/>
        <outline val="0"/>
        <shadow val="0"/>
        <u val="none"/>
        <vertAlign val="baseline"/>
        <sz val="14"/>
        <color rgb="FF424242"/>
        <name val="2  Kamran"/>
        <scheme val="none"/>
      </font>
      <numFmt numFmtId="170" formatCode="[$-3000401]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rgb="FF424242"/>
        <name val="2  Kamran"/>
        <scheme val="none"/>
      </font>
      <numFmt numFmtId="170" formatCode="[$-3000401]0.0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4"/>
        <color rgb="FF424242"/>
        <name val="2  Kamran"/>
        <scheme val="none"/>
      </font>
      <numFmt numFmtId="170" formatCode="[$-3000401]0.0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4"/>
        <color rgb="FF424242"/>
        <name val="2  Kamran"/>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4"/>
        <color rgb="FF424242"/>
        <name val="2  Kamran"/>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4"/>
        <color rgb="FF424242"/>
        <name val="2  Kamran"/>
        <scheme val="none"/>
      </font>
      <numFmt numFmtId="171" formatCode="[$-3000401]0"/>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dxf>
    <dxf>
      <border>
        <bottom style="medium">
          <color indexed="64"/>
        </bottom>
      </border>
    </dxf>
    <dxf>
      <font>
        <b/>
        <i val="0"/>
        <strike val="0"/>
        <condense val="0"/>
        <extend val="0"/>
        <outline val="0"/>
        <shadow val="0"/>
        <u val="none"/>
        <vertAlign val="baseline"/>
        <sz val="14"/>
        <color rgb="FF424242"/>
        <name val="2  Kamran"/>
        <scheme val="none"/>
      </font>
      <fill>
        <patternFill patternType="none">
          <fgColor indexed="64"/>
          <bgColor auto="1"/>
        </patternFill>
      </fill>
      <alignment horizontal="center" vertical="top" textRotation="0" wrapText="1" indent="0" justifyLastLine="0" shrinkToFit="0" readingOrder="0"/>
      <border diagonalUp="0" diagonalDown="0">
        <left/>
        <right/>
        <top/>
        <bottom/>
        <vertical/>
        <horizontal/>
      </border>
    </dxf>
    <dxf>
      <font>
        <b/>
        <i val="0"/>
        <strike val="0"/>
        <condense val="0"/>
        <extend val="0"/>
        <outline val="0"/>
        <shadow val="0"/>
        <u val="none"/>
        <vertAlign val="baseline"/>
        <sz val="14"/>
        <color auto="1"/>
        <name val="B Nazanin"/>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4"/>
        <color auto="1"/>
        <name val="B Nazanin"/>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4"/>
        <color auto="1"/>
        <name val="B Nazanin"/>
        <scheme val="none"/>
      </font>
      <numFmt numFmtId="166" formatCode="#,##0_ ;[Red]\-#,##0\ "/>
      <fill>
        <patternFill patternType="none">
          <fgColor indexed="64"/>
          <bgColor auto="1"/>
        </patternFill>
      </fill>
      <alignment horizontal="center" vertical="center" textRotation="0" wrapText="0" indent="0" justifyLastLine="0" shrinkToFit="0" readingOrder="0"/>
      <protection locked="1" hidden="0"/>
    </dxf>
    <dxf>
      <font>
        <b/>
        <i val="0"/>
        <strike val="0"/>
        <condense val="0"/>
        <extend val="0"/>
        <outline val="0"/>
        <shadow val="0"/>
        <u val="none"/>
        <vertAlign val="baseline"/>
        <sz val="14"/>
        <color auto="1"/>
        <name val="B Nazanin"/>
        <scheme val="none"/>
      </font>
      <numFmt numFmtId="166" formatCode="#,##0_ ;[Red]\-#,##0\ "/>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4"/>
        <color auto="1"/>
        <name val="B Nazanin"/>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0" hidden="0"/>
    </dxf>
    <dxf>
      <fill>
        <patternFill patternType="none">
          <fgColor indexed="64"/>
          <bgColor auto="1"/>
        </patternFill>
      </fill>
    </dxf>
    <dxf>
      <font>
        <b/>
        <i val="0"/>
        <strike val="0"/>
        <condense val="0"/>
        <extend val="0"/>
        <outline val="0"/>
        <shadow val="0"/>
        <u val="none"/>
        <vertAlign val="baseline"/>
        <sz val="12"/>
        <color auto="1"/>
        <name val="B Mitra"/>
        <scheme val="none"/>
      </font>
      <fill>
        <patternFill patternType="none">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0" hidden="0"/>
    </dxf>
    <dxf>
      <font>
        <b/>
        <i val="0"/>
        <strike val="0"/>
        <condense val="0"/>
        <extend val="0"/>
        <outline val="0"/>
        <shadow val="0"/>
        <u val="none"/>
        <vertAlign val="baseline"/>
        <sz val="12"/>
        <color auto="1"/>
        <name val="B Mitra"/>
        <scheme val="none"/>
      </font>
      <numFmt numFmtId="13" formatCode="0%"/>
      <fill>
        <patternFill patternType="none">
          <fgColor indexed="64"/>
          <bgColor indexed="65"/>
        </patternFill>
      </fill>
      <alignment horizontal="center" vertical="center" textRotation="0" wrapText="0" indent="0" justifyLastLine="0" shrinkToFit="0" readingOrder="0"/>
      <protection locked="1" hidden="0"/>
    </dxf>
    <dxf>
      <font>
        <b/>
        <i val="0"/>
        <strike val="0"/>
        <condense val="0"/>
        <extend val="0"/>
        <outline val="0"/>
        <shadow val="0"/>
        <u val="none"/>
        <vertAlign val="baseline"/>
        <sz val="12"/>
        <color auto="1"/>
        <name val="B Mitra"/>
        <scheme val="none"/>
      </font>
      <numFmt numFmtId="166" formatCode="#,##0_ ;[Red]\-#,##0\ "/>
      <fill>
        <patternFill patternType="none">
          <fgColor indexed="64"/>
          <bgColor indexed="65"/>
        </patternFill>
      </fill>
      <alignment horizontal="center" vertical="center" textRotation="0" wrapText="0" indent="0" justifyLastLine="0" shrinkToFit="0" readingOrder="0"/>
      <protection locked="1" hidden="0"/>
    </dxf>
    <dxf>
      <font>
        <b/>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6" tint="0.59999389629810485"/>
        </patternFill>
      </fill>
      <alignment horizontal="center" vertical="center" textRotation="0" wrapText="0" indent="0" justifyLastLine="0" shrinkToFit="0" readingOrder="0"/>
      <border diagonalUp="0" diagonalDown="0" outline="0">
        <left style="thin">
          <color indexed="64"/>
        </left>
        <right style="medium">
          <color indexed="64"/>
        </right>
        <top/>
        <bottom/>
      </border>
      <protection locked="0" hidden="0"/>
    </dxf>
    <dxf>
      <font>
        <b val="0"/>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6" tint="0.59999389629810485"/>
        </patternFill>
      </fill>
      <alignment horizontal="center" vertical="center" textRotation="0" wrapText="0" indent="0" justifyLastLine="0" shrinkToFit="0" readingOrder="0"/>
      <border diagonalUp="0" diagonalDown="0" outline="0">
        <left style="medium">
          <color indexed="64"/>
        </left>
        <right style="thin">
          <color indexed="64"/>
        </right>
        <top/>
        <bottom/>
      </border>
      <protection locked="0" hidden="0"/>
    </dxf>
    <dxf>
      <font>
        <b/>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6" tint="0.59999389629810485"/>
        </patternFill>
      </fill>
      <alignment horizontal="center" vertical="center" textRotation="0" wrapText="0" indent="0" justifyLastLine="0" shrinkToFit="0" readingOrder="0"/>
      <border diagonalUp="0" diagonalDown="0" outline="0">
        <left style="thin">
          <color indexed="64"/>
        </left>
        <right/>
        <top/>
        <bottom style="medium">
          <color indexed="64"/>
        </bottom>
      </border>
      <protection locked="0" hidden="0"/>
    </dxf>
    <dxf>
      <font>
        <b/>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6" tint="0.59999389629810485"/>
        </patternFill>
      </fill>
      <alignment horizontal="center" vertical="center" textRotation="0" wrapText="0" indent="0" justifyLastLine="0" shrinkToFit="0" readingOrder="0"/>
      <border diagonalUp="0" diagonalDown="0" outline="0">
        <left style="thin">
          <color indexed="64"/>
        </left>
        <right/>
        <top/>
        <bottom style="medium">
          <color indexed="64"/>
        </bottom>
      </border>
      <protection locked="0"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6" tint="0.59999389629810485"/>
        </patternFill>
      </fill>
      <alignment horizontal="center" vertical="center" textRotation="0" wrapText="0" indent="0" justifyLastLine="0" shrinkToFit="0" readingOrder="0"/>
      <border diagonalUp="0" diagonalDown="0" outline="0">
        <left style="thin">
          <color indexed="64"/>
        </left>
        <right/>
        <top/>
        <bottom style="medium">
          <color indexed="64"/>
        </bottom>
      </border>
      <protection locked="0"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6" tint="0.59999389629810485"/>
        </patternFill>
      </fill>
      <alignment horizontal="center" vertical="center" textRotation="0" wrapText="0" indent="0" justifyLastLine="0" shrinkToFit="0" readingOrder="0"/>
      <border diagonalUp="0" diagonalDown="0" outline="0">
        <left/>
        <right style="thin">
          <color indexed="64"/>
        </right>
        <top/>
        <bottom style="medium">
          <color indexed="64"/>
        </bottom>
      </border>
      <protection locked="0" hidden="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6"/>
        <color auto="1"/>
        <name val="B Mitra"/>
        <scheme val="none"/>
      </font>
      <numFmt numFmtId="0" formatCode="General"/>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B Mitra"/>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6"/>
        <color auto="1"/>
        <name val="B Mitra"/>
        <scheme val="none"/>
      </font>
      <numFmt numFmtId="0" formatCode="General"/>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B Mitra"/>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6"/>
        <color auto="1"/>
        <name val="B Mitra"/>
        <scheme val="none"/>
      </font>
      <numFmt numFmtId="0" formatCode="General"/>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B Mitra"/>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right style="thin">
          <color indexed="64"/>
        </right>
        <top/>
        <bottom style="thin">
          <color indexed="64"/>
        </bottom>
      </border>
      <protection locked="1"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right"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6" tint="0.5999938962981048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6" tint="0.5999938962981048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0" hidden="0"/>
    </dxf>
    <dxf>
      <fill>
        <patternFill patternType="none">
          <fgColor indexed="64"/>
          <bgColor auto="1"/>
        </patternFill>
      </fill>
    </dxf>
    <dxf>
      <border outline="0">
        <bottom style="thin">
          <color indexed="64"/>
        </bottom>
      </border>
    </dxf>
    <dxf>
      <fill>
        <patternFill patternType="none">
          <fgColor indexed="64"/>
          <bgColor auto="1"/>
        </patternFill>
      </fill>
    </dxf>
    <dxf>
      <font>
        <b/>
        <i val="0"/>
        <strike val="0"/>
        <condense val="0"/>
        <extend val="0"/>
        <outline val="0"/>
        <shadow val="0"/>
        <u val="none"/>
        <vertAlign val="baseline"/>
        <sz val="12"/>
        <color auto="1"/>
        <name val="B Mitra"/>
        <scheme val="none"/>
      </font>
      <numFmt numFmtId="165" formatCode="_-* #,##0_-;_-* #,##0\-;_-* &quot;-&quot;??_-;_-@_-"/>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B Mitra"/>
        <scheme val="none"/>
      </font>
      <numFmt numFmtId="1" formatCode="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style="thin">
          <color indexed="64"/>
        </bottom>
      </border>
      <protection locked="1" hidden="0"/>
    </dxf>
    <dxf>
      <font>
        <b/>
        <i val="0"/>
        <strike val="0"/>
        <condense val="0"/>
        <extend val="0"/>
        <outline val="0"/>
        <shadow val="0"/>
        <u val="none"/>
        <vertAlign val="baseline"/>
        <sz val="12"/>
        <color auto="1"/>
        <name val="B Mitra"/>
        <scheme val="none"/>
      </font>
      <numFmt numFmtId="1" formatCode="0"/>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B Mitra"/>
        <scheme val="none"/>
      </font>
      <numFmt numFmtId="1" formatCode="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1" hidden="0"/>
    </dxf>
    <dxf>
      <font>
        <b/>
        <i val="0"/>
        <strike val="0"/>
        <condense val="0"/>
        <extend val="0"/>
        <outline val="0"/>
        <shadow val="0"/>
        <u val="none"/>
        <vertAlign val="baseline"/>
        <sz val="12"/>
        <color auto="1"/>
        <name val="B Mitra"/>
        <scheme val="none"/>
      </font>
      <numFmt numFmtId="166" formatCode="#,##0_ ;[Red]\-#,##0\ "/>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B Mitra"/>
        <scheme val="none"/>
      </font>
      <numFmt numFmtId="166" formatCode="#,##0_ ;[Red]\-#,##0\ "/>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0" hidden="0"/>
    </dxf>
    <dxf>
      <font>
        <b/>
        <i val="0"/>
        <strike val="0"/>
        <condense val="0"/>
        <extend val="0"/>
        <outline val="0"/>
        <shadow val="0"/>
        <u val="none"/>
        <vertAlign val="baseline"/>
        <sz val="12"/>
        <color auto="1"/>
        <name val="B Mitra"/>
        <scheme val="none"/>
      </font>
      <numFmt numFmtId="1" formatCode="0"/>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B Mitra"/>
        <scheme val="none"/>
      </font>
      <numFmt numFmtId="1" formatCode="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0" hidden="0"/>
    </dxf>
    <dxf>
      <font>
        <b/>
        <i val="0"/>
        <strike val="0"/>
        <condense val="0"/>
        <extend val="0"/>
        <outline val="0"/>
        <shadow val="0"/>
        <u val="none"/>
        <vertAlign val="baseline"/>
        <sz val="12"/>
        <color theme="1"/>
        <name val="B Zar"/>
        <charset val="178"/>
        <scheme val="none"/>
      </font>
      <numFmt numFmtId="3" formatCode="#,##0"/>
      <alignment horizontal="center" vertical="center" textRotation="0" wrapText="0" indent="0" justifyLastLine="0" shrinkToFit="1" readingOrder="2"/>
      <protection locked="0" hidden="1"/>
    </dxf>
    <dxf>
      <font>
        <b val="0"/>
        <i val="0"/>
        <strike val="0"/>
        <condense val="0"/>
        <extend val="0"/>
        <outline val="0"/>
        <shadow val="0"/>
        <u val="none"/>
        <vertAlign val="baseline"/>
        <sz val="12"/>
        <color auto="1"/>
        <name val="B Mitra"/>
        <scheme val="none"/>
      </font>
      <numFmt numFmtId="166" formatCode="#,##0_ ;[Red]\-#,##0\ "/>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0" hidden="0"/>
    </dxf>
    <dxf>
      <font>
        <b/>
        <i val="0"/>
        <strike val="0"/>
        <condense val="0"/>
        <extend val="0"/>
        <outline val="0"/>
        <shadow val="0"/>
        <u val="none"/>
        <vertAlign val="baseline"/>
        <sz val="12"/>
        <color auto="1"/>
        <name val="B Mitra"/>
        <scheme val="none"/>
      </font>
      <numFmt numFmtId="172" formatCode="#,##0.0_ ;[Red]\-#,##0.0\ "/>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B Mitra"/>
        <scheme val="none"/>
      </font>
      <numFmt numFmtId="166" formatCode="#,##0_ ;[Red]\-#,##0\ "/>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0"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1"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right style="thin">
          <color indexed="64"/>
        </right>
        <top/>
        <bottom style="thin">
          <color indexed="64"/>
        </bottom>
      </border>
      <protection locked="1"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0"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strike val="0"/>
        <outline val="0"/>
        <shadow val="0"/>
        <u val="none"/>
        <vertAlign val="baseline"/>
        <name val="B Mitra"/>
        <scheme val="none"/>
      </font>
      <fill>
        <patternFill patternType="none">
          <fgColor indexed="64"/>
          <bgColor auto="1"/>
        </patternFill>
      </fill>
    </dxf>
    <dxf>
      <border outline="0">
        <bottom style="thin">
          <color indexed="64"/>
        </bottom>
      </border>
    </dxf>
    <dxf>
      <font>
        <strike val="0"/>
        <outline val="0"/>
        <shadow val="0"/>
        <u val="none"/>
        <vertAlign val="baseline"/>
        <name val="B Mitra"/>
        <scheme val="none"/>
      </font>
      <fill>
        <patternFill patternType="none">
          <fgColor indexed="64"/>
          <bgColor auto="1"/>
        </patternFill>
      </fill>
    </dxf>
    <dxf>
      <font>
        <b val="0"/>
        <i val="0"/>
        <strike val="0"/>
        <condense val="0"/>
        <extend val="0"/>
        <outline val="0"/>
        <shadow val="0"/>
        <u val="none"/>
        <vertAlign val="baseline"/>
        <sz val="12"/>
        <color auto="1"/>
        <name val="B Mitra"/>
        <scheme val="none"/>
      </font>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B Mitra"/>
        <scheme val="none"/>
      </font>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B Mitra"/>
        <scheme val="none"/>
      </font>
      <numFmt numFmtId="166" formatCode="#,##0_ ;[Red]\-#,##0\ "/>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numFmt numFmtId="166" formatCode="#,##0_ ;[Red]\-#,##0\ "/>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2"/>
        <color auto="1"/>
        <name val="B Mitra"/>
        <scheme val="none"/>
      </font>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2"/>
        <color auto="1"/>
        <name val="B Mitra"/>
        <scheme val="none"/>
      </font>
      <numFmt numFmtId="172" formatCode="#,##0.0_ ;[Red]\-#,##0.0\ "/>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numFmt numFmtId="166" formatCode="#,##0_ ;[Red]\-#,##0\ "/>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2"/>
        <color auto="1"/>
        <name val="B Mitra"/>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B Mitra"/>
        <scheme val="none"/>
      </font>
      <fill>
        <patternFill patternType="solid">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auto="1"/>
        <name val="B Mitra"/>
        <scheme val="none"/>
      </font>
      <numFmt numFmtId="166" formatCode="#,##0_ ;[Red]\-#,##0\ "/>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numFmt numFmtId="166" formatCode="#,##0_ ;[Red]\-#,##0\ "/>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0" hidden="0"/>
    </dxf>
    <dxf>
      <font>
        <b/>
        <i val="0"/>
        <strike val="0"/>
        <condense val="0"/>
        <extend val="0"/>
        <outline val="0"/>
        <shadow val="0"/>
        <u val="none"/>
        <vertAlign val="baseline"/>
        <sz val="12"/>
        <color auto="1"/>
        <name val="B Mitra"/>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indexed="64"/>
        </top>
        <bottom style="thin">
          <color indexed="64"/>
        </bottom>
      </border>
      <protection locked="0" hidden="0"/>
    </dxf>
    <dxf>
      <font>
        <b/>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B Mitra"/>
        <scheme val="none"/>
      </font>
      <fill>
        <patternFill patternType="solid">
          <fgColor indexed="64"/>
          <bgColor theme="0"/>
        </patternFill>
      </fill>
      <alignment horizontal="center" vertical="center" textRotation="0" wrapText="0" indent="0" justifyLastLine="0" shrinkToFit="0" readingOrder="0"/>
      <protection locked="0" hidden="0"/>
    </dxf>
    <dxf>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4"/>
        <color auto="1"/>
        <name val="B Mitra"/>
        <scheme val="none"/>
      </font>
      <numFmt numFmtId="165" formatCode="_-* #,##0_-;_-* #,##0\-;_-* &quot;-&quot;??_-;_-@_-"/>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numFmt numFmtId="1" formatCode="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style="thin">
          <color indexed="64"/>
        </bottom>
      </border>
      <protection locked="1" hidden="0"/>
    </dxf>
    <dxf>
      <font>
        <b val="0"/>
        <i val="0"/>
        <strike val="0"/>
        <condense val="0"/>
        <extend val="0"/>
        <outline val="0"/>
        <shadow val="0"/>
        <u val="none"/>
        <vertAlign val="baseline"/>
        <sz val="14"/>
        <color auto="1"/>
        <name val="B Mitra"/>
        <scheme val="none"/>
      </font>
      <numFmt numFmtId="165" formatCode="_-* #,##0_-;_-* #,##0\-;_-* &quot;-&quot;??_-;_-@_-"/>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numFmt numFmtId="1" formatCode="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4"/>
        <color auto="1"/>
        <name val="B Mitra"/>
        <scheme val="none"/>
      </font>
      <numFmt numFmtId="165"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numFmt numFmtId="166" formatCode="#,##0_ ;[Red]\-#,##0\ "/>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0" hidden="0"/>
    </dxf>
    <dxf>
      <font>
        <b val="0"/>
        <i val="0"/>
        <strike val="0"/>
        <condense val="0"/>
        <extend val="0"/>
        <outline val="0"/>
        <shadow val="0"/>
        <u val="none"/>
        <vertAlign val="baseline"/>
        <sz val="14"/>
        <color auto="1"/>
        <name val="B Mitra"/>
        <scheme val="none"/>
      </font>
      <numFmt numFmtId="165" formatCode="_-* #,##0_-;_-* #,##0\-;_-* &quot;-&quot;??_-;_-@_-"/>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numFmt numFmtId="1" formatCode="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0" hidden="0"/>
    </dxf>
    <dxf>
      <font>
        <b val="0"/>
        <i val="0"/>
        <strike val="0"/>
        <condense val="0"/>
        <extend val="0"/>
        <outline val="0"/>
        <shadow val="0"/>
        <u val="none"/>
        <vertAlign val="baseline"/>
        <sz val="14"/>
        <color auto="1"/>
        <name val="B Mitra"/>
        <scheme val="none"/>
      </font>
      <numFmt numFmtId="166" formatCode="#,##0_ ;[Red]\-#,##0\ "/>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numFmt numFmtId="166" formatCode="#,##0_ ;[Red]\-#,##0\ "/>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0" hidden="0"/>
    </dxf>
    <dxf>
      <font>
        <b val="0"/>
        <i val="0"/>
        <strike val="0"/>
        <condense val="0"/>
        <extend val="0"/>
        <outline val="0"/>
        <shadow val="0"/>
        <u val="none"/>
        <vertAlign val="baseline"/>
        <sz val="14"/>
        <color auto="1"/>
        <name val="B Mitra"/>
        <scheme val="none"/>
      </font>
      <numFmt numFmtId="13" formatCode="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4"/>
        <color auto="1"/>
        <name val="B Mitra"/>
        <scheme val="none"/>
      </font>
      <numFmt numFmtId="13" formatCode="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right style="thin">
          <color indexed="64"/>
        </right>
        <top/>
        <bottom style="thin">
          <color indexed="64"/>
        </bottom>
      </border>
      <protection locked="1" hidden="0"/>
    </dxf>
    <dxf>
      <font>
        <b/>
        <i val="0"/>
        <strike val="0"/>
        <condense val="0"/>
        <extend val="0"/>
        <outline val="0"/>
        <shadow val="0"/>
        <u val="none"/>
        <vertAlign val="baseline"/>
        <sz val="14"/>
        <color auto="1"/>
        <name val="B Mitra"/>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protection locked="0" hidden="0"/>
    </dxf>
    <dxf>
      <font>
        <b/>
        <i val="0"/>
        <strike val="0"/>
        <condense val="0"/>
        <extend val="0"/>
        <outline val="0"/>
        <shadow val="0"/>
        <u val="none"/>
        <vertAlign val="baseline"/>
        <sz val="14"/>
        <color auto="1"/>
        <name val="B Mitra"/>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2"/>
        <color auto="1"/>
        <name val="B Mitra"/>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strike val="0"/>
        <outline val="0"/>
        <shadow val="0"/>
        <u val="none"/>
        <vertAlign val="baseline"/>
        <sz val="14"/>
      </font>
      <fill>
        <patternFill patternType="none">
          <fgColor indexed="64"/>
          <bgColor auto="1"/>
        </patternFill>
      </fill>
    </dxf>
    <dxf>
      <border outline="0">
        <bottom style="thin">
          <color indexed="64"/>
        </bottom>
      </border>
    </dxf>
    <dxf>
      <font>
        <strike val="0"/>
        <outline val="0"/>
        <shadow val="0"/>
        <u val="none"/>
        <vertAlign val="baseline"/>
        <sz val="14"/>
      </font>
      <fill>
        <patternFill patternType="none">
          <fgColor indexed="64"/>
          <bgColor auto="1"/>
        </patternFill>
      </fill>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B Mitra"/>
        <scheme val="none"/>
      </font>
      <numFmt numFmtId="166" formatCode="#,##0_ ;[Red]\-#,##0\ "/>
      <fill>
        <patternFill patternType="none">
          <fgColor indexed="64"/>
          <bgColor auto="1"/>
        </patternFill>
      </fill>
      <alignment horizontal="center" vertical="center" textRotation="0" wrapText="0" indent="0" justifyLastLine="0" shrinkToFit="0" readingOrder="0"/>
      <border diagonalUp="0" diagonalDown="0" outline="0">
        <left/>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auto="1"/>
        <name val="B Mitra"/>
        <scheme val="none"/>
      </font>
      <numFmt numFmtId="166" formatCode="#,##0_ ;[Red]\-#,##0\ "/>
      <fill>
        <patternFill patternType="none">
          <fgColor indexed="64"/>
          <bgColor auto="1"/>
        </patternFill>
      </fill>
      <alignment horizontal="center" vertical="center" textRotation="0" wrapText="0" indent="0" justifyLastLine="0" shrinkToFit="0" readingOrder="0"/>
      <border diagonalUp="0" diagonalDown="0" outline="0">
        <left/>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auto="1"/>
        <name val="B Mitra"/>
        <scheme val="none"/>
      </font>
      <numFmt numFmtId="166" formatCode="#,##0_ ;[Red]\-#,##0\ "/>
      <fill>
        <patternFill patternType="none">
          <fgColor indexed="64"/>
          <bgColor auto="1"/>
        </patternFill>
      </fill>
      <alignment horizontal="center" vertical="center" textRotation="0" wrapText="0"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numFmt numFmtId="166" formatCode="#,##0_ ;[Red]\-#,##0\ "/>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i val="0"/>
        <strike val="0"/>
        <condense val="0"/>
        <extend val="0"/>
        <outline val="0"/>
        <shadow val="0"/>
        <u val="none"/>
        <vertAlign val="baseline"/>
        <sz val="12"/>
        <color auto="1"/>
        <name val="B Mitra"/>
        <scheme val="none"/>
      </font>
      <numFmt numFmtId="165" formatCode="_-* #,##0_-;_-* #,##0\-;_-* &quot;-&quot;??_-;_-@_-"/>
      <fill>
        <patternFill patternType="none">
          <fgColor indexed="64"/>
          <bgColor auto="1"/>
        </patternFill>
      </fill>
      <alignment horizontal="center" vertical="center" textRotation="0" wrapText="0" indent="0" justifyLastLine="0" shrinkToFit="0" readingOrder="0"/>
      <border diagonalUp="0" diagonalDown="0">
        <left/>
        <right/>
        <top style="thin">
          <color indexed="64"/>
        </top>
        <bottom style="thin">
          <color indexed="64"/>
        </bottom>
      </border>
      <protection locked="0" hidden="0"/>
    </dxf>
    <dxf>
      <font>
        <b val="0"/>
        <i val="0"/>
        <strike val="0"/>
        <condense val="0"/>
        <extend val="0"/>
        <outline val="0"/>
        <shadow val="0"/>
        <u val="none"/>
        <vertAlign val="baseline"/>
        <sz val="12"/>
        <color auto="1"/>
        <name val="B Mitra"/>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i val="0"/>
        <strike val="0"/>
        <condense val="0"/>
        <extend val="0"/>
        <outline val="0"/>
        <shadow val="0"/>
        <u val="none"/>
        <vertAlign val="baseline"/>
        <sz val="12"/>
        <color auto="1"/>
        <name val="B Mitra"/>
        <scheme val="none"/>
      </font>
      <numFmt numFmtId="13" formatCode="0%"/>
      <fill>
        <patternFill patternType="none">
          <fgColor indexed="64"/>
          <bgColor auto="1"/>
        </patternFill>
      </fill>
      <alignment horizontal="center" vertical="center" textRotation="0" wrapText="0" indent="0" justifyLastLine="0" shrinkToFit="0" readingOrder="0"/>
      <border diagonalUp="0" diagonalDown="0" outline="0">
        <left/>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auto="1"/>
        <name val="B Mitra"/>
        <scheme val="none"/>
      </font>
      <numFmt numFmtId="13" formatCode="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i val="0"/>
        <strike val="0"/>
        <condense val="0"/>
        <extend val="0"/>
        <outline val="0"/>
        <shadow val="0"/>
        <u val="none"/>
        <vertAlign val="baseline"/>
        <sz val="12"/>
        <color auto="1"/>
        <name val="B Mitra"/>
        <scheme val="none"/>
      </font>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0" hidden="0"/>
    </dxf>
    <dxf>
      <font>
        <b/>
        <i val="0"/>
        <strike val="0"/>
        <condense val="0"/>
        <extend val="0"/>
        <outline val="0"/>
        <shadow val="0"/>
        <u val="none"/>
        <vertAlign val="baseline"/>
        <sz val="12"/>
        <color auto="1"/>
        <name val="B Mitra"/>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2"/>
        <color auto="1"/>
        <name val="B Mitra"/>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bottom/>
      </border>
    </dxf>
    <dxf>
      <font>
        <b/>
        <strike val="0"/>
        <outline val="0"/>
        <shadow val="0"/>
        <u val="none"/>
        <vertAlign val="baseline"/>
        <sz val="12"/>
        <color theme="1"/>
        <name val="B Zar"/>
        <scheme val="none"/>
      </font>
    </dxf>
    <dxf>
      <font>
        <b val="0"/>
        <i val="0"/>
        <strike val="0"/>
        <condense val="0"/>
        <extend val="0"/>
        <outline val="0"/>
        <shadow val="0"/>
        <u val="none"/>
        <vertAlign val="baseline"/>
        <sz val="11"/>
        <color theme="1"/>
        <name val="B Zar"/>
        <scheme val="none"/>
      </font>
      <border diagonalUp="0" diagonalDown="0" outline="0">
        <left/>
        <right/>
        <top/>
        <bottom/>
      </border>
    </dxf>
    <dxf>
      <font>
        <b/>
        <strike val="0"/>
        <outline val="0"/>
        <shadow val="0"/>
        <u val="none"/>
        <vertAlign val="baseline"/>
        <sz val="12"/>
        <color theme="1"/>
        <name val="B Zar"/>
        <scheme val="none"/>
      </font>
    </dxf>
    <dxf>
      <font>
        <b val="0"/>
        <i val="0"/>
        <strike val="0"/>
        <condense val="0"/>
        <extend val="0"/>
        <outline val="0"/>
        <shadow val="0"/>
        <u val="none"/>
        <vertAlign val="baseline"/>
        <sz val="11"/>
        <color theme="1"/>
        <name val="B Zar"/>
        <scheme val="none"/>
      </font>
      <border diagonalUp="0" diagonalDown="0" outline="0">
        <left/>
        <right/>
        <top/>
        <bottom/>
      </border>
    </dxf>
    <dxf>
      <font>
        <b/>
        <strike val="0"/>
        <outline val="0"/>
        <shadow val="0"/>
        <u val="none"/>
        <vertAlign val="baseline"/>
        <sz val="12"/>
        <color theme="1"/>
        <name val="B Zar"/>
        <scheme val="none"/>
      </font>
    </dxf>
    <dxf>
      <font>
        <b val="0"/>
        <i val="0"/>
        <strike val="0"/>
        <condense val="0"/>
        <extend val="0"/>
        <outline val="0"/>
        <shadow val="0"/>
        <u val="none"/>
        <vertAlign val="baseline"/>
        <sz val="11"/>
        <color theme="1"/>
        <name val="B Zar"/>
        <scheme val="none"/>
      </font>
      <border diagonalUp="0" diagonalDown="0" outline="0">
        <left/>
        <right/>
        <top/>
        <bottom/>
      </border>
    </dxf>
    <dxf>
      <font>
        <b/>
        <strike val="0"/>
        <outline val="0"/>
        <shadow val="0"/>
        <u val="none"/>
        <vertAlign val="baseline"/>
        <sz val="12"/>
        <color theme="1"/>
        <name val="B Zar"/>
        <scheme val="none"/>
      </font>
    </dxf>
    <dxf>
      <font>
        <b val="0"/>
        <i val="0"/>
        <strike val="0"/>
        <condense val="0"/>
        <extend val="0"/>
        <outline val="0"/>
        <shadow val="0"/>
        <u val="none"/>
        <vertAlign val="baseline"/>
        <sz val="11"/>
        <color theme="1"/>
        <name val="B Zar"/>
        <scheme val="none"/>
      </font>
      <border diagonalUp="0" diagonalDown="0" outline="0">
        <left/>
        <right/>
        <top/>
        <bottom/>
      </border>
    </dxf>
    <dxf>
      <font>
        <b/>
        <strike val="0"/>
        <outline val="0"/>
        <shadow val="0"/>
        <u val="none"/>
        <vertAlign val="baseline"/>
        <sz val="12"/>
        <color theme="1"/>
        <name val="B Zar"/>
        <scheme val="none"/>
      </font>
    </dxf>
    <dxf>
      <font>
        <b val="0"/>
        <i val="0"/>
        <strike val="0"/>
        <condense val="0"/>
        <extend val="0"/>
        <outline val="0"/>
        <shadow val="0"/>
        <u val="none"/>
        <vertAlign val="baseline"/>
        <sz val="11"/>
        <color theme="1"/>
        <name val="B Zar"/>
        <scheme val="none"/>
      </font>
      <border diagonalUp="0" diagonalDown="0" outline="0">
        <left/>
        <right/>
        <top/>
        <bottom/>
      </border>
    </dxf>
    <dxf>
      <font>
        <b/>
        <strike val="0"/>
        <outline val="0"/>
        <shadow val="0"/>
        <u val="none"/>
        <vertAlign val="baseline"/>
        <sz val="12"/>
        <color theme="1"/>
        <name val="B Zar"/>
        <scheme val="none"/>
      </font>
    </dxf>
    <dxf>
      <font>
        <b val="0"/>
        <i val="0"/>
        <strike val="0"/>
        <condense val="0"/>
        <extend val="0"/>
        <outline val="0"/>
        <shadow val="0"/>
        <u val="none"/>
        <vertAlign val="baseline"/>
        <sz val="11"/>
        <color theme="1"/>
        <name val="B Zar"/>
        <scheme val="none"/>
      </font>
      <border diagonalUp="0" diagonalDown="0" outline="0">
        <left/>
        <right/>
        <top/>
        <bottom/>
      </border>
    </dxf>
    <dxf>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2"/>
        <color theme="1"/>
        <name val="B Zar"/>
        <scheme val="none"/>
      </font>
    </dxf>
    <dxf>
      <font>
        <b/>
        <i val="0"/>
        <strike val="0"/>
        <condense val="0"/>
        <extend val="0"/>
        <outline val="0"/>
        <shadow val="0"/>
        <u val="none"/>
        <vertAlign val="baseline"/>
        <sz val="12"/>
        <color theme="1"/>
        <name val="B Zar"/>
        <scheme val="none"/>
      </font>
    </dxf>
    <dxf>
      <font>
        <b val="0"/>
        <i val="0"/>
        <strike val="0"/>
        <condense val="0"/>
        <extend val="0"/>
        <outline val="0"/>
        <shadow val="0"/>
        <u val="none"/>
        <vertAlign val="baseline"/>
        <sz val="12"/>
        <color theme="1"/>
        <name val="B Zar"/>
        <scheme val="none"/>
      </font>
      <fill>
        <patternFill>
          <fgColor indexed="64"/>
          <bgColor theme="0"/>
        </patternFill>
      </fill>
      <border diagonalUp="0" diagonalDown="0">
        <left style="thin">
          <color auto="1"/>
        </left>
        <right/>
        <top/>
        <bottom/>
        <vertical style="thin">
          <color auto="1"/>
        </vertical>
        <horizontal/>
      </border>
    </dxf>
    <dxf>
      <font>
        <b/>
        <i val="0"/>
        <strike val="0"/>
        <condense val="0"/>
        <extend val="0"/>
        <outline val="0"/>
        <shadow val="0"/>
        <u val="none"/>
        <vertAlign val="baseline"/>
        <sz val="12"/>
        <color auto="1"/>
        <name val="B Zar"/>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2"/>
        <color theme="1"/>
        <name val="B Zar"/>
        <scheme val="none"/>
      </font>
      <fill>
        <patternFill>
          <fgColor indexed="64"/>
          <bgColor theme="0"/>
        </patternFill>
      </fill>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12"/>
        <color auto="1"/>
        <name val="B Zar"/>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2"/>
        <color theme="1"/>
        <name val="B Zar"/>
        <scheme val="none"/>
      </font>
      <numFmt numFmtId="165" formatCode="_-* #,##0_-;_-* #,##0\-;_-* &quot;-&quot;??_-;_-@_-"/>
      <fill>
        <patternFill>
          <fgColor indexed="64"/>
          <bgColor theme="0"/>
        </patternFill>
      </fill>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12"/>
        <color auto="1"/>
        <name val="B Zar"/>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2"/>
        <color theme="1"/>
        <name val="B Zar"/>
        <scheme val="none"/>
      </font>
      <numFmt numFmtId="165" formatCode="_-* #,##0_-;_-* #,##0\-;_-* &quot;-&quot;??_-;_-@_-"/>
      <fill>
        <patternFill>
          <fgColor indexed="64"/>
          <bgColor theme="0"/>
        </patternFill>
      </fill>
      <border diagonalUp="0" diagonalDown="0">
        <left style="thin">
          <color auto="1"/>
        </left>
        <right style="thin">
          <color auto="1"/>
        </right>
        <top/>
        <bottom/>
        <vertical style="thin">
          <color auto="1"/>
        </vertical>
        <horizontal/>
      </border>
    </dxf>
    <dxf>
      <font>
        <b/>
        <i val="0"/>
        <strike val="0"/>
        <condense val="0"/>
        <extend val="0"/>
        <outline val="0"/>
        <shadow val="0"/>
        <u val="none"/>
        <vertAlign val="baseline"/>
        <sz val="12"/>
        <color auto="1"/>
        <name val="B Zar"/>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2"/>
        <color theme="1"/>
        <name val="B Zar"/>
        <scheme val="none"/>
      </font>
      <numFmt numFmtId="165" formatCode="_-* #,##0_-;_-* #,##0\-;_-* &quot;-&quot;??_-;_-@_-"/>
      <fill>
        <patternFill>
          <fgColor indexed="64"/>
          <bgColor theme="0"/>
        </patternFill>
      </fill>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2"/>
        <color auto="1"/>
        <name val="B Zar"/>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B Zar"/>
        <scheme val="none"/>
      </font>
      <fill>
        <patternFill>
          <fgColor indexed="64"/>
          <bgColor theme="0"/>
        </patternFill>
      </fill>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2"/>
        <color auto="1"/>
        <name val="B Zar"/>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B Zar"/>
        <scheme val="none"/>
      </font>
      <fill>
        <patternFill>
          <fgColor indexed="64"/>
          <bgColor theme="0"/>
        </patternFill>
      </fill>
      <border diagonalUp="0" diagonalDown="0">
        <left/>
        <right style="thin">
          <color auto="1"/>
        </right>
        <top/>
        <bottom/>
        <vertical style="thin">
          <color auto="1"/>
        </vertical>
        <horizontal/>
      </border>
    </dxf>
    <dxf>
      <font>
        <b val="0"/>
        <i val="0"/>
        <strike val="0"/>
        <condense val="0"/>
        <extend val="0"/>
        <outline val="0"/>
        <shadow val="0"/>
        <u val="none"/>
        <vertAlign val="baseline"/>
        <sz val="11"/>
        <color theme="1"/>
        <name val="B Zar"/>
        <scheme val="none"/>
      </font>
    </dxf>
    <dxf>
      <font>
        <b val="0"/>
        <i val="0"/>
        <strike val="0"/>
        <condense val="0"/>
        <extend val="0"/>
        <outline val="0"/>
        <shadow val="0"/>
        <u val="none"/>
        <vertAlign val="baseline"/>
        <sz val="12"/>
        <color theme="1"/>
        <name val="B Zar"/>
        <scheme val="none"/>
      </font>
      <fill>
        <patternFill>
          <fgColor indexed="64"/>
          <bgColor theme="0"/>
        </patternFill>
      </fill>
    </dxf>
    <dxf>
      <font>
        <b/>
        <i val="0"/>
        <strike val="0"/>
        <condense val="0"/>
        <extend val="0"/>
        <outline val="0"/>
        <shadow val="0"/>
        <u val="none"/>
        <vertAlign val="baseline"/>
        <sz val="12"/>
        <color auto="1"/>
        <name val="B Zar"/>
        <scheme val="none"/>
      </font>
      <fill>
        <patternFill patternType="none">
          <fgColor indexed="64"/>
          <bgColor theme="0"/>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protection locked="0" hidden="0"/>
    </dxf>
  </dxfs>
  <tableStyles count="0" defaultTableStyle="TableStyleMedium2" defaultPivotStyle="PivotStyleLight16"/>
  <colors>
    <mruColors>
      <color rgb="FFFBFDF9"/>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a-IR" sz="2000" b="0">
                <a:cs typeface="2  Elham" panose="00000400000000000000" pitchFamily="2" charset="-78"/>
              </a:rPr>
              <a:t>سرمایه گذاری ثابت  جدید طرح</a:t>
            </a:r>
            <a:endParaRPr lang="en-US" sz="2000" b="0">
              <a:cs typeface="2  Elham" panose="00000400000000000000" pitchFamily="2" charset="-78"/>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17646780638907"/>
          <c:y val="0.18591699475065618"/>
          <c:w val="0.79031825201914074"/>
          <c:h val="0.81319957193824399"/>
        </c:manualLayout>
      </c:layout>
      <c:pie3DChart>
        <c:varyColors val="1"/>
        <c:ser>
          <c:idx val="1"/>
          <c:order val="0"/>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2AA-475E-A2C4-7E601376D7D3}"/>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2AA-475E-A2C4-7E601376D7D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'خلاصه '!$B$27:$B$28</c:f>
              <c:strCache>
                <c:ptCount val="2"/>
                <c:pt idx="0">
                  <c:v>آورده سرمایه گذار</c:v>
                </c:pt>
                <c:pt idx="1">
                  <c:v>تسهیلات بانکی</c:v>
                </c:pt>
              </c:strCache>
            </c:strRef>
          </c:cat>
          <c:val>
            <c:numRef>
              <c:f>'خلاصه '!$F$27:$F$28</c:f>
              <c:numCache>
                <c:formatCode>0%</c:formatCode>
                <c:ptCount val="2"/>
                <c:pt idx="0">
                  <c:v>0.21603755320229914</c:v>
                </c:pt>
                <c:pt idx="1">
                  <c:v>0.78396244679770088</c:v>
                </c:pt>
              </c:numCache>
            </c:numRef>
          </c:val>
          <c:extLst>
            <c:ext xmlns:c16="http://schemas.microsoft.com/office/drawing/2014/chart" uri="{C3380CC4-5D6E-409C-BE32-E72D297353CC}">
              <c16:uniqueId val="{00000004-92AA-475E-A2C4-7E601376D7D3}"/>
            </c:ext>
          </c:extLst>
        </c:ser>
        <c:ser>
          <c:idx val="0"/>
          <c:order val="1"/>
          <c:tx>
            <c:strRef>
              <c:f>'خلاصه '!$F$27:$F$28</c:f>
              <c:strCache>
                <c:ptCount val="2"/>
                <c:pt idx="0">
                  <c:v>22%</c:v>
                </c:pt>
                <c:pt idx="1">
                  <c:v>78%</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92AA-475E-A2C4-7E601376D7D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'خلاصه '!$B$27:$B$28</c:f>
              <c:strCache>
                <c:ptCount val="2"/>
                <c:pt idx="0">
                  <c:v>آورده سرمایه گذار</c:v>
                </c:pt>
                <c:pt idx="1">
                  <c:v>تسهیلات بانکی</c:v>
                </c:pt>
              </c:strCache>
            </c:strRef>
          </c:cat>
          <c:val>
            <c:numLit>
              <c:formatCode>General</c:formatCode>
              <c:ptCount val="1"/>
              <c:pt idx="0">
                <c:v>1</c:v>
              </c:pt>
            </c:numLit>
          </c:val>
          <c:extLst>
            <c:ext xmlns:c16="http://schemas.microsoft.com/office/drawing/2014/chart" uri="{C3380CC4-5D6E-409C-BE32-E72D297353CC}">
              <c16:uniqueId val="{00000007-92AA-475E-A2C4-7E601376D7D3}"/>
            </c:ext>
          </c:extLst>
        </c:ser>
        <c:dLbls>
          <c:dLblPos val="ctr"/>
          <c:showLegendKey val="0"/>
          <c:showVal val="0"/>
          <c:showCatName val="0"/>
          <c:showSerName val="0"/>
          <c:showPercent val="1"/>
          <c:showBubbleSize val="0"/>
          <c:showLeaderLines val="1"/>
        </c:dLbls>
      </c:pie3DChart>
      <c:spPr>
        <a:noFill/>
        <a:ln w="25400">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fa-IR"/>
              <a:t>توزیع</a:t>
            </a:r>
            <a:r>
              <a:rPr lang="fa-IR" baseline="0"/>
              <a:t> هزینه های جاری</a:t>
            </a:r>
            <a:endParaRPr lang="fa-I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19204089946255901"/>
          <c:y val="0.20017006786776703"/>
          <c:w val="0.38219173546079155"/>
          <c:h val="0.69253154552690566"/>
        </c:manualLayout>
      </c:layout>
      <c:pieChart>
        <c:varyColors val="1"/>
        <c:ser>
          <c:idx val="0"/>
          <c:order val="0"/>
          <c:tx>
            <c:strRef>
              <c:f>'جمع هزینه'!$E$8</c:f>
              <c:strCache>
                <c:ptCount val="1"/>
                <c:pt idx="0">
                  <c:v>جمع کل </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B1D-4EDC-A649-A5E10B8D29F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B1D-4EDC-A649-A5E10B8D29F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B1D-4EDC-A649-A5E10B8D29F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B1D-4EDC-A649-A5E10B8D29F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B1D-4EDC-A649-A5E10B8D29F7}"/>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7B1D-4EDC-A649-A5E10B8D29F7}"/>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7B1D-4EDC-A649-A5E10B8D29F7}"/>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7B1D-4EDC-A649-A5E10B8D29F7}"/>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7B1D-4EDC-A649-A5E10B8D29F7}"/>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7B1D-4EDC-A649-A5E10B8D29F7}"/>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7B1D-4EDC-A649-A5E10B8D29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'جمع هزینه'!$B$9:$B$20</c:f>
              <c:strCache>
                <c:ptCount val="11"/>
                <c:pt idx="0">
                  <c:v>هزینه مواد اوليه </c:v>
                </c:pt>
                <c:pt idx="1">
                  <c:v>انرژی</c:v>
                </c:pt>
                <c:pt idx="2">
                  <c:v>تعمير نگهداري</c:v>
                </c:pt>
                <c:pt idx="3">
                  <c:v>حقوق و مزاياي پرسنل توليدی/عملیاتی</c:v>
                </c:pt>
                <c:pt idx="4">
                  <c:v>حقوق و مزاياي پرسنل غیرتوليدی</c:v>
                </c:pt>
                <c:pt idx="5">
                  <c:v>سایر اقلام سربار-بیمه</c:v>
                </c:pt>
                <c:pt idx="6">
                  <c:v>پيش بيني نشده </c:v>
                </c:pt>
                <c:pt idx="7">
                  <c:v>سایر هزينه‌هاي عمومی و اداري</c:v>
                </c:pt>
                <c:pt idx="8">
                  <c:v>هزینه تامین مالی</c:v>
                </c:pt>
                <c:pt idx="9">
                  <c:v>استهلاک</c:v>
                </c:pt>
                <c:pt idx="10">
                  <c:v>توزیع و فروش</c:v>
                </c:pt>
              </c:strCache>
            </c:strRef>
          </c:cat>
          <c:val>
            <c:numRef>
              <c:f>'جمع هزینه'!$E$9:$E$20</c:f>
              <c:numCache>
                <c:formatCode>#,##0_ ;[Red]\-#,##0\ </c:formatCode>
                <c:ptCount val="11"/>
                <c:pt idx="0">
                  <c:v>15574848</c:v>
                </c:pt>
                <c:pt idx="1">
                  <c:v>9253.08</c:v>
                </c:pt>
                <c:pt idx="2">
                  <c:v>62226.261504000002</c:v>
                </c:pt>
                <c:pt idx="3">
                  <c:v>71565.200000000012</c:v>
                </c:pt>
                <c:pt idx="4">
                  <c:v>16592.400000000001</c:v>
                </c:pt>
                <c:pt idx="5">
                  <c:v>3629.6355279199997</c:v>
                </c:pt>
                <c:pt idx="6">
                  <c:v>786724.24707520008</c:v>
                </c:pt>
                <c:pt idx="7">
                  <c:v>157344.84941503999</c:v>
                </c:pt>
                <c:pt idx="8">
                  <c:v>183960</c:v>
                </c:pt>
                <c:pt idx="9">
                  <c:v>146447.47973760002</c:v>
                </c:pt>
                <c:pt idx="10">
                  <c:v>598500</c:v>
                </c:pt>
              </c:numCache>
            </c:numRef>
          </c:val>
          <c:extLst>
            <c:ext xmlns:c16="http://schemas.microsoft.com/office/drawing/2014/chart" uri="{C3380CC4-5D6E-409C-BE32-E72D297353CC}">
              <c16:uniqueId val="{00000018-7B1D-4EDC-A649-A5E10B8D29F7}"/>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layout>
        <c:manualLayout>
          <c:xMode val="edge"/>
          <c:yMode val="edge"/>
          <c:x val="0.70215297182686121"/>
          <c:y val="4.046565219714747E-2"/>
          <c:w val="0.29103493521630264"/>
          <c:h val="0.94475950647192319"/>
        </c:manualLayout>
      </c:layout>
      <c:overlay val="0"/>
      <c:spPr>
        <a:solidFill>
          <a:schemeClr val="lt1">
            <a:alpha val="50000"/>
          </a:schemeClr>
        </a:solidFill>
        <a:ln>
          <a:noFill/>
        </a:ln>
        <a:effectLst/>
      </c:spPr>
      <c:txPr>
        <a:bodyPr rot="0" spcFirstLastPara="1" vertOverflow="ellipsis" vert="horz" wrap="square" anchor="ctr" anchorCtr="1"/>
        <a:lstStyle/>
        <a:p>
          <a:pPr rtl="1">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'جمع هزینه'!$C$8</c:f>
              <c:strCache>
                <c:ptCount val="1"/>
                <c:pt idx="0">
                  <c:v>تولیدی</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'جمع هزینه'!$B$9:$B$20</c:f>
              <c:strCache>
                <c:ptCount val="11"/>
                <c:pt idx="0">
                  <c:v>هزینه مواد اوليه </c:v>
                </c:pt>
                <c:pt idx="1">
                  <c:v>انرژی</c:v>
                </c:pt>
                <c:pt idx="2">
                  <c:v>تعمير نگهداري</c:v>
                </c:pt>
                <c:pt idx="3">
                  <c:v>حقوق و مزاياي پرسنل توليدی/عملیاتی</c:v>
                </c:pt>
                <c:pt idx="4">
                  <c:v>حقوق و مزاياي پرسنل غیرتوليدی</c:v>
                </c:pt>
                <c:pt idx="5">
                  <c:v>سایر اقلام سربار-بیمه</c:v>
                </c:pt>
                <c:pt idx="6">
                  <c:v>پيش بيني نشده </c:v>
                </c:pt>
                <c:pt idx="7">
                  <c:v>سایر هزينه‌هاي عمومی و اداري</c:v>
                </c:pt>
                <c:pt idx="8">
                  <c:v>هزینه تامین مالی</c:v>
                </c:pt>
                <c:pt idx="9">
                  <c:v>استهلاک</c:v>
                </c:pt>
                <c:pt idx="10">
                  <c:v>توزیع و فروش</c:v>
                </c:pt>
              </c:strCache>
            </c:strRef>
          </c:cat>
          <c:val>
            <c:numRef>
              <c:f>'جمع هزینه'!$C$9:$C$20</c:f>
              <c:numCache>
                <c:formatCode>#,##0_ ;[Red]\-#,##0\ </c:formatCode>
                <c:ptCount val="11"/>
                <c:pt idx="0">
                  <c:v>15574848</c:v>
                </c:pt>
                <c:pt idx="1">
                  <c:v>7402.4639999999999</c:v>
                </c:pt>
                <c:pt idx="2">
                  <c:v>49781.009203200003</c:v>
                </c:pt>
                <c:pt idx="3">
                  <c:v>21469.56</c:v>
                </c:pt>
                <c:pt idx="4">
                  <c:v>4977.72</c:v>
                </c:pt>
                <c:pt idx="5">
                  <c:v>1814.8177639599999</c:v>
                </c:pt>
                <c:pt idx="6">
                  <c:v>393362.12353760004</c:v>
                </c:pt>
                <c:pt idx="7">
                  <c:v>15734.484941504001</c:v>
                </c:pt>
                <c:pt idx="8">
                  <c:v>0</c:v>
                </c:pt>
                <c:pt idx="9">
                  <c:v>0</c:v>
                </c:pt>
                <c:pt idx="10">
                  <c:v>0</c:v>
                </c:pt>
              </c:numCache>
            </c:numRef>
          </c:val>
          <c:extLst>
            <c:ext xmlns:c16="http://schemas.microsoft.com/office/drawing/2014/chart" uri="{C3380CC4-5D6E-409C-BE32-E72D297353CC}">
              <c16:uniqueId val="{00000000-D0B3-4802-B70A-35C6B8100F62}"/>
            </c:ext>
          </c:extLst>
        </c:ser>
        <c:ser>
          <c:idx val="1"/>
          <c:order val="1"/>
          <c:tx>
            <c:strRef>
              <c:f>'جمع هزینه'!$D$8</c:f>
              <c:strCache>
                <c:ptCount val="1"/>
                <c:pt idx="0">
                  <c:v>غیر تولیدی</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'جمع هزینه'!$B$9:$B$20</c:f>
              <c:strCache>
                <c:ptCount val="11"/>
                <c:pt idx="0">
                  <c:v>هزینه مواد اوليه </c:v>
                </c:pt>
                <c:pt idx="1">
                  <c:v>انرژی</c:v>
                </c:pt>
                <c:pt idx="2">
                  <c:v>تعمير نگهداري</c:v>
                </c:pt>
                <c:pt idx="3">
                  <c:v>حقوق و مزاياي پرسنل توليدی/عملیاتی</c:v>
                </c:pt>
                <c:pt idx="4">
                  <c:v>حقوق و مزاياي پرسنل غیرتوليدی</c:v>
                </c:pt>
                <c:pt idx="5">
                  <c:v>سایر اقلام سربار-بیمه</c:v>
                </c:pt>
                <c:pt idx="6">
                  <c:v>پيش بيني نشده </c:v>
                </c:pt>
                <c:pt idx="7">
                  <c:v>سایر هزينه‌هاي عمومی و اداري</c:v>
                </c:pt>
                <c:pt idx="8">
                  <c:v>هزینه تامین مالی</c:v>
                </c:pt>
                <c:pt idx="9">
                  <c:v>استهلاک</c:v>
                </c:pt>
                <c:pt idx="10">
                  <c:v>توزیع و فروش</c:v>
                </c:pt>
              </c:strCache>
            </c:strRef>
          </c:cat>
          <c:val>
            <c:numRef>
              <c:f>'جمع هزینه'!$D$9:$D$20</c:f>
              <c:numCache>
                <c:formatCode>#,##0_ ;[Red]\-#,##0\ </c:formatCode>
                <c:ptCount val="11"/>
                <c:pt idx="0">
                  <c:v>0</c:v>
                </c:pt>
                <c:pt idx="1">
                  <c:v>1850.6159999999995</c:v>
                </c:pt>
                <c:pt idx="2">
                  <c:v>12445.252300799997</c:v>
                </c:pt>
                <c:pt idx="3">
                  <c:v>50095.640000000007</c:v>
                </c:pt>
                <c:pt idx="4">
                  <c:v>11614.68</c:v>
                </c:pt>
                <c:pt idx="5">
                  <c:v>1814.8177639599999</c:v>
                </c:pt>
                <c:pt idx="6">
                  <c:v>393362.12353760004</c:v>
                </c:pt>
                <c:pt idx="7">
                  <c:v>141610.364473536</c:v>
                </c:pt>
                <c:pt idx="8">
                  <c:v>183960</c:v>
                </c:pt>
                <c:pt idx="9">
                  <c:v>146447.47973760002</c:v>
                </c:pt>
                <c:pt idx="10">
                  <c:v>598500</c:v>
                </c:pt>
              </c:numCache>
            </c:numRef>
          </c:val>
          <c:extLst>
            <c:ext xmlns:c16="http://schemas.microsoft.com/office/drawing/2014/chart" uri="{C3380CC4-5D6E-409C-BE32-E72D297353CC}">
              <c16:uniqueId val="{00000001-D0B3-4802-B70A-35C6B8100F62}"/>
            </c:ext>
          </c:extLst>
        </c:ser>
        <c:dLbls>
          <c:showLegendKey val="0"/>
          <c:showVal val="1"/>
          <c:showCatName val="0"/>
          <c:showSerName val="0"/>
          <c:showPercent val="0"/>
          <c:showBubbleSize val="0"/>
        </c:dLbls>
        <c:gapWidth val="150"/>
        <c:shape val="box"/>
        <c:axId val="286509112"/>
        <c:axId val="286509504"/>
        <c:axId val="0"/>
      </c:bar3DChart>
      <c:catAx>
        <c:axId val="286509112"/>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6509504"/>
        <c:crosses val="autoZero"/>
        <c:auto val="1"/>
        <c:lblAlgn val="ctr"/>
        <c:lblOffset val="100"/>
        <c:noMultiLvlLbl val="0"/>
      </c:catAx>
      <c:valAx>
        <c:axId val="286509504"/>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09112"/>
        <c:crosses val="autoZero"/>
        <c:crossBetween val="between"/>
      </c:valAx>
      <c:spPr>
        <a:noFill/>
        <a:ln>
          <a:noFill/>
        </a:ln>
        <a:effectLst/>
      </c:spPr>
    </c:plotArea>
    <c:legend>
      <c:legendPos val="b"/>
      <c:layout>
        <c:manualLayout>
          <c:xMode val="edge"/>
          <c:yMode val="edge"/>
          <c:x val="0.43741304277986326"/>
          <c:y val="0.90764095678576118"/>
          <c:w val="0.12232062802180903"/>
          <c:h val="6.52800859703587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fa-IR"/>
              <a:t>نگهداری و تعمیرات</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1-4C8B-4BBE-B4A0-472EA8D33ACA}"/>
              </c:ext>
            </c:extLst>
          </c:dPt>
          <c:dPt>
            <c:idx val="1"/>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3-4C8B-4BBE-B4A0-472EA8D33ACA}"/>
              </c:ext>
            </c:extLst>
          </c:dPt>
          <c:dPt>
            <c:idx val="2"/>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5-4C8B-4BBE-B4A0-472EA8D33ACA}"/>
              </c:ext>
            </c:extLst>
          </c:dPt>
          <c:dPt>
            <c:idx val="3"/>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7-4C8B-4BBE-B4A0-472EA8D33A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نت!$B$7:$B$10</c:f>
              <c:strCache>
                <c:ptCount val="4"/>
                <c:pt idx="0">
                  <c:v>محوطه سازی</c:v>
                </c:pt>
                <c:pt idx="1">
                  <c:v>ساختمان سازی</c:v>
                </c:pt>
                <c:pt idx="2">
                  <c:v>ماشین آلات و تجهیزات</c:v>
                </c:pt>
                <c:pt idx="3">
                  <c:v>تاسیسات</c:v>
                </c:pt>
              </c:strCache>
            </c:strRef>
          </c:cat>
          <c:val>
            <c:numRef>
              <c:f>نت!$E$7:$E$10</c:f>
              <c:numCache>
                <c:formatCode>#,##0_ ;[Red]\-#,##0\ </c:formatCode>
                <c:ptCount val="4"/>
                <c:pt idx="0">
                  <c:v>274.80150399999997</c:v>
                </c:pt>
                <c:pt idx="1">
                  <c:v>8317.2000000000007</c:v>
                </c:pt>
                <c:pt idx="2">
                  <c:v>50683.26</c:v>
                </c:pt>
                <c:pt idx="3">
                  <c:v>2951</c:v>
                </c:pt>
              </c:numCache>
            </c:numRef>
          </c:val>
          <c:extLst>
            <c:ext xmlns:c16="http://schemas.microsoft.com/office/drawing/2014/chart" uri="{C3380CC4-5D6E-409C-BE32-E72D297353CC}">
              <c16:uniqueId val="{00000008-4C8B-4BBE-B4A0-472EA8D33ACA}"/>
            </c:ext>
          </c:extLst>
        </c:ser>
        <c:dLbls>
          <c:showLegendKey val="0"/>
          <c:showVal val="0"/>
          <c:showCatName val="1"/>
          <c:showSerName val="0"/>
          <c:showPercent val="1"/>
          <c:showBubbleSize val="0"/>
          <c:showLeaderLines val="1"/>
        </c:dLbls>
        <c:firstSliceAng val="360"/>
      </c:pieChart>
      <c:spPr>
        <a:noFill/>
        <a:ln>
          <a:noFill/>
        </a:ln>
        <a:effectLst/>
      </c:spPr>
    </c:plotArea>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fa-IR"/>
              <a:t>نمودار پیش بینی فروش	</a:t>
            </a:r>
            <a:endParaRPr lang="en-US"/>
          </a:p>
        </c:rich>
      </c:tx>
      <c:layout>
        <c:manualLayout>
          <c:xMode val="edge"/>
          <c:yMode val="edge"/>
          <c:x val="0.33526011932430738"/>
          <c:y val="1.752739114903549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فروش!$D$31:$H$31</c:f>
              <c:strCache>
                <c:ptCount val="5"/>
                <c:pt idx="0">
                  <c:v>سال1</c:v>
                </c:pt>
                <c:pt idx="1">
                  <c:v>سال2</c:v>
                </c:pt>
                <c:pt idx="2">
                  <c:v>سال3</c:v>
                </c:pt>
                <c:pt idx="3">
                  <c:v>سال4</c:v>
                </c:pt>
                <c:pt idx="4">
                  <c:v>سال5</c:v>
                </c:pt>
              </c:strCache>
            </c:strRef>
          </c:cat>
          <c:val>
            <c:numRef>
              <c:f>فروش!$D$41:$H$41</c:f>
              <c:numCache>
                <c:formatCode>#,##0_ ;[Red]\-#,##0\ </c:formatCode>
                <c:ptCount val="5"/>
                <c:pt idx="0">
                  <c:v>11970000</c:v>
                </c:pt>
                <c:pt idx="1">
                  <c:v>13965000</c:v>
                </c:pt>
                <c:pt idx="2">
                  <c:v>15960000</c:v>
                </c:pt>
                <c:pt idx="3">
                  <c:v>17955000</c:v>
                </c:pt>
                <c:pt idx="4">
                  <c:v>19950000</c:v>
                </c:pt>
              </c:numCache>
            </c:numRef>
          </c:val>
          <c:extLst>
            <c:ext xmlns:c16="http://schemas.microsoft.com/office/drawing/2014/chart" uri="{C3380CC4-5D6E-409C-BE32-E72D297353CC}">
              <c16:uniqueId val="{00000000-AD3F-4AE0-95EC-4876DFA9E16F}"/>
            </c:ext>
          </c:extLst>
        </c:ser>
        <c:dLbls>
          <c:showLegendKey val="0"/>
          <c:showVal val="1"/>
          <c:showCatName val="0"/>
          <c:showSerName val="0"/>
          <c:showPercent val="0"/>
          <c:showBubbleSize val="0"/>
        </c:dLbls>
        <c:gapWidth val="199"/>
        <c:axId val="294015272"/>
        <c:axId val="294015664"/>
      </c:barChart>
      <c:catAx>
        <c:axId val="2940152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94015664"/>
        <c:crosses val="autoZero"/>
        <c:auto val="1"/>
        <c:lblAlgn val="ctr"/>
        <c:lblOffset val="100"/>
        <c:noMultiLvlLbl val="0"/>
      </c:catAx>
      <c:valAx>
        <c:axId val="294015664"/>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15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fa-IR"/>
              <a:t>نمودار تفکیکی فروش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2"/>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33B8-44D2-9306-890A4C849A3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33B8-44D2-9306-890A4C849A3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33B8-44D2-9306-890A4C849A3D}"/>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33B8-44D2-9306-890A4C849A3D}"/>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33B8-44D2-9306-890A4C849A3D}"/>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33B8-44D2-9306-890A4C849A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فروش!$B$32:$C$36</c:f>
              <c:strCache>
                <c:ptCount val="2"/>
                <c:pt idx="0">
                  <c:v>شیشه لایه دار تخت ساختمانی</c:v>
                </c:pt>
                <c:pt idx="1">
                  <c:v>شیشه نشکن ساختمانی</c:v>
                </c:pt>
              </c:strCache>
            </c:strRef>
          </c:cat>
          <c:val>
            <c:numRef>
              <c:f>فروش!$H$32:$H$36</c:f>
              <c:numCache>
                <c:formatCode>#,##0_ ;[Red]\-#,##0\ </c:formatCode>
                <c:ptCount val="2"/>
                <c:pt idx="0">
                  <c:v>13200000</c:v>
                </c:pt>
                <c:pt idx="1">
                  <c:v>6750000</c:v>
                </c:pt>
              </c:numCache>
            </c:numRef>
          </c:val>
          <c:extLst>
            <c:ext xmlns:c16="http://schemas.microsoft.com/office/drawing/2014/chart" uri="{C3380CC4-5D6E-409C-BE32-E72D297353CC}">
              <c16:uniqueId val="{0000000C-33B8-44D2-9306-890A4C849A3D}"/>
            </c:ext>
          </c:extLst>
        </c:ser>
        <c:dLbls>
          <c:dLblPos val="inEnd"/>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a-IR">
                <a:cs typeface="2  Roya" panose="00000400000000000000" pitchFamily="2" charset="-78"/>
              </a:rPr>
              <a:t>منابع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'منابع و مصارف'!$D$5</c:f>
              <c:strCache>
                <c:ptCount val="1"/>
                <c:pt idx="0">
                  <c:v>جمع</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55B-479E-97B3-450D636E695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55B-479E-97B3-450D636E695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55B-479E-97B3-450D636E695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55B-479E-97B3-450D636E695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'منابع و مصارف'!$D$6:$D$9</c:f>
              <c:numCache>
                <c:formatCode>#,##0_ ;[Red]\-#,##0\ </c:formatCode>
                <c:ptCount val="4"/>
                <c:pt idx="0">
                  <c:v>729332.16395999969</c:v>
                </c:pt>
                <c:pt idx="1">
                  <c:v>1200000</c:v>
                </c:pt>
                <c:pt idx="2">
                  <c:v>0</c:v>
                </c:pt>
              </c:numCache>
            </c:numRef>
          </c:val>
          <c:extLst>
            <c:ext xmlns:c16="http://schemas.microsoft.com/office/drawing/2014/chart" uri="{C3380CC4-5D6E-409C-BE32-E72D297353CC}">
              <c16:uniqueId val="{00000008-D55B-479E-97B3-450D636E6953}"/>
            </c:ext>
          </c:extLst>
        </c:ser>
        <c:dLbls>
          <c:dLblPos val="ctr"/>
          <c:showLegendKey val="0"/>
          <c:showVal val="0"/>
          <c:showCatName val="0"/>
          <c:showSerName val="0"/>
          <c:showPercent val="1"/>
          <c:showBubbleSize val="0"/>
          <c:showLeaderLines val="1"/>
        </c:dLbls>
      </c:pie3DChart>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a-IR">
                <a:cs typeface="2  Roya" panose="00000400000000000000" pitchFamily="2" charset="-78"/>
              </a:rPr>
              <a:t>مصارف</a:t>
            </a:r>
            <a:endParaRPr lang="en-US">
              <a:cs typeface="2  Roya" panose="00000400000000000000" pitchFamily="2" charset="-78"/>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321688440674712"/>
          <c:y val="0.18867957090791862"/>
          <c:w val="0.62990273460927293"/>
          <c:h val="0.72714850752799887"/>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BC-4D84-ADC6-C6EB967CAE0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BC-4D84-ADC6-C6EB967CAE0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BC-4D84-ADC6-C6EB967CAE0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BC-4D84-ADC6-C6EB967CAE0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6BC-4D84-ADC6-C6EB967CAE0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6BC-4D84-ADC6-C6EB967CAE0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6BC-4D84-ADC6-C6EB967CAE0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6BC-4D84-ADC6-C6EB967CAE0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6BC-4D84-ADC6-C6EB967CAE0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6BC-4D84-ADC6-C6EB967CAE0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'منابع و مصارف'!$A$11:$A$21</c:f>
              <c:strCache>
                <c:ptCount val="10"/>
                <c:pt idx="0">
                  <c:v>زمین</c:v>
                </c:pt>
                <c:pt idx="1">
                  <c:v>محوطه سازی</c:v>
                </c:pt>
                <c:pt idx="2">
                  <c:v>ساختمان</c:v>
                </c:pt>
                <c:pt idx="3">
                  <c:v>ماشین آلات و تجهیزات</c:v>
                </c:pt>
                <c:pt idx="4">
                  <c:v>تاسیسات</c:v>
                </c:pt>
                <c:pt idx="5">
                  <c:v>وسائط نقلیه</c:v>
                </c:pt>
                <c:pt idx="6">
                  <c:v>اثاثه و لوازم اداری</c:v>
                </c:pt>
                <c:pt idx="7">
                  <c:v>لوازم آزمایشگاهی</c:v>
                </c:pt>
                <c:pt idx="8">
                  <c:v>هزینه های قبل از بهره برداری</c:v>
                </c:pt>
                <c:pt idx="9">
                  <c:v>متفرقه و پیش بینی نشده</c:v>
                </c:pt>
              </c:strCache>
            </c:strRef>
          </c:cat>
          <c:val>
            <c:numRef>
              <c:f>'منابع و مصارف'!$D$11:$D$21</c:f>
              <c:numCache>
                <c:formatCode>#,##0_ ;[Red]\-#,##0\ </c:formatCode>
                <c:ptCount val="10"/>
                <c:pt idx="0">
                  <c:v>114514.4</c:v>
                </c:pt>
                <c:pt idx="1">
                  <c:v>13740.075199999999</c:v>
                </c:pt>
                <c:pt idx="2">
                  <c:v>415860</c:v>
                </c:pt>
                <c:pt idx="3">
                  <c:v>1267081.5</c:v>
                </c:pt>
                <c:pt idx="4">
                  <c:v>29510</c:v>
                </c:pt>
                <c:pt idx="5">
                  <c:v>0</c:v>
                </c:pt>
                <c:pt idx="6">
                  <c:v>8926.4</c:v>
                </c:pt>
                <c:pt idx="7">
                  <c:v>0</c:v>
                </c:pt>
                <c:pt idx="8">
                  <c:v>6810</c:v>
                </c:pt>
                <c:pt idx="9">
                  <c:v>72889.788759999996</c:v>
                </c:pt>
              </c:numCache>
            </c:numRef>
          </c:val>
          <c:extLst>
            <c:ext xmlns:c16="http://schemas.microsoft.com/office/drawing/2014/chart" uri="{C3380CC4-5D6E-409C-BE32-E72D297353CC}">
              <c16:uniqueId val="{00000014-06BC-4D84-ADC6-C6EB967CAE0C}"/>
            </c:ext>
          </c:extLst>
        </c:ser>
        <c:dLbls>
          <c:dLblPos val="ctr"/>
          <c:showLegendKey val="0"/>
          <c:showVal val="0"/>
          <c:showCatName val="0"/>
          <c:showSerName val="0"/>
          <c:showPercent val="1"/>
          <c:showBubbleSize val="0"/>
          <c:showLeaderLines val="1"/>
        </c:dLbls>
      </c:pie3DChart>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a-IR"/>
              <a:t>سرمایه گذاری کل طرح</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98573074707125"/>
          <c:y val="0.2452548118985127"/>
          <c:w val="0.63867927789514112"/>
          <c:h val="0.75474518810148727"/>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EB4-4742-AB3F-25BAC6E6B7A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EB4-4742-AB3F-25BAC6E6B7A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'خلاصه '!$A$19:$B$20</c:f>
              <c:multiLvlStrCache>
                <c:ptCount val="1"/>
                <c:lvl>
                  <c:pt idx="0">
                    <c:v>سرمایه در گردش</c:v>
                  </c:pt>
                </c:lvl>
                <c:lvl>
                  <c:pt idx="0">
                    <c:v>جمع سرمایه ثابت</c:v>
                  </c:pt>
                </c:lvl>
              </c:multiLvlStrCache>
            </c:multiLvlStrRef>
          </c:cat>
          <c:val>
            <c:numRef>
              <c:f>'خلاصه '!$F$19:$G$19</c:f>
              <c:numCache>
                <c:formatCode>0%</c:formatCode>
                <c:ptCount val="2"/>
                <c:pt idx="0">
                  <c:v>0.20662414043923283</c:v>
                </c:pt>
                <c:pt idx="1">
                  <c:v>0.79337585956076706</c:v>
                </c:pt>
              </c:numCache>
            </c:numRef>
          </c:val>
          <c:extLst>
            <c:ext xmlns:c16="http://schemas.microsoft.com/office/drawing/2014/chart" uri="{C3380CC4-5D6E-409C-BE32-E72D297353CC}">
              <c16:uniqueId val="{00000004-CEB4-4742-AB3F-25BAC6E6B7A3}"/>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CEB4-4742-AB3F-25BAC6E6B7A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CEB4-4742-AB3F-25BAC6E6B7A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'خلاصه '!$A$19:$B$20</c:f>
              <c:multiLvlStrCache>
                <c:ptCount val="1"/>
                <c:lvl>
                  <c:pt idx="0">
                    <c:v>سرمایه در گردش</c:v>
                  </c:pt>
                </c:lvl>
                <c:lvl>
                  <c:pt idx="0">
                    <c:v>جمع سرمایه ثابت</c:v>
                  </c:pt>
                </c:lvl>
              </c:multiLvlStrCache>
            </c:multiLvlStrRef>
          </c:cat>
          <c:val>
            <c:numRef>
              <c:f>'خلاصه '!$F$20:$G$20</c:f>
              <c:numCache>
                <c:formatCode>0%</c:formatCode>
                <c:ptCount val="2"/>
                <c:pt idx="0" formatCode="_-* #,##0_-;_-* #,##0\-;_-* &quot;-&quot;??_-;_-@_-">
                  <c:v>0</c:v>
                </c:pt>
                <c:pt idx="1">
                  <c:v>1</c:v>
                </c:pt>
              </c:numCache>
            </c:numRef>
          </c:val>
          <c:extLst>
            <c:ext xmlns:c16="http://schemas.microsoft.com/office/drawing/2014/chart" uri="{C3380CC4-5D6E-409C-BE32-E72D297353CC}">
              <c16:uniqueId val="{00000009-CEB4-4742-AB3F-25BAC6E6B7A3}"/>
            </c:ext>
          </c:extLst>
        </c:ser>
        <c:dLbls>
          <c:dLblPos val="ctr"/>
          <c:showLegendKey val="0"/>
          <c:showVal val="0"/>
          <c:showCatName val="0"/>
          <c:showSerName val="0"/>
          <c:showPercent val="1"/>
          <c:showBubbleSize val="0"/>
          <c:showLeaderLines val="1"/>
        </c:dLbls>
      </c:pie3DChart>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sz="1600">
                <a:cs typeface="2  Mitra" panose="00000400000000000000" pitchFamily="2" charset="-78"/>
              </a:rPr>
              <a:t>سرمایه گذاری ثابت</a:t>
            </a:r>
            <a:endParaRPr lang="en-US" sz="1600">
              <a:cs typeface="2  Mitra" panose="00000400000000000000" pitchFamily="2" charset="-7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B54-4F5D-BA24-36DABCF380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B54-4F5D-BA24-36DABCF380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B54-4F5D-BA24-36DABCF380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B54-4F5D-BA24-36DABCF380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B54-4F5D-BA24-36DABCF380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B54-4F5D-BA24-36DABCF380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B54-4F5D-BA24-36DABCF380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B54-4F5D-BA24-36DABCF380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B54-4F5D-BA24-36DABCF3804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B54-4F5D-BA24-36DABCF380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'خلاصه '!$B$9:$B$18</c:f>
              <c:strCache>
                <c:ptCount val="10"/>
                <c:pt idx="0">
                  <c:v>زمین</c:v>
                </c:pt>
                <c:pt idx="1">
                  <c:v>محوطه سازی</c:v>
                </c:pt>
                <c:pt idx="2">
                  <c:v>ساختمان سازی</c:v>
                </c:pt>
                <c:pt idx="3">
                  <c:v>ماشین آلات و تجهیزات</c:v>
                </c:pt>
                <c:pt idx="4">
                  <c:v>تأسیسات</c:v>
                </c:pt>
                <c:pt idx="5">
                  <c:v>وسائط نقلیه</c:v>
                </c:pt>
                <c:pt idx="6">
                  <c:v>اثاثه و لوازم اداری</c:v>
                </c:pt>
                <c:pt idx="7">
                  <c:v>لوازم آزمایشگاهی</c:v>
                </c:pt>
                <c:pt idx="8">
                  <c:v>هزینه های قبل از بهره برداری</c:v>
                </c:pt>
                <c:pt idx="9">
                  <c:v>هزینه های پیش بینی نشده</c:v>
                </c:pt>
              </c:strCache>
            </c:strRef>
          </c:cat>
          <c:val>
            <c:numRef>
              <c:f>'خلاصه '!$E$9:$E$18</c:f>
              <c:numCache>
                <c:formatCode>_-* #,##0_-;_-* #,##0\-;_-* "-"??_-;_-@_-</c:formatCode>
                <c:ptCount val="10"/>
                <c:pt idx="0">
                  <c:v>114514.4</c:v>
                </c:pt>
                <c:pt idx="1">
                  <c:v>13740.075199999999</c:v>
                </c:pt>
                <c:pt idx="2">
                  <c:v>415860</c:v>
                </c:pt>
                <c:pt idx="3">
                  <c:v>1267081.5</c:v>
                </c:pt>
                <c:pt idx="4">
                  <c:v>29510</c:v>
                </c:pt>
                <c:pt idx="5">
                  <c:v>0</c:v>
                </c:pt>
                <c:pt idx="6">
                  <c:v>8926.4</c:v>
                </c:pt>
                <c:pt idx="7">
                  <c:v>0</c:v>
                </c:pt>
                <c:pt idx="8">
                  <c:v>6810</c:v>
                </c:pt>
                <c:pt idx="9">
                  <c:v>72889.788759999996</c:v>
                </c:pt>
              </c:numCache>
            </c:numRef>
          </c:val>
          <c:extLst>
            <c:ext xmlns:c16="http://schemas.microsoft.com/office/drawing/2014/chart" uri="{C3380CC4-5D6E-409C-BE32-E72D297353CC}">
              <c16:uniqueId val="{00000014-AB54-4F5D-BA24-36DABCF38048}"/>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fa-IR"/>
              <a:t>سهم هر عملیات در محوطه سازی</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6.5319019477495993E-2"/>
          <c:y val="0.12123221488913768"/>
          <c:w val="0.89796373378357863"/>
          <c:h val="0.58725602390276044"/>
        </c:manualLayout>
      </c:layout>
      <c:pieChart>
        <c:varyColors val="1"/>
        <c:ser>
          <c:idx val="0"/>
          <c:order val="0"/>
          <c:explosion val="12"/>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1-49B9-4220-915A-1C32028F5E2E}"/>
              </c:ext>
            </c:extLst>
          </c:dPt>
          <c:dPt>
            <c:idx val="1"/>
            <c:bubble3D val="0"/>
            <c:explosion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3-49B9-4220-915A-1C32028F5E2E}"/>
              </c:ext>
            </c:extLst>
          </c:dPt>
          <c:dPt>
            <c:idx val="2"/>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5-49B9-4220-915A-1C32028F5E2E}"/>
              </c:ext>
            </c:extLst>
          </c:dPt>
          <c:dPt>
            <c:idx val="3"/>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07-49B9-4220-915A-1C32028F5E2E}"/>
              </c:ext>
            </c:extLst>
          </c:dPt>
          <c:dPt>
            <c:idx val="4"/>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09-49B9-4220-915A-1C32028F5E2E}"/>
              </c:ext>
            </c:extLst>
          </c:dPt>
          <c:dPt>
            <c:idx val="5"/>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0B-49B9-4220-915A-1C32028F5E2E}"/>
              </c:ext>
            </c:extLst>
          </c:dPt>
          <c:dPt>
            <c:idx val="6"/>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0D-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محوطه!$I$12:$I$18</c:f>
              <c:numCache>
                <c:formatCode>#,##0_ ;[Red]\-#,##0\ </c:formatCode>
                <c:ptCount val="7"/>
                <c:pt idx="0">
                  <c:v>5228.6000000000004</c:v>
                </c:pt>
                <c:pt idx="1">
                  <c:v>3274.24</c:v>
                </c:pt>
                <c:pt idx="2">
                  <c:v>730</c:v>
                </c:pt>
                <c:pt idx="3">
                  <c:v>749.54880000000003</c:v>
                </c:pt>
                <c:pt idx="4">
                  <c:v>2040.4384</c:v>
                </c:pt>
                <c:pt idx="5">
                  <c:v>1249.2479999999998</c:v>
                </c:pt>
                <c:pt idx="6">
                  <c:v>468</c:v>
                </c:pt>
              </c:numCache>
            </c:numRef>
          </c:val>
          <c:extLst>
            <c:ext xmlns:c16="http://schemas.microsoft.com/office/drawing/2014/chart" uri="{C3380CC4-5D6E-409C-BE32-E72D297353CC}">
              <c16:uniqueId val="{0000000E-49B9-4220-915A-1C32028F5E2E}"/>
            </c:ext>
          </c:extLst>
        </c:ser>
        <c:ser>
          <c:idx val="1"/>
          <c:order val="1"/>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0-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محوطه!$I$13</c:f>
              <c:numCache>
                <c:formatCode>#,##0_ ;[Red]\-#,##0\ </c:formatCode>
                <c:ptCount val="1"/>
                <c:pt idx="0">
                  <c:v>3274.24</c:v>
                </c:pt>
              </c:numCache>
            </c:numRef>
          </c:val>
          <c:extLst>
            <c:ext xmlns:c16="http://schemas.microsoft.com/office/drawing/2014/chart" uri="{C3380CC4-5D6E-409C-BE32-E72D297353CC}">
              <c16:uniqueId val="{00000011-49B9-4220-915A-1C32028F5E2E}"/>
            </c:ext>
          </c:extLst>
        </c:ser>
        <c:ser>
          <c:idx val="2"/>
          <c:order val="2"/>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3-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محوطه!$I$14</c:f>
              <c:numCache>
                <c:formatCode>#,##0_ ;[Red]\-#,##0\ </c:formatCode>
                <c:ptCount val="1"/>
                <c:pt idx="0">
                  <c:v>730</c:v>
                </c:pt>
              </c:numCache>
            </c:numRef>
          </c:val>
          <c:extLst>
            <c:ext xmlns:c16="http://schemas.microsoft.com/office/drawing/2014/chart" uri="{C3380CC4-5D6E-409C-BE32-E72D297353CC}">
              <c16:uniqueId val="{00000014-49B9-4220-915A-1C32028F5E2E}"/>
            </c:ext>
          </c:extLst>
        </c:ser>
        <c:ser>
          <c:idx val="3"/>
          <c:order val="3"/>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6-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محوطه!$I$15</c:f>
              <c:numCache>
                <c:formatCode>#,##0_ ;[Red]\-#,##0\ </c:formatCode>
                <c:ptCount val="1"/>
                <c:pt idx="0">
                  <c:v>749.54880000000003</c:v>
                </c:pt>
              </c:numCache>
            </c:numRef>
          </c:val>
          <c:extLst>
            <c:ext xmlns:c16="http://schemas.microsoft.com/office/drawing/2014/chart" uri="{C3380CC4-5D6E-409C-BE32-E72D297353CC}">
              <c16:uniqueId val="{00000017-49B9-4220-915A-1C32028F5E2E}"/>
            </c:ext>
          </c:extLst>
        </c:ser>
        <c:ser>
          <c:idx val="4"/>
          <c:order val="4"/>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9-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محوطه!$I$16</c:f>
              <c:numCache>
                <c:formatCode>#,##0_ ;[Red]\-#,##0\ </c:formatCode>
                <c:ptCount val="1"/>
                <c:pt idx="0">
                  <c:v>2040.4384</c:v>
                </c:pt>
              </c:numCache>
            </c:numRef>
          </c:val>
          <c:extLst>
            <c:ext xmlns:c16="http://schemas.microsoft.com/office/drawing/2014/chart" uri="{C3380CC4-5D6E-409C-BE32-E72D297353CC}">
              <c16:uniqueId val="{0000001A-49B9-4220-915A-1C32028F5E2E}"/>
            </c:ext>
          </c:extLst>
        </c:ser>
        <c:ser>
          <c:idx val="5"/>
          <c:order val="5"/>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C-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محوطه!$I$17</c:f>
              <c:numCache>
                <c:formatCode>#,##0_ ;[Red]\-#,##0\ </c:formatCode>
                <c:ptCount val="1"/>
                <c:pt idx="0">
                  <c:v>1249.2479999999998</c:v>
                </c:pt>
              </c:numCache>
            </c:numRef>
          </c:val>
          <c:extLst>
            <c:ext xmlns:c16="http://schemas.microsoft.com/office/drawing/2014/chart" uri="{C3380CC4-5D6E-409C-BE32-E72D297353CC}">
              <c16:uniqueId val="{0000001D-49B9-4220-915A-1C32028F5E2E}"/>
            </c:ext>
          </c:extLst>
        </c:ser>
        <c:ser>
          <c:idx val="6"/>
          <c:order val="6"/>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F-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محوطه!$I$18</c:f>
              <c:numCache>
                <c:formatCode>#,##0_ ;[Red]\-#,##0\ </c:formatCode>
                <c:ptCount val="1"/>
                <c:pt idx="0">
                  <c:v>468</c:v>
                </c:pt>
              </c:numCache>
            </c:numRef>
          </c:val>
          <c:extLst>
            <c:ext xmlns:c16="http://schemas.microsoft.com/office/drawing/2014/chart" uri="{C3380CC4-5D6E-409C-BE32-E72D297353CC}">
              <c16:uniqueId val="{00000020-49B9-4220-915A-1C32028F5E2E}"/>
            </c:ext>
          </c:extLst>
        </c:ser>
        <c:ser>
          <c:idx val="7"/>
          <c:order val="7"/>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22-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محوطه!#REF!</c:f>
              <c:numCache>
                <c:formatCode>0</c:formatCode>
                <c:ptCount val="1"/>
                <c:pt idx="0">
                  <c:v>1</c:v>
                </c:pt>
              </c:numCache>
            </c:numRef>
          </c:val>
          <c:extLst>
            <c:ext xmlns:c16="http://schemas.microsoft.com/office/drawing/2014/chart" uri="{C3380CC4-5D6E-409C-BE32-E72D297353CC}">
              <c16:uniqueId val="{00000023-49B9-4220-915A-1C32028F5E2E}"/>
            </c:ext>
          </c:extLst>
        </c:ser>
        <c:ser>
          <c:idx val="8"/>
          <c:order val="8"/>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25-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محوطه!#REF!</c:f>
              <c:numCache>
                <c:formatCode>0</c:formatCode>
                <c:ptCount val="1"/>
                <c:pt idx="0">
                  <c:v>1</c:v>
                </c:pt>
              </c:numCache>
            </c:numRef>
          </c:val>
          <c:extLst>
            <c:ext xmlns:c16="http://schemas.microsoft.com/office/drawing/2014/chart" uri="{C3380CC4-5D6E-409C-BE32-E72D297353CC}">
              <c16:uniqueId val="{00000026-49B9-4220-915A-1C32028F5E2E}"/>
            </c:ext>
          </c:extLst>
        </c:ser>
        <c:ser>
          <c:idx val="9"/>
          <c:order val="9"/>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28-49B9-4220-915A-1C32028F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محوطه!#REF!</c:f>
              <c:numCache>
                <c:formatCode>General</c:formatCode>
                <c:ptCount val="1"/>
                <c:pt idx="0">
                  <c:v>1</c:v>
                </c:pt>
              </c:numCache>
            </c:numRef>
          </c:val>
          <c:extLst>
            <c:ext xmlns:c16="http://schemas.microsoft.com/office/drawing/2014/chart" uri="{C3380CC4-5D6E-409C-BE32-E72D297353CC}">
              <c16:uniqueId val="{00000029-49B9-4220-915A-1C32028F5E2E}"/>
            </c:ext>
          </c:extLst>
        </c:ser>
        <c:dLbls>
          <c:dLblPos val="ctr"/>
          <c:showLegendKey val="0"/>
          <c:showVal val="0"/>
          <c:showCatName val="0"/>
          <c:showSerName val="0"/>
          <c:showPercent val="1"/>
          <c:showBubbleSize val="0"/>
          <c:showLeaderLines val="1"/>
        </c:dLbls>
        <c:firstSliceAng val="360"/>
      </c:pieChart>
      <c:spPr>
        <a:noFill/>
        <a:ln>
          <a:noFill/>
        </a:ln>
        <a:effectLst/>
      </c:spPr>
    </c:plotArea>
    <c:legend>
      <c:legendPos val="l"/>
      <c:layout>
        <c:manualLayout>
          <c:xMode val="edge"/>
          <c:yMode val="edge"/>
          <c:x val="2.6007196518926506E-2"/>
          <c:y val="0.72166987861126142"/>
          <c:w val="0.96495325487999717"/>
          <c:h val="0.27213764175858318"/>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cs typeface="2  Roya" panose="00000400000000000000" pitchFamily="2" charset="-78"/>
              </a:rPr>
              <a:t>نمودار </a:t>
            </a:r>
            <a:r>
              <a:rPr lang="fa-IR" baseline="0">
                <a:cs typeface="2  Roya" panose="00000400000000000000" pitchFamily="2" charset="-78"/>
              </a:rPr>
              <a:t>پیشرفت عملیات های محوطه سازی</a:t>
            </a:r>
            <a:endParaRPr lang="en-US">
              <a:cs typeface="2  Roya" panose="00000400000000000000" pitchFamily="2" charset="-78"/>
            </a:endParaRPr>
          </a:p>
        </c:rich>
      </c:tx>
      <c:layout>
        <c:manualLayout>
          <c:xMode val="edge"/>
          <c:yMode val="edge"/>
          <c:x val="0.240575421086096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47070039483446"/>
          <c:y val="0.13562350220598546"/>
          <c:w val="0.68369247594050742"/>
          <c:h val="0.48545421405657624"/>
        </c:manualLayout>
      </c:layout>
      <c:bar3DChart>
        <c:barDir val="col"/>
        <c:grouping val="percentStacked"/>
        <c:varyColors val="0"/>
        <c:ser>
          <c:idx val="0"/>
          <c:order val="0"/>
          <c:tx>
            <c:strRef>
              <c:f>محوطه!$G$9</c:f>
              <c:strCache>
                <c:ptCount val="1"/>
                <c:pt idx="0">
                  <c:v>انجام شده </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محوطه!$G$10:$G$18</c:f>
              <c:numCache>
                <c:formatCode>#,##0_ ;[Red]\-#,##0\ </c:formatCode>
                <c:ptCount val="7"/>
                <c:pt idx="0">
                  <c:v>5228.6000000000004</c:v>
                </c:pt>
                <c:pt idx="1">
                  <c:v>3274</c:v>
                </c:pt>
                <c:pt idx="2">
                  <c:v>530</c:v>
                </c:pt>
              </c:numCache>
            </c:numRef>
          </c:val>
          <c:extLst>
            <c:ext xmlns:c16="http://schemas.microsoft.com/office/drawing/2014/chart" uri="{C3380CC4-5D6E-409C-BE32-E72D297353CC}">
              <c16:uniqueId val="{00000000-9F84-48A3-AE9B-DA973736BC94}"/>
            </c:ext>
          </c:extLst>
        </c:ser>
        <c:ser>
          <c:idx val="1"/>
          <c:order val="1"/>
          <c:tx>
            <c:strRef>
              <c:f>محوطه!$H$9</c:f>
              <c:strCache>
                <c:ptCount val="1"/>
                <c:pt idx="0">
                  <c:v>باقی مانده</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محوطه!$B$12:$B$18</c:f>
              <c:strCache>
                <c:ptCount val="7"/>
                <c:pt idx="0">
                  <c:v>تسطیح و خاکبرداری و خاکریزی</c:v>
                </c:pt>
                <c:pt idx="1">
                  <c:v>دیوار کشی محوطه و داخلی به ارتفاع 2.5 متر</c:v>
                </c:pt>
                <c:pt idx="2">
                  <c:v>درب ورودی  آهنی  و تابلو</c:v>
                </c:pt>
                <c:pt idx="3">
                  <c:v>جدول بندی و کانال کشی(متر طول)</c:v>
                </c:pt>
                <c:pt idx="4">
                  <c:v>محوطه سازی خیابان کشی /سنگ فرش و پارکینگ</c:v>
                </c:pt>
                <c:pt idx="5">
                  <c:v>فضای سبز </c:v>
                </c:pt>
                <c:pt idx="6">
                  <c:v>روشنایی و نور پردازی</c:v>
                </c:pt>
              </c:strCache>
            </c:strRef>
          </c:cat>
          <c:val>
            <c:numRef>
              <c:f>محوطه!$H$10:$H$18</c:f>
              <c:numCache>
                <c:formatCode>#,##0_ ;[Red]\-#,##0\ </c:formatCode>
                <c:ptCount val="7"/>
                <c:pt idx="0">
                  <c:v>0</c:v>
                </c:pt>
                <c:pt idx="1">
                  <c:v>0.23999999999978172</c:v>
                </c:pt>
                <c:pt idx="2">
                  <c:v>200</c:v>
                </c:pt>
                <c:pt idx="3">
                  <c:v>749.54880000000003</c:v>
                </c:pt>
                <c:pt idx="4">
                  <c:v>2040.4384</c:v>
                </c:pt>
                <c:pt idx="5">
                  <c:v>1249.2479999999998</c:v>
                </c:pt>
                <c:pt idx="6">
                  <c:v>468</c:v>
                </c:pt>
              </c:numCache>
            </c:numRef>
          </c:val>
          <c:extLst>
            <c:ext xmlns:c16="http://schemas.microsoft.com/office/drawing/2014/chart" uri="{C3380CC4-5D6E-409C-BE32-E72D297353CC}">
              <c16:uniqueId val="{00000001-9F84-48A3-AE9B-DA973736BC94}"/>
            </c:ext>
          </c:extLst>
        </c:ser>
        <c:dLbls>
          <c:showLegendKey val="0"/>
          <c:showVal val="1"/>
          <c:showCatName val="0"/>
          <c:showSerName val="0"/>
          <c:showPercent val="0"/>
          <c:showBubbleSize val="0"/>
        </c:dLbls>
        <c:gapWidth val="150"/>
        <c:shape val="box"/>
        <c:axId val="285452760"/>
        <c:axId val="285511896"/>
        <c:axId val="0"/>
      </c:bar3DChart>
      <c:catAx>
        <c:axId val="285452760"/>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11896"/>
        <c:crosses val="autoZero"/>
        <c:auto val="1"/>
        <c:lblAlgn val="ctr"/>
        <c:lblOffset val="100"/>
        <c:noMultiLvlLbl val="0"/>
      </c:catAx>
      <c:valAx>
        <c:axId val="285511896"/>
        <c:scaling>
          <c:orientation val="minMax"/>
        </c:scaling>
        <c:delete val="0"/>
        <c:axPos val="r"/>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527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fa-IR"/>
              <a:t>نمودار پیشرفت ابنیه</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ساختمان!$G$9</c:f>
              <c:strCache>
                <c:ptCount val="1"/>
                <c:pt idx="0">
                  <c:v>انجام شده </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ساختمان!$B$10:$B$13</c:f>
              <c:strCache>
                <c:ptCount val="4"/>
                <c:pt idx="0">
                  <c:v>سالن تولید و انبار ها -سوله صنعتی</c:v>
                </c:pt>
                <c:pt idx="1">
                  <c:v>ساختمان اداری</c:v>
                </c:pt>
                <c:pt idx="2">
                  <c:v>ساختمان کارگری</c:v>
                </c:pt>
                <c:pt idx="3">
                  <c:v>ساختمان تاسیسات</c:v>
                </c:pt>
              </c:strCache>
            </c:strRef>
          </c:cat>
          <c:val>
            <c:numRef>
              <c:f>ساختمان!$G$10:$G$13</c:f>
              <c:numCache>
                <c:formatCode>_-* #,##0_-;_-* #,##0\-;_-* "-"??_-;_-@_-</c:formatCode>
                <c:ptCount val="4"/>
                <c:pt idx="0">
                  <c:v>217500</c:v>
                </c:pt>
                <c:pt idx="1">
                  <c:v>39440</c:v>
                </c:pt>
                <c:pt idx="2">
                  <c:v>10000</c:v>
                </c:pt>
                <c:pt idx="3">
                  <c:v>1800</c:v>
                </c:pt>
              </c:numCache>
            </c:numRef>
          </c:val>
          <c:extLst>
            <c:ext xmlns:c16="http://schemas.microsoft.com/office/drawing/2014/chart" uri="{C3380CC4-5D6E-409C-BE32-E72D297353CC}">
              <c16:uniqueId val="{00000000-B9D7-4D5D-A48A-575FF43B5709}"/>
            </c:ext>
          </c:extLst>
        </c:ser>
        <c:ser>
          <c:idx val="1"/>
          <c:order val="1"/>
          <c:tx>
            <c:strRef>
              <c:f>ساختمان!$H$9</c:f>
              <c:strCache>
                <c:ptCount val="1"/>
                <c:pt idx="0">
                  <c:v>باقی مانده</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ساختمان!$B$10:$B$13</c:f>
              <c:strCache>
                <c:ptCount val="4"/>
                <c:pt idx="0">
                  <c:v>سالن تولید و انبار ها -سوله صنعتی</c:v>
                </c:pt>
                <c:pt idx="1">
                  <c:v>ساختمان اداری</c:v>
                </c:pt>
                <c:pt idx="2">
                  <c:v>ساختمان کارگری</c:v>
                </c:pt>
                <c:pt idx="3">
                  <c:v>ساختمان تاسیسات</c:v>
                </c:pt>
              </c:strCache>
            </c:strRef>
          </c:cat>
          <c:val>
            <c:numRef>
              <c:f>ساختمان!$H$10:$H$13</c:f>
              <c:numCache>
                <c:formatCode>_-* #,##0_-;_-* #,##0\-;_-* "-"??_-;_-@_-</c:formatCode>
                <c:ptCount val="4"/>
                <c:pt idx="0">
                  <c:v>100000</c:v>
                </c:pt>
                <c:pt idx="1">
                  <c:v>30000</c:v>
                </c:pt>
                <c:pt idx="2">
                  <c:v>8120</c:v>
                </c:pt>
                <c:pt idx="3">
                  <c:v>9000</c:v>
                </c:pt>
              </c:numCache>
            </c:numRef>
          </c:val>
          <c:extLst>
            <c:ext xmlns:c16="http://schemas.microsoft.com/office/drawing/2014/chart" uri="{C3380CC4-5D6E-409C-BE32-E72D297353CC}">
              <c16:uniqueId val="{00000001-B9D7-4D5D-A48A-575FF43B5709}"/>
            </c:ext>
          </c:extLst>
        </c:ser>
        <c:dLbls>
          <c:showLegendKey val="0"/>
          <c:showVal val="1"/>
          <c:showCatName val="0"/>
          <c:showSerName val="0"/>
          <c:showPercent val="0"/>
          <c:showBubbleSize val="0"/>
        </c:dLbls>
        <c:gapWidth val="150"/>
        <c:shape val="box"/>
        <c:axId val="285613456"/>
        <c:axId val="285569248"/>
        <c:axId val="0"/>
      </c:bar3DChart>
      <c:catAx>
        <c:axId val="285613456"/>
        <c:scaling>
          <c:orientation val="maxMin"/>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69248"/>
        <c:crosses val="autoZero"/>
        <c:auto val="1"/>
        <c:lblAlgn val="ctr"/>
        <c:lblOffset val="100"/>
        <c:noMultiLvlLbl val="0"/>
      </c:catAx>
      <c:valAx>
        <c:axId val="285569248"/>
        <c:scaling>
          <c:orientation val="minMax"/>
        </c:scaling>
        <c:delete val="0"/>
        <c:axPos val="r"/>
        <c:majorGridlines>
          <c:spPr>
            <a:ln>
              <a:solidFill>
                <a:schemeClr val="tx1">
                  <a:lumMod val="15000"/>
                  <a:lumOff val="85000"/>
                </a:schemeClr>
              </a:solidFill>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134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fa-IR"/>
              <a:t>نمودار پیشرفت تاسیسات</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تاسیسات!$G$8</c:f>
              <c:strCache>
                <c:ptCount val="1"/>
                <c:pt idx="0">
                  <c:v>انجام شده </c:v>
                </c:pt>
              </c:strCache>
            </c:strRef>
          </c:tx>
          <c:spPr>
            <a:solidFill>
              <a:schemeClr val="accent1"/>
            </a:solidFill>
            <a:ln>
              <a:noFill/>
            </a:ln>
            <a:effectLst/>
            <a:sp3d/>
          </c:spPr>
          <c:invertIfNegative val="0"/>
          <c:cat>
            <c:strRef>
              <c:extLst>
                <c:ext xmlns:c15="http://schemas.microsoft.com/office/drawing/2012/chart" uri="{02D57815-91ED-43cb-92C2-25804820EDAC}">
                  <c15:fullRef>
                    <c15:sqref>تاسیسات!$B$9:$B$17</c15:sqref>
                  </c15:fullRef>
                </c:ext>
              </c:extLst>
              <c:f>تاسیسات!$B$9:$B$17</c:f>
              <c:strCache>
                <c:ptCount val="9"/>
                <c:pt idx="0">
                  <c:v>گاز رسانی-انشعاب و انتقال</c:v>
                </c:pt>
                <c:pt idx="1">
                  <c:v>برق رسانی - انشعاب و انتقال</c:v>
                </c:pt>
                <c:pt idx="2">
                  <c:v>آبرسانی -لوله کشی و اتصالات -پمپ و مخازن </c:v>
                </c:pt>
                <c:pt idx="3">
                  <c:v>سرمایش و گرمایش اداری</c:v>
                </c:pt>
                <c:pt idx="4">
                  <c:v>سرمایش و گرمایش و تهویه صنعتی</c:v>
                </c:pt>
                <c:pt idx="5">
                  <c:v>سیستم اطفای حریق (کسپول و آب)</c:v>
                </c:pt>
                <c:pt idx="6">
                  <c:v>سیستم امنیتی</c:v>
                </c:pt>
                <c:pt idx="7">
                  <c:v>تصفیه خانه /فاضلاب بهداشتی</c:v>
                </c:pt>
                <c:pt idx="8">
                  <c:v>ارتباطات</c:v>
                </c:pt>
              </c:strCache>
            </c:strRef>
          </c:cat>
          <c:val>
            <c:numRef>
              <c:extLst>
                <c:ext xmlns:c15="http://schemas.microsoft.com/office/drawing/2012/chart" uri="{02D57815-91ED-43cb-92C2-25804820EDAC}">
                  <c15:fullRef>
                    <c15:sqref>تاسیسات!$G$9:$G$18</c15:sqref>
                  </c15:fullRef>
                </c:ext>
              </c:extLst>
              <c:f>تاسیسات!$G$9:$G$17</c:f>
              <c:numCache>
                <c:formatCode>#,##0_ ;[Red]\-#,##0\ </c:formatCode>
                <c:ptCount val="9"/>
                <c:pt idx="0">
                  <c:v>350</c:v>
                </c:pt>
                <c:pt idx="1">
                  <c:v>2200</c:v>
                </c:pt>
                <c:pt idx="2">
                  <c:v>260</c:v>
                </c:pt>
              </c:numCache>
            </c:numRef>
          </c:val>
          <c:extLst>
            <c:ext xmlns:c16="http://schemas.microsoft.com/office/drawing/2014/chart" uri="{C3380CC4-5D6E-409C-BE32-E72D297353CC}">
              <c16:uniqueId val="{00000000-49E7-4162-A460-5126992BBF38}"/>
            </c:ext>
          </c:extLst>
        </c:ser>
        <c:ser>
          <c:idx val="1"/>
          <c:order val="1"/>
          <c:tx>
            <c:strRef>
              <c:f>تاسیسات!$H$8</c:f>
              <c:strCache>
                <c:ptCount val="1"/>
                <c:pt idx="0">
                  <c:v>باقی مانده</c:v>
                </c:pt>
              </c:strCache>
            </c:strRef>
          </c:tx>
          <c:spPr>
            <a:solidFill>
              <a:schemeClr val="accent2"/>
            </a:solidFill>
            <a:ln>
              <a:noFill/>
            </a:ln>
            <a:effectLst/>
            <a:sp3d/>
          </c:spPr>
          <c:invertIfNegative val="0"/>
          <c:cat>
            <c:strRef>
              <c:extLst>
                <c:ext xmlns:c15="http://schemas.microsoft.com/office/drawing/2012/chart" uri="{02D57815-91ED-43cb-92C2-25804820EDAC}">
                  <c15:fullRef>
                    <c15:sqref>تاسیسات!$B$9:$B$17</c15:sqref>
                  </c15:fullRef>
                </c:ext>
              </c:extLst>
              <c:f>تاسیسات!$B$9:$B$17</c:f>
              <c:strCache>
                <c:ptCount val="9"/>
                <c:pt idx="0">
                  <c:v>گاز رسانی-انشعاب و انتقال</c:v>
                </c:pt>
                <c:pt idx="1">
                  <c:v>برق رسانی - انشعاب و انتقال</c:v>
                </c:pt>
                <c:pt idx="2">
                  <c:v>آبرسانی -لوله کشی و اتصالات -پمپ و مخازن </c:v>
                </c:pt>
                <c:pt idx="3">
                  <c:v>سرمایش و گرمایش اداری</c:v>
                </c:pt>
                <c:pt idx="4">
                  <c:v>سرمایش و گرمایش و تهویه صنعتی</c:v>
                </c:pt>
                <c:pt idx="5">
                  <c:v>سیستم اطفای حریق (کسپول و آب)</c:v>
                </c:pt>
                <c:pt idx="6">
                  <c:v>سیستم امنیتی</c:v>
                </c:pt>
                <c:pt idx="7">
                  <c:v>تصفیه خانه /فاضلاب بهداشتی</c:v>
                </c:pt>
                <c:pt idx="8">
                  <c:v>ارتباطات</c:v>
                </c:pt>
              </c:strCache>
            </c:strRef>
          </c:cat>
          <c:val>
            <c:numRef>
              <c:extLst>
                <c:ext xmlns:c15="http://schemas.microsoft.com/office/drawing/2012/chart" uri="{02D57815-91ED-43cb-92C2-25804820EDAC}">
                  <c15:fullRef>
                    <c15:sqref>تاسیسات!$H$9:$H$18</c15:sqref>
                  </c15:fullRef>
                </c:ext>
              </c:extLst>
              <c:f>تاسیسات!$H$9:$H$17</c:f>
              <c:numCache>
                <c:formatCode>0</c:formatCode>
                <c:ptCount val="9"/>
                <c:pt idx="0">
                  <c:v>1450</c:v>
                </c:pt>
                <c:pt idx="1">
                  <c:v>4200</c:v>
                </c:pt>
                <c:pt idx="2">
                  <c:v>600</c:v>
                </c:pt>
                <c:pt idx="3">
                  <c:v>900</c:v>
                </c:pt>
                <c:pt idx="4">
                  <c:v>10200</c:v>
                </c:pt>
                <c:pt idx="5">
                  <c:v>2800</c:v>
                </c:pt>
                <c:pt idx="6">
                  <c:v>6200</c:v>
                </c:pt>
                <c:pt idx="7">
                  <c:v>0</c:v>
                </c:pt>
                <c:pt idx="8">
                  <c:v>350</c:v>
                </c:pt>
              </c:numCache>
            </c:numRef>
          </c:val>
          <c:extLst>
            <c:ext xmlns:c16="http://schemas.microsoft.com/office/drawing/2014/chart" uri="{C3380CC4-5D6E-409C-BE32-E72D297353CC}">
              <c16:uniqueId val="{00000001-49E7-4162-A460-5126992BBF38}"/>
            </c:ext>
          </c:extLst>
        </c:ser>
        <c:dLbls>
          <c:showLegendKey val="0"/>
          <c:showVal val="0"/>
          <c:showCatName val="0"/>
          <c:showSerName val="0"/>
          <c:showPercent val="0"/>
          <c:showBubbleSize val="0"/>
        </c:dLbls>
        <c:gapWidth val="150"/>
        <c:shape val="box"/>
        <c:axId val="283677488"/>
        <c:axId val="285582304"/>
        <c:axId val="0"/>
      </c:bar3DChart>
      <c:catAx>
        <c:axId val="283677488"/>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5582304"/>
        <c:crosses val="autoZero"/>
        <c:auto val="1"/>
        <c:lblAlgn val="ctr"/>
        <c:lblOffset val="100"/>
        <c:noMultiLvlLbl val="0"/>
      </c:catAx>
      <c:valAx>
        <c:axId val="285582304"/>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7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cs typeface="2  Roya" panose="00000400000000000000" pitchFamily="2" charset="-78"/>
              </a:rPr>
              <a:t>پیشرفت عملیات</a:t>
            </a:r>
            <a:r>
              <a:rPr lang="fa-IR" baseline="0">
                <a:cs typeface="2  Roya" panose="00000400000000000000" pitchFamily="2" charset="-78"/>
              </a:rPr>
              <a:t> قبل از بهره برداری</a:t>
            </a:r>
            <a:endParaRPr lang="en-US">
              <a:cs typeface="2  Roya" panose="00000400000000000000" pitchFamily="2" charset="-7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'قبل از'!$E$6</c:f>
              <c:strCache>
                <c:ptCount val="1"/>
                <c:pt idx="0">
                  <c:v>انجام شده</c:v>
                </c:pt>
              </c:strCache>
            </c:strRef>
          </c:tx>
          <c:spPr>
            <a:solidFill>
              <a:schemeClr val="accent1"/>
            </a:solidFill>
            <a:ln>
              <a:noFill/>
            </a:ln>
            <a:effectLst/>
            <a:sp3d/>
          </c:spPr>
          <c:invertIfNegative val="0"/>
          <c:cat>
            <c:strRef>
              <c:f>'قبل از'!$B$7:$B$14</c:f>
              <c:strCache>
                <c:ptCount val="8"/>
                <c:pt idx="0">
                  <c:v>هزینه مطالعات پیش از سرمایه گذاری</c:v>
                </c:pt>
                <c:pt idx="1">
                  <c:v>هزینه های تحقیقات میدانی</c:v>
                </c:pt>
                <c:pt idx="2">
                  <c:v>هزینه های ثبت شرکت و برند - مجوزات مربوطه</c:v>
                </c:pt>
                <c:pt idx="3">
                  <c:v>هزینه های سازماندهی پروژه</c:v>
                </c:pt>
                <c:pt idx="4">
                  <c:v>هزینه های اخذ تکنولوژی-دارایی نامشهود "پیوست"</c:v>
                </c:pt>
                <c:pt idx="5">
                  <c:v>هزینه های مهندسی تفصیلی-طراحی و مجوزات </c:v>
                </c:pt>
                <c:pt idx="6">
                  <c:v>هزینه های بازاریابی قبل از بهره برداری</c:v>
                </c:pt>
                <c:pt idx="7">
                  <c:v> سایر (آموزش پرسنل ،کارگاه های تخصصی توسط شرکت های مشاور خارجی و اخذ استاندارد)</c:v>
                </c:pt>
              </c:strCache>
            </c:strRef>
          </c:cat>
          <c:val>
            <c:numRef>
              <c:f>'قبل از'!$E$7:$E$14</c:f>
              <c:numCache>
                <c:formatCode>General</c:formatCode>
                <c:ptCount val="8"/>
                <c:pt idx="0">
                  <c:v>250</c:v>
                </c:pt>
                <c:pt idx="1">
                  <c:v>1500</c:v>
                </c:pt>
                <c:pt idx="2">
                  <c:v>300</c:v>
                </c:pt>
                <c:pt idx="3">
                  <c:v>1500</c:v>
                </c:pt>
                <c:pt idx="4">
                  <c:v>0</c:v>
                </c:pt>
                <c:pt idx="5">
                  <c:v>0</c:v>
                </c:pt>
                <c:pt idx="6">
                  <c:v>0</c:v>
                </c:pt>
              </c:numCache>
            </c:numRef>
          </c:val>
          <c:extLst>
            <c:ext xmlns:c16="http://schemas.microsoft.com/office/drawing/2014/chart" uri="{C3380CC4-5D6E-409C-BE32-E72D297353CC}">
              <c16:uniqueId val="{00000000-12BA-4292-B1D2-F7E2A62A0375}"/>
            </c:ext>
          </c:extLst>
        </c:ser>
        <c:ser>
          <c:idx val="1"/>
          <c:order val="1"/>
          <c:tx>
            <c:strRef>
              <c:f>'قبل از'!$F$6</c:f>
              <c:strCache>
                <c:ptCount val="1"/>
                <c:pt idx="0">
                  <c:v>باقی مانده</c:v>
                </c:pt>
              </c:strCache>
            </c:strRef>
          </c:tx>
          <c:spPr>
            <a:solidFill>
              <a:schemeClr val="accent2"/>
            </a:solidFill>
            <a:ln>
              <a:noFill/>
            </a:ln>
            <a:effectLst/>
            <a:sp3d/>
          </c:spPr>
          <c:invertIfNegative val="0"/>
          <c:cat>
            <c:strRef>
              <c:f>'قبل از'!$B$7:$B$14</c:f>
              <c:strCache>
                <c:ptCount val="8"/>
                <c:pt idx="0">
                  <c:v>هزینه مطالعات پیش از سرمایه گذاری</c:v>
                </c:pt>
                <c:pt idx="1">
                  <c:v>هزینه های تحقیقات میدانی</c:v>
                </c:pt>
                <c:pt idx="2">
                  <c:v>هزینه های ثبت شرکت و برند - مجوزات مربوطه</c:v>
                </c:pt>
                <c:pt idx="3">
                  <c:v>هزینه های سازماندهی پروژه</c:v>
                </c:pt>
                <c:pt idx="4">
                  <c:v>هزینه های اخذ تکنولوژی-دارایی نامشهود "پیوست"</c:v>
                </c:pt>
                <c:pt idx="5">
                  <c:v>هزینه های مهندسی تفصیلی-طراحی و مجوزات </c:v>
                </c:pt>
                <c:pt idx="6">
                  <c:v>هزینه های بازاریابی قبل از بهره برداری</c:v>
                </c:pt>
                <c:pt idx="7">
                  <c:v> سایر (آموزش پرسنل ،کارگاه های تخصصی توسط شرکت های مشاور خارجی و اخذ استاندارد)</c:v>
                </c:pt>
              </c:strCache>
            </c:strRef>
          </c:cat>
          <c:val>
            <c:numRef>
              <c:f>'قبل از'!$F$7:$F$14</c:f>
              <c:numCache>
                <c:formatCode>General</c:formatCode>
                <c:ptCount val="8"/>
                <c:pt idx="0">
                  <c:v>500</c:v>
                </c:pt>
                <c:pt idx="1">
                  <c:v>0</c:v>
                </c:pt>
                <c:pt idx="2">
                  <c:v>0</c:v>
                </c:pt>
                <c:pt idx="3">
                  <c:v>1000</c:v>
                </c:pt>
                <c:pt idx="4">
                  <c:v>0</c:v>
                </c:pt>
                <c:pt idx="5">
                  <c:v>0</c:v>
                </c:pt>
                <c:pt idx="6">
                  <c:v>900</c:v>
                </c:pt>
                <c:pt idx="7">
                  <c:v>860</c:v>
                </c:pt>
              </c:numCache>
            </c:numRef>
          </c:val>
          <c:extLst>
            <c:ext xmlns:c16="http://schemas.microsoft.com/office/drawing/2014/chart" uri="{C3380CC4-5D6E-409C-BE32-E72D297353CC}">
              <c16:uniqueId val="{00000001-12BA-4292-B1D2-F7E2A62A0375}"/>
            </c:ext>
          </c:extLst>
        </c:ser>
        <c:dLbls>
          <c:showLegendKey val="0"/>
          <c:showVal val="0"/>
          <c:showCatName val="0"/>
          <c:showSerName val="0"/>
          <c:showPercent val="0"/>
          <c:showBubbleSize val="0"/>
        </c:dLbls>
        <c:gapWidth val="150"/>
        <c:shape val="box"/>
        <c:axId val="286506368"/>
        <c:axId val="286506760"/>
        <c:axId val="0"/>
      </c:bar3DChart>
      <c:catAx>
        <c:axId val="286506368"/>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06760"/>
        <c:crosses val="autoZero"/>
        <c:auto val="1"/>
        <c:lblAlgn val="ctr"/>
        <c:lblOffset val="100"/>
        <c:noMultiLvlLbl val="0"/>
      </c:catAx>
      <c:valAx>
        <c:axId val="28650676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06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cs typeface="2  Roya" panose="00000400000000000000" pitchFamily="2" charset="-78"/>
              </a:rPr>
              <a:t>سرمایه گذاری ثابت طرح</a:t>
            </a:r>
            <a:endParaRPr lang="en-US">
              <a:cs typeface="2  Roya" panose="00000400000000000000" pitchFamily="2" charset="-7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'جمع سرمایه ثابت'!$E$7</c:f>
              <c:strCache>
                <c:ptCount val="1"/>
                <c:pt idx="0">
                  <c:v>انجام شده</c:v>
                </c:pt>
              </c:strCache>
            </c:strRef>
          </c:tx>
          <c:spPr>
            <a:solidFill>
              <a:schemeClr val="accent1"/>
            </a:solidFill>
            <a:ln>
              <a:noFill/>
            </a:ln>
            <a:effectLst/>
            <a:sp3d/>
          </c:spPr>
          <c:invertIfNegative val="0"/>
          <c:cat>
            <c:strRef>
              <c:f>'جمع سرمایه ثابت'!$A$8:$A$17</c:f>
              <c:strCache>
                <c:ptCount val="10"/>
                <c:pt idx="0">
                  <c:v>زمین</c:v>
                </c:pt>
                <c:pt idx="1">
                  <c:v>محوطه سازی</c:v>
                </c:pt>
                <c:pt idx="2">
                  <c:v>ساختمان سازی</c:v>
                </c:pt>
                <c:pt idx="3">
                  <c:v>ماشین آلات و تجهیزات</c:v>
                </c:pt>
                <c:pt idx="4">
                  <c:v>تأسیسات</c:v>
                </c:pt>
                <c:pt idx="5">
                  <c:v>وسائط نقلیه</c:v>
                </c:pt>
                <c:pt idx="6">
                  <c:v>اثاثه و لوازم اداری</c:v>
                </c:pt>
                <c:pt idx="7">
                  <c:v>لوازم آزمایشگاهی</c:v>
                </c:pt>
                <c:pt idx="8">
                  <c:v>هزینه های قبل از بهره برداری</c:v>
                </c:pt>
                <c:pt idx="9">
                  <c:v>هزینه های پیش بینی نشده</c:v>
                </c:pt>
              </c:strCache>
            </c:strRef>
          </c:cat>
          <c:val>
            <c:numRef>
              <c:f>'جمع سرمایه ثابت'!$E$8:$E$17</c:f>
              <c:numCache>
                <c:formatCode>0%</c:formatCode>
                <c:ptCount val="10"/>
                <c:pt idx="0">
                  <c:v>0.99999650698951403</c:v>
                </c:pt>
                <c:pt idx="1">
                  <c:v>0.65739087075738867</c:v>
                </c:pt>
                <c:pt idx="2">
                  <c:v>0.64622709565719227</c:v>
                </c:pt>
                <c:pt idx="3">
                  <c:v>0</c:v>
                </c:pt>
                <c:pt idx="4">
                  <c:v>9.5221958658082001E-2</c:v>
                </c:pt>
                <c:pt idx="5">
                  <c:v>0</c:v>
                </c:pt>
                <c:pt idx="6">
                  <c:v>0</c:v>
                </c:pt>
                <c:pt idx="7">
                  <c:v>0</c:v>
                </c:pt>
                <c:pt idx="8">
                  <c:v>0.52129221732745967</c:v>
                </c:pt>
                <c:pt idx="9">
                  <c:v>0</c:v>
                </c:pt>
              </c:numCache>
            </c:numRef>
          </c:val>
          <c:extLst>
            <c:ext xmlns:c16="http://schemas.microsoft.com/office/drawing/2014/chart" uri="{C3380CC4-5D6E-409C-BE32-E72D297353CC}">
              <c16:uniqueId val="{00000000-E900-4012-A288-43FC696E11F1}"/>
            </c:ext>
          </c:extLst>
        </c:ser>
        <c:ser>
          <c:idx val="1"/>
          <c:order val="1"/>
          <c:tx>
            <c:strRef>
              <c:f>'جمع سرمایه ثابت'!$F$7</c:f>
              <c:strCache>
                <c:ptCount val="1"/>
                <c:pt idx="0">
                  <c:v>مانده</c:v>
                </c:pt>
              </c:strCache>
            </c:strRef>
          </c:tx>
          <c:spPr>
            <a:solidFill>
              <a:schemeClr val="accent2"/>
            </a:solidFill>
            <a:ln>
              <a:noFill/>
            </a:ln>
            <a:effectLst/>
            <a:sp3d/>
          </c:spPr>
          <c:invertIfNegative val="0"/>
          <c:cat>
            <c:strRef>
              <c:f>'جمع سرمایه ثابت'!$A$8:$A$17</c:f>
              <c:strCache>
                <c:ptCount val="10"/>
                <c:pt idx="0">
                  <c:v>زمین</c:v>
                </c:pt>
                <c:pt idx="1">
                  <c:v>محوطه سازی</c:v>
                </c:pt>
                <c:pt idx="2">
                  <c:v>ساختمان سازی</c:v>
                </c:pt>
                <c:pt idx="3">
                  <c:v>ماشین آلات و تجهیزات</c:v>
                </c:pt>
                <c:pt idx="4">
                  <c:v>تأسیسات</c:v>
                </c:pt>
                <c:pt idx="5">
                  <c:v>وسائط نقلیه</c:v>
                </c:pt>
                <c:pt idx="6">
                  <c:v>اثاثه و لوازم اداری</c:v>
                </c:pt>
                <c:pt idx="7">
                  <c:v>لوازم آزمایشگاهی</c:v>
                </c:pt>
                <c:pt idx="8">
                  <c:v>هزینه های قبل از بهره برداری</c:v>
                </c:pt>
                <c:pt idx="9">
                  <c:v>هزینه های پیش بینی نشده</c:v>
                </c:pt>
              </c:strCache>
            </c:strRef>
          </c:cat>
          <c:val>
            <c:numRef>
              <c:f>'جمع سرمایه ثابت'!$F$8:$F$17</c:f>
              <c:numCache>
                <c:formatCode>0%</c:formatCode>
                <c:ptCount val="10"/>
                <c:pt idx="0">
                  <c:v>3.4930104859666493E-6</c:v>
                </c:pt>
                <c:pt idx="1">
                  <c:v>0.34260912924261144</c:v>
                </c:pt>
                <c:pt idx="2">
                  <c:v>0.35377290434280767</c:v>
                </c:pt>
                <c:pt idx="3">
                  <c:v>1</c:v>
                </c:pt>
                <c:pt idx="4">
                  <c:v>0.90477804134191797</c:v>
                </c:pt>
                <c:pt idx="5">
                  <c:v>0</c:v>
                </c:pt>
                <c:pt idx="6">
                  <c:v>1</c:v>
                </c:pt>
                <c:pt idx="7">
                  <c:v>0</c:v>
                </c:pt>
                <c:pt idx="8">
                  <c:v>0.47870778267254038</c:v>
                </c:pt>
                <c:pt idx="9">
                  <c:v>1</c:v>
                </c:pt>
              </c:numCache>
            </c:numRef>
          </c:val>
          <c:extLst>
            <c:ext xmlns:c16="http://schemas.microsoft.com/office/drawing/2014/chart" uri="{C3380CC4-5D6E-409C-BE32-E72D297353CC}">
              <c16:uniqueId val="{00000001-E900-4012-A288-43FC696E11F1}"/>
            </c:ext>
          </c:extLst>
        </c:ser>
        <c:dLbls>
          <c:showLegendKey val="0"/>
          <c:showVal val="0"/>
          <c:showCatName val="0"/>
          <c:showSerName val="0"/>
          <c:showPercent val="0"/>
          <c:showBubbleSize val="0"/>
        </c:dLbls>
        <c:gapWidth val="150"/>
        <c:shape val="box"/>
        <c:axId val="286507544"/>
        <c:axId val="286507936"/>
        <c:axId val="0"/>
      </c:bar3DChart>
      <c:catAx>
        <c:axId val="286507544"/>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07936"/>
        <c:crosses val="autoZero"/>
        <c:auto val="1"/>
        <c:lblAlgn val="ctr"/>
        <c:lblOffset val="100"/>
        <c:noMultiLvlLbl val="0"/>
      </c:catAx>
      <c:valAx>
        <c:axId val="286507936"/>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07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5.jpeg"/></Relationships>
</file>

<file path=xl/drawings/_rels/drawing1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6.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chart" Target="../charts/chart16.xml"/><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xdr:from>
      <xdr:col>1</xdr:col>
      <xdr:colOff>428625</xdr:colOff>
      <xdr:row>47</xdr:row>
      <xdr:rowOff>31750</xdr:rowOff>
    </xdr:from>
    <xdr:to>
      <xdr:col>6</xdr:col>
      <xdr:colOff>174625</xdr:colOff>
      <xdr:row>59</xdr:row>
      <xdr:rowOff>31750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63501</xdr:colOff>
      <xdr:row>3</xdr:row>
      <xdr:rowOff>111125</xdr:rowOff>
    </xdr:from>
    <xdr:to>
      <xdr:col>6</xdr:col>
      <xdr:colOff>933061</xdr:colOff>
      <xdr:row>3</xdr:row>
      <xdr:rowOff>2595077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6235897066" y="1316329"/>
          <a:ext cx="7177443" cy="24839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a:r>
            <a:rPr lang="fa-IR" sz="1400" b="0" i="0">
              <a:solidFill>
                <a:schemeClr val="dk1"/>
              </a:solidFill>
              <a:effectLst/>
              <a:latin typeface="+mn-lt"/>
              <a:ea typeface="+mn-ea"/>
              <a:cs typeface="2  Zar" panose="00000400000000000000" pitchFamily="2" charset="-78"/>
            </a:rPr>
            <a:t>توضیحات:</a:t>
          </a:r>
        </a:p>
        <a:p>
          <a:pPr algn="r"/>
          <a:r>
            <a:rPr lang="fa-IR" sz="1400" b="0" i="0">
              <a:solidFill>
                <a:schemeClr val="dk1"/>
              </a:solidFill>
              <a:effectLst/>
              <a:latin typeface="+mn-lt"/>
              <a:ea typeface="+mn-ea"/>
              <a:cs typeface="2  Zar" panose="00000400000000000000" pitchFamily="2" charset="-78"/>
            </a:rPr>
            <a:t>هزینه مربوط به ساخت/خرید هر یک از سرفصل‌های تعیین شده برای لیست هزینه‌های سرمایه‌گذاری ثابت، که از طریق اجاره تامین شود، از سرفصل هزینه‌های سرمایه‌گذاری ثابت طرح حذف خواهد شد و هزینه آن به سرفصل هزینه‌های تولید (هزینه‌های جاری سالیانه در فاز بهره‌برداری) منتقل خواهد شد.</a:t>
          </a:r>
        </a:p>
        <a:p>
          <a:pPr algn="r"/>
          <a:r>
            <a:rPr lang="fa-IR" sz="1400" b="0" i="0">
              <a:solidFill>
                <a:schemeClr val="dk1"/>
              </a:solidFill>
              <a:effectLst/>
              <a:latin typeface="+mn-lt"/>
              <a:ea typeface="+mn-ea"/>
              <a:cs typeface="2  Zar" panose="00000400000000000000" pitchFamily="2" charset="-78"/>
            </a:rPr>
            <a:t>در طرح‌هایی که پیشرفت فیزیکی دارند، هزینه‌های پیش‌بینی نشده، صرفاً برای لیست هزینه‌های مورد نیاز طرح در نظر گرفته خواهد شد.</a:t>
          </a:r>
        </a:p>
        <a:p>
          <a:pPr algn="r"/>
          <a:r>
            <a:rPr lang="fa-IR" sz="1400" b="0" i="0">
              <a:solidFill>
                <a:schemeClr val="dk1"/>
              </a:solidFill>
              <a:effectLst/>
              <a:latin typeface="+mn-lt"/>
              <a:ea typeface="+mn-ea"/>
              <a:cs typeface="2  Zar" panose="00000400000000000000" pitchFamily="2" charset="-78"/>
            </a:rPr>
            <a:t>هزینه‌های پیش‌بینی نشده، برای هزینه‌های سرمایه‌گذاری ثابت ریالی و ارزی به تفکیک و با همان واحد پولی مرتبط تعریف می‌گردد تا در صورت تغییرات نرخ ارز نیز مقدار آن همواره صحیح باشد.جهت ورود اطلاعات در نرم‌افزار کامفار، هزینه‌های تاسیسات، وسائط نقلیه و اثاثیه اداری، در زیر مجموعه سرفصل تجهیزات خدماتی و جانبی کارخانه تعریف می‌شوند. </a:t>
          </a:r>
        </a:p>
        <a:p>
          <a:pPr algn="r" rtl="1"/>
          <a:endParaRPr lang="fa-IR" sz="1200">
            <a:cs typeface="2  Zar" panose="00000400000000000000" pitchFamily="2" charset="-78"/>
          </a:endParaRPr>
        </a:p>
      </xdr:txBody>
    </xdr:sp>
    <xdr:clientData/>
  </xdr:twoCellAnchor>
  <xdr:twoCellAnchor>
    <xdr:from>
      <xdr:col>1</xdr:col>
      <xdr:colOff>396875</xdr:colOff>
      <xdr:row>59</xdr:row>
      <xdr:rowOff>160337</xdr:rowOff>
    </xdr:from>
    <xdr:to>
      <xdr:col>6</xdr:col>
      <xdr:colOff>190500</xdr:colOff>
      <xdr:row>70</xdr:row>
      <xdr:rowOff>109537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77430</xdr:colOff>
      <xdr:row>30</xdr:row>
      <xdr:rowOff>5797</xdr:rowOff>
    </xdr:from>
    <xdr:to>
      <xdr:col>6</xdr:col>
      <xdr:colOff>855305</xdr:colOff>
      <xdr:row>46</xdr:row>
      <xdr:rowOff>231321</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0</xdr:row>
      <xdr:rowOff>38100</xdr:rowOff>
    </xdr:from>
    <xdr:to>
      <xdr:col>1</xdr:col>
      <xdr:colOff>989304</xdr:colOff>
      <xdr:row>2</xdr:row>
      <xdr:rowOff>3175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036414175" y="38100"/>
          <a:ext cx="1546225" cy="650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50132</xdr:colOff>
      <xdr:row>3</xdr:row>
      <xdr:rowOff>60158</xdr:rowOff>
    </xdr:from>
    <xdr:to>
      <xdr:col>9</xdr:col>
      <xdr:colOff>972553</xdr:colOff>
      <xdr:row>4</xdr:row>
      <xdr:rowOff>2225842</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1163660947" y="1062790"/>
          <a:ext cx="8351921" cy="2456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a:r>
            <a:rPr lang="fa-IR">
              <a:cs typeface="2  Zar" panose="00000400000000000000" pitchFamily="2" charset="-78"/>
            </a:rPr>
            <a:t>هزينه هاي توليد براساس پيشبيني توليد در100 درصد ظرفيت عملي محاسبه ميگردد و براي سالهاي قبل از دسـتيابي به صد در صد ظرفيت با توجه به ميزان توليد و هزينههاي ثابت و متغير، تعديلات لازم اعمال ميگردد. در زيـر بـه نكـات عمدهاي كه در هر بخش جهت برآورد هزينه هاي توليد مطرح ميباشد اشاره شده است. </a:t>
          </a:r>
          <a:br>
            <a:rPr lang="fa-IR">
              <a:cs typeface="2  Zar" panose="00000400000000000000" pitchFamily="2" charset="-78"/>
            </a:rPr>
          </a:br>
          <a:r>
            <a:rPr lang="fa-IR">
              <a:cs typeface="2  Zar" panose="00000400000000000000" pitchFamily="2" charset="-78"/>
            </a:rPr>
            <a:t>جهت محاسبات جاری این طرح مواد مصرفی، حقوق و دستمزد، هزینه سوخت و آب و برق و استهلاک و تعمیر و نگهداری واحد برآورد شده است که در جداول ذیل شرح داده شده اند.</a:t>
          </a:r>
          <a:br>
            <a:rPr lang="fa-IR">
              <a:cs typeface="2  Zar" panose="00000400000000000000" pitchFamily="2" charset="-78"/>
            </a:rPr>
          </a:br>
          <a:r>
            <a:rPr lang="fa-IR" sz="1100">
              <a:solidFill>
                <a:schemeClr val="dk1"/>
              </a:solidFill>
              <a:latin typeface="+mn-lt"/>
              <a:ea typeface="+mn-ea"/>
              <a:cs typeface="2  Zar" panose="00000400000000000000" pitchFamily="2" charset="-78"/>
            </a:rPr>
            <a:t>درصد ثابت/متغیر هزینه‌های تولید، بر اساس میزان وابستگی آن هزینه به تیراژ تولید تعیین می‌شود.</a:t>
          </a:r>
        </a:p>
        <a:p>
          <a:pPr algn="r"/>
          <a:r>
            <a:rPr lang="fa-IR" sz="1100">
              <a:solidFill>
                <a:schemeClr val="dk1"/>
              </a:solidFill>
              <a:latin typeface="+mn-lt"/>
              <a:ea typeface="+mn-ea"/>
              <a:cs typeface="2  Zar" panose="00000400000000000000" pitchFamily="2" charset="-78"/>
            </a:rPr>
            <a:t>چنانچه هزینه بازاریابی در یک پروژه، مستقل از حجم فروش و به صورت ثابت تعریف شده باشد، ۱۰۰ درصد ثابت لحاظ خواهد شد، اما چنانچه هزینه بازاریابی در یک طرح، بر اساس درصدی از فروش دیده شود، آنگاه ۱۰۰ درصد متغیر در نظر گرفته می‌شود.</a:t>
          </a:r>
        </a:p>
        <a:p>
          <a:pPr algn="r"/>
          <a:r>
            <a:rPr lang="fa-IR" sz="1100">
              <a:solidFill>
                <a:schemeClr val="dk1"/>
              </a:solidFill>
              <a:latin typeface="+mn-lt"/>
              <a:ea typeface="+mn-ea"/>
              <a:cs typeface="2  Zar" panose="00000400000000000000" pitchFamily="2" charset="-78"/>
            </a:rPr>
            <a:t>چنانچه تامین یک یا چند واحد از ساختمان‌های مورد نیاز پروژه از طریق قرارداد اجاره تامین شده باشد، آنگاه با توجه به عدم وابستگی هزینه اجاره به تیراژ تولید سالیانه، درصد ثابت/متغیر هزینه اجاره به صورت ۱۰۰ درصد ثابت در نظر گرفته خواهد شد.</a:t>
          </a:r>
        </a:p>
        <a:p>
          <a:pPr algn="r"/>
          <a:r>
            <a:rPr lang="fa-IR" sz="1100">
              <a:solidFill>
                <a:schemeClr val="dk1"/>
              </a:solidFill>
              <a:latin typeface="+mn-lt"/>
              <a:ea typeface="+mn-ea"/>
              <a:cs typeface="2  Zar" panose="00000400000000000000" pitchFamily="2" charset="-78"/>
            </a:rPr>
            <a:t>درصد ثابت/متغیر هزینه‌های تولید، تاثیری بر مقدار عددی شاخص‌های مالی اصلی طرح نخواهد داشت و صرفاً بیانگر نوعی از ریسک پروژه است. در واقع مقدار هزینه ثابت نشان می‌دهد در حالتی که یک سال حجم تولید و فروش پائین‌تری از برنامه داشته باشد، چقدر از هزینه‌های تولید به سیستم تحمیل خواهد شد.</a:t>
          </a:r>
        </a:p>
        <a:p>
          <a:pPr algn="r" rtl="1"/>
          <a:endParaRPr lang="fa-IR" sz="1100">
            <a:solidFill>
              <a:schemeClr val="dk1"/>
            </a:solidFill>
            <a:latin typeface="+mn-lt"/>
            <a:ea typeface="+mn-ea"/>
            <a:cs typeface="2  Zar" panose="00000400000000000000" pitchFamily="2" charset="-78"/>
          </a:endParaRPr>
        </a:p>
      </xdr:txBody>
    </xdr:sp>
    <xdr:clientData/>
  </xdr:twoCellAnchor>
  <xdr:twoCellAnchor>
    <xdr:from>
      <xdr:col>0</xdr:col>
      <xdr:colOff>0</xdr:colOff>
      <xdr:row>22</xdr:row>
      <xdr:rowOff>32711</xdr:rowOff>
    </xdr:from>
    <xdr:to>
      <xdr:col>7</xdr:col>
      <xdr:colOff>357187</xdr:colOff>
      <xdr:row>33</xdr:row>
      <xdr:rowOff>35718</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155533</xdr:rowOff>
    </xdr:from>
    <xdr:to>
      <xdr:col>9</xdr:col>
      <xdr:colOff>806116</xdr:colOff>
      <xdr:row>52</xdr:row>
      <xdr:rowOff>9525</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140369</xdr:colOff>
      <xdr:row>0</xdr:row>
      <xdr:rowOff>20053</xdr:rowOff>
    </xdr:from>
    <xdr:to>
      <xdr:col>2</xdr:col>
      <xdr:colOff>132849</xdr:colOff>
      <xdr:row>1</xdr:row>
      <xdr:rowOff>310816</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70689394" y="20053"/>
          <a:ext cx="2697079" cy="61160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149678</xdr:colOff>
      <xdr:row>3</xdr:row>
      <xdr:rowOff>123829</xdr:rowOff>
    </xdr:from>
    <xdr:to>
      <xdr:col>5</xdr:col>
      <xdr:colOff>1102178</xdr:colOff>
      <xdr:row>3</xdr:row>
      <xdr:rowOff>4463143</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0029294322" y="1321258"/>
          <a:ext cx="6667500" cy="43393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fa-IR" sz="1100">
              <a:cs typeface="2  Zar" panose="00000400000000000000" pitchFamily="2" charset="-78"/>
            </a:rPr>
            <a:t>سرمايه در گردش يك واحد توليدي عبارت است از مجموعه امكانات، ارزش موجوديها و كار در جريان، مطالبات و نقدينگي جهت به كارگيري و بهرهبرداري از سرمايه گذاري ثابت به منظور توليد و حفظ تداوم و استمرار عمليـات. تعيـين مبنـاي ميـزان موجوديها، كار در جريان و مطالبات بستگي به شرايط تجاري، بازرگاني در تهيه مواد، فروش محصـول و شـرايط فنـي كـار در جريان دارد.</a:t>
          </a:r>
          <a:br>
            <a:rPr lang="fa-IR" sz="1100">
              <a:cs typeface="2  Zar" panose="00000400000000000000" pitchFamily="2" charset="-78"/>
            </a:rPr>
          </a:br>
          <a:r>
            <a:rPr lang="fa-IR" sz="1100">
              <a:cs typeface="2  Zar" panose="00000400000000000000" pitchFamily="2" charset="-78"/>
            </a:rPr>
            <a:t> به عنوان مثال در مورد نگهداري مواد اوليه وارداتي بايستي به زمان هاي لازم جهت سفارش، گشايش اعتبار، تهيـه و حمل تا محل كارخانه توجه شود. سرمايه در گردش تنها براي يك دوره طرح و براساس هزينه</a:t>
          </a:r>
          <a:r>
            <a:rPr lang="en-US" sz="1100">
              <a:cs typeface="2  Zar" panose="00000400000000000000" pitchFamily="2" charset="-78"/>
            </a:rPr>
            <a:t> </a:t>
          </a:r>
          <a:r>
            <a:rPr lang="fa-IR" sz="1100">
              <a:cs typeface="2  Zar" panose="00000400000000000000" pitchFamily="2" charset="-78"/>
            </a:rPr>
            <a:t>هاي توليد دوره اول بهره برداري تعيين ميشود. اقلام عمده در تعيين سرمايه در گردش عبارتند از: </a:t>
          </a:r>
          <a:br>
            <a:rPr lang="fa-IR" sz="1100">
              <a:cs typeface="2  Zar" panose="00000400000000000000" pitchFamily="2" charset="-78"/>
            </a:rPr>
          </a:br>
          <a:r>
            <a:rPr lang="fa-IR" sz="1100">
              <a:cs typeface="2  Zar" panose="00000400000000000000" pitchFamily="2" charset="-78"/>
            </a:rPr>
            <a:t>- </a:t>
          </a:r>
          <a:r>
            <a:rPr lang="fa-IR" sz="1100" b="1">
              <a:cs typeface="2  Zar" panose="00000400000000000000" pitchFamily="2" charset="-78"/>
            </a:rPr>
            <a:t>مواد اوليه </a:t>
          </a:r>
          <a:r>
            <a:rPr lang="fa-IR" sz="1100">
              <a:cs typeface="2  Zar" panose="00000400000000000000" pitchFamily="2" charset="-78"/>
            </a:rPr>
            <a:t>(داخلي و خارجي) به منظور جلوگيري از وقفه در جريان توليد با توجه به نوع صنعت، ميزان توليد، منبع و نحوه تأمين مواد، فاصله زماني لازم از مرحلة سفارش تا مرحلة دريافت مواد، زمان تحويل و حمل آن، ميزان مواد اوليه، كمكي و بسته بندي مورد نياز به عنوان يكي از اقلام سرمايه در گردش و مدت زمان ذخيره آن براي يك دوره، تعيين ميگردد.</a:t>
          </a:r>
          <a:br>
            <a:rPr lang="fa-IR" sz="1100">
              <a:cs typeface="2  Zar" panose="00000400000000000000" pitchFamily="2" charset="-78"/>
            </a:rPr>
          </a:br>
          <a:r>
            <a:rPr lang="fa-IR" sz="1100">
              <a:cs typeface="2  Zar" panose="00000400000000000000" pitchFamily="2" charset="-78"/>
            </a:rPr>
            <a:t> - </a:t>
          </a:r>
          <a:r>
            <a:rPr lang="fa-IR" sz="1100" b="1">
              <a:cs typeface="2  Zar" panose="00000400000000000000" pitchFamily="2" charset="-78"/>
            </a:rPr>
            <a:t>كالاي ساخته شده و در جريان ساخت </a:t>
          </a:r>
          <a:r>
            <a:rPr lang="fa-IR" sz="1100">
              <a:cs typeface="2  Zar" panose="00000400000000000000" pitchFamily="2" charset="-78"/>
            </a:rPr>
            <a:t>با در نظر گرفتن مراحل و روش توليد، مدت زمان لازم براي ساخت كالا و نگهداري آن درانبار بررسـي شـده و هزينـه هـاي مربوط به آن به عنوان سرمايه در گردش منظور ميشود.</a:t>
          </a:r>
        </a:p>
        <a:p>
          <a:pPr algn="r" rtl="1"/>
          <a:r>
            <a:rPr lang="fa-IR" sz="1100" b="1">
              <a:cs typeface="2  Zar" panose="00000400000000000000" pitchFamily="2" charset="-78"/>
            </a:rPr>
            <a:t>- مطالبات وجوه مورد انتظار از كالاي به فروش رفته </a:t>
          </a:r>
          <a:r>
            <a:rPr lang="fa-IR" sz="1100">
              <a:cs typeface="2  Zar" panose="00000400000000000000" pitchFamily="2" charset="-78"/>
            </a:rPr>
            <a:t>كه وصول آنها در كوتاه مدت اتفاق ميافتد. مدت زمان كسب وجـوه مـورد انتظـار بايد معين شود ( بدون در نظر گرفتن هزينه هاي توليد مواداوليه و استهلاك)</a:t>
          </a:r>
          <a:br>
            <a:rPr lang="fa-IR" sz="1100">
              <a:cs typeface="2  Zar" panose="00000400000000000000" pitchFamily="2" charset="-78"/>
            </a:rPr>
          </a:br>
          <a:r>
            <a:rPr lang="fa-IR" sz="1100" b="1">
              <a:cs typeface="2  Zar" panose="00000400000000000000" pitchFamily="2" charset="-78"/>
            </a:rPr>
            <a:t>- تنخواه گردان </a:t>
          </a:r>
          <a:r>
            <a:rPr lang="fa-IR" sz="1100">
              <a:cs typeface="2  Zar" panose="00000400000000000000" pitchFamily="2" charset="-78"/>
            </a:rPr>
            <a:t>جهت پرداخت هزينه هاي جاري شركت مدت زماني بعنوان موجودي نقدي يا تنخواه گـردان در محاسـبه سـرمايه در گـردش براساس هزينه هاي توليد ( بدون در نظرگرفتن هزينه هاي توليد مواداوليه و استهلاك)منظور ميشود. * سرمايه در گردش محاسبه شده در كامفار جهت اولين دوره بهره برداري از طرح در اين بخش ارائه گرديده و مباني محاسبات (تعداد روز جهت هر مورد) نيز ارائه شود. </a:t>
          </a:r>
          <a:br>
            <a:rPr lang="fa-IR" sz="1100">
              <a:cs typeface="2  Zar" panose="00000400000000000000" pitchFamily="2" charset="-78"/>
            </a:rPr>
          </a:br>
          <a:endParaRPr lang="fa-IR" sz="1100">
            <a:cs typeface="2  Zar" panose="00000400000000000000" pitchFamily="2" charset="-78"/>
          </a:endParaRPr>
        </a:p>
      </xdr:txBody>
    </xdr:sp>
    <xdr:clientData/>
  </xdr:twoCellAnchor>
  <xdr:twoCellAnchor>
    <xdr:from>
      <xdr:col>0</xdr:col>
      <xdr:colOff>40821</xdr:colOff>
      <xdr:row>17</xdr:row>
      <xdr:rowOff>40821</xdr:rowOff>
    </xdr:from>
    <xdr:to>
      <xdr:col>5</xdr:col>
      <xdr:colOff>1102179</xdr:colOff>
      <xdr:row>30</xdr:row>
      <xdr:rowOff>68037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10029294321" y="9089571"/>
          <a:ext cx="6776358" cy="2503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fa-IR" sz="1200" b="0" i="0">
              <a:solidFill>
                <a:schemeClr val="dk1"/>
              </a:solidFill>
              <a:effectLst/>
              <a:latin typeface="+mn-lt"/>
              <a:ea typeface="+mn-ea"/>
              <a:cs typeface="2  Zar" panose="00000400000000000000" pitchFamily="2" charset="-78"/>
            </a:rPr>
            <a:t>سرمایه‌درگردش خالص یک سال، معادل کسری از هزینه‌های تولید کل سال مورد نظر است که جهت تامین مالی یک دوره تولیدی در همان سال لازم است. طول یک دوره تولیدی ممکن است یک روز، یک ماه تا یک سال باشد. البته سرمایه در گردش می‌تواند از مجموع هزینه‌های تولید یک سال نیز بیشتر باشد که نمونه‌های کمی دارد.</a:t>
          </a:r>
        </a:p>
        <a:p>
          <a:pPr algn="r" rtl="1"/>
          <a:r>
            <a:rPr lang="fa-IR" sz="1200" b="0" i="0">
              <a:solidFill>
                <a:schemeClr val="dk1"/>
              </a:solidFill>
              <a:effectLst/>
              <a:latin typeface="+mn-lt"/>
              <a:ea typeface="+mn-ea"/>
              <a:cs typeface="2  Zar" panose="00000400000000000000" pitchFamily="2" charset="-78"/>
            </a:rPr>
            <a:t>به بیان دقیق‌تر، سرمایه در گردش مورد نیاز یک دوره، میزان سرمایه‌ای است که برای خرید و تامین اقلام نیازمندی یک دوره تولیدی به علاوه کالای ساخته شده و کالای در جریان ساخت تعیین شده لازم است. جهت درک بهتر این موضوع، کافی است، ابتدای دوره دوم تولید را تصور نمود. در حالی که هنوز بخشی از سرمایه‌ی تزریق‌شده در قالب کالای در جریان ساخت و کالای ساخته شده درگیر است، ملزم به تامین نیازمندی‌های دوره بعدی هستیم. همچنین، چنانچه فروش محصول به صورت نقدی نباشد، حساب‌های دریافتنی نیز به مبلغ سرمایه در گردش اضافه می‌شود.</a:t>
          </a:r>
        </a:p>
        <a:p>
          <a:pPr algn="r" rtl="1"/>
          <a:r>
            <a:rPr lang="fa-IR" sz="1200" b="0" i="0">
              <a:solidFill>
                <a:schemeClr val="dk1"/>
              </a:solidFill>
              <a:effectLst/>
              <a:latin typeface="+mn-lt"/>
              <a:ea typeface="+mn-ea"/>
              <a:cs typeface="2  Zar" panose="00000400000000000000" pitchFamily="2" charset="-78"/>
            </a:rPr>
            <a:t>سرمایه در گردش تعیین شده، هر بار جهت تامین نیازمندی‌های یک دوره تولیدی خرج می‌شود و مجدداً از درآمد انتهای دوره به سیستم تولیدی بازگردانده می‌شود. در واقع، سرمایه در گردش، بین دوره‌های تولیدی در طول سال‌ها در گردش است.</a:t>
          </a:r>
        </a:p>
      </xdr:txBody>
    </xdr:sp>
    <xdr:clientData/>
  </xdr:twoCellAnchor>
  <xdr:oneCellAnchor>
    <xdr:from>
      <xdr:col>0</xdr:col>
      <xdr:colOff>40821</xdr:colOff>
      <xdr:row>32</xdr:row>
      <xdr:rowOff>190498</xdr:rowOff>
    </xdr:from>
    <xdr:ext cx="6694714" cy="11212286"/>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0029375965" y="12096748"/>
          <a:ext cx="6694714" cy="11212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noAutofit/>
        </a:bodyPr>
        <a:lstStyle/>
        <a:p>
          <a:pPr algn="r" rtl="1"/>
          <a:r>
            <a:rPr lang="fa-IR" sz="1400" b="0" i="0">
              <a:solidFill>
                <a:schemeClr val="dk1"/>
              </a:solidFill>
              <a:effectLst/>
              <a:latin typeface="+mn-lt"/>
              <a:ea typeface="+mn-ea"/>
              <a:cs typeface="2  Zar" panose="00000400000000000000" pitchFamily="2" charset="-78"/>
            </a:rPr>
            <a:t>سرمایه در گردش، برای طرح‌هایی که تولید روتین و تکرارشونده دارند مفهوم دارد و طرح‌هایی که با هدف تولید یا ساخت یکباره یک برج/کارخانه/نیروگاه/هتل/بیمارستان/پالایشگاه/پتروشیمی/واحد صنعتی یا هر مجموعه تولیدی یا خدماتی اجرا می‌شوند، سرمایه در گردش ندارند و برای تامین مالی آنها، می‌بایست کل هزینه‌ها را تامین مالی نمود.</a:t>
          </a:r>
        </a:p>
        <a:p>
          <a:pPr rtl="1"/>
          <a:r>
            <a:rPr lang="fa-IR" sz="1400" b="0" i="0">
              <a:solidFill>
                <a:schemeClr val="dk1"/>
              </a:solidFill>
              <a:effectLst/>
              <a:latin typeface="+mn-lt"/>
              <a:ea typeface="+mn-ea"/>
              <a:cs typeface="2  Zar" panose="00000400000000000000" pitchFamily="2" charset="-78"/>
            </a:rPr>
            <a:t>سرمایه در گردش خالص یک دوره می‌تواند نسبت به دوره قبل کاهش یاید. چنین حالتی زمانی پیش می‌آید که یا حجم تولید کاهش یابد و یا قیمت اقلام نیازمندی‌های تولید. در این حالت، زمانی که سرمایه در گردش خالص یک دوره نسبت به دوره قبل آن کاهش یابد، آنگاه میزان افزایش در سرمایه در گردش خالص آن دوره منفی خواهد بود.</a:t>
          </a:r>
        </a:p>
        <a:p>
          <a:pPr rtl="1"/>
          <a:r>
            <a:rPr lang="fa-IR" sz="1400" b="0" i="0">
              <a:solidFill>
                <a:schemeClr val="dk1"/>
              </a:solidFill>
              <a:effectLst/>
              <a:latin typeface="+mn-lt"/>
              <a:ea typeface="+mn-ea"/>
              <a:cs typeface="2  Zar" panose="00000400000000000000" pitchFamily="2" charset="-78"/>
            </a:rPr>
            <a:t>مقدار سرمایه در گردش خالص یک دوره، از تفاضل دارایی‌های جاری و بدهی‌های جاری آن دوره به دست می‌آید.</a:t>
          </a:r>
        </a:p>
        <a:p>
          <a:pPr rtl="1"/>
          <a:r>
            <a:rPr lang="fa-IR" sz="1400" b="0" i="0">
              <a:solidFill>
                <a:schemeClr val="dk1"/>
              </a:solidFill>
              <a:effectLst/>
              <a:latin typeface="+mn-lt"/>
              <a:ea typeface="+mn-ea"/>
              <a:cs typeface="2  Zar" panose="00000400000000000000" pitchFamily="2" charset="-78"/>
            </a:rPr>
            <a:t>سرمایه در گردش خالص یک دوره = دارایی‌های جاری – بدهی‌های جاری</a:t>
          </a:r>
        </a:p>
        <a:p>
          <a:pPr rtl="1"/>
          <a:r>
            <a:rPr lang="en-US" sz="1400" b="0" i="0">
              <a:solidFill>
                <a:schemeClr val="dk1"/>
              </a:solidFill>
              <a:effectLst/>
              <a:latin typeface="+mn-lt"/>
              <a:ea typeface="+mn-ea"/>
              <a:cs typeface="2  Zar" panose="00000400000000000000" pitchFamily="2" charset="-78"/>
            </a:rPr>
            <a:t>Net Working Capital = Current Assets – Current Liabilities</a:t>
          </a:r>
          <a:endParaRPr lang="fa-IR" sz="1400" b="0" i="0">
            <a:solidFill>
              <a:schemeClr val="dk1"/>
            </a:solidFill>
            <a:effectLst/>
            <a:latin typeface="+mn-lt"/>
            <a:ea typeface="+mn-ea"/>
            <a:cs typeface="2  Zar" panose="00000400000000000000" pitchFamily="2" charset="-78"/>
          </a:endParaRPr>
        </a:p>
        <a:p>
          <a:pPr rtl="1"/>
          <a:r>
            <a:rPr lang="fa-IR" sz="1400" b="0" i="0">
              <a:solidFill>
                <a:schemeClr val="dk1"/>
              </a:solidFill>
              <a:effectLst/>
              <a:latin typeface="+mn-lt"/>
              <a:ea typeface="+mn-ea"/>
              <a:cs typeface="2  Zar" panose="00000400000000000000" pitchFamily="2" charset="-78"/>
            </a:rPr>
            <a:t>دارایی‌های جاری، به آن دسته از دارایی‌ها گفته می‌شود که در دوره‌های کوتاه تر از یک سال به صورت طبیعی به پول نقد تبدیل خواهند. به عنوان مثال، مواد اولیه داخل انبار اولیه، کالای ساخته شده داخل انبار نهایی، کالای در جریان ساخت پای خط تولید، حساب‌های دریافتنی (حاصل از فروش نسیه) و همچنین تنخواه که به آن موجودی نقد یا پول در دست نیز گفته می‌شود که خود پول نقد است. در مقابل، دارایی‌های ثابت، آن دسته از دارایی‌هایی هستند که به طور طبیعی در دوره یک ساله تبدیل به پول نقد نخواهند شد، مثل زمین، ساختمان و ماشین‌آلات.</a:t>
          </a:r>
        </a:p>
        <a:p>
          <a:pPr rtl="1"/>
          <a:r>
            <a:rPr lang="fa-IR" sz="1400" b="0" i="0">
              <a:solidFill>
                <a:schemeClr val="dk1"/>
              </a:solidFill>
              <a:effectLst/>
              <a:latin typeface="+mn-lt"/>
              <a:ea typeface="+mn-ea"/>
              <a:cs typeface="2  Zar" panose="00000400000000000000" pitchFamily="2" charset="-78"/>
            </a:rPr>
            <a:t>بدهی‌های جاری نیز، آن دسته از بدهی‌های شرکت است که در دوره‌های کوتاه‌تر از یک سال می‌بایست پرداخت گردند؛ مثل حساب‌های پرداختنی که از طریق خریدهای نسیه ایجاد می‌شوند. در مقابل نیز، بدهی‌های بلندمدت، به واسطه اخذ وام‌های بلند مدت ایجاد می‌شوند.</a:t>
          </a:r>
        </a:p>
        <a:p>
          <a:pPr rtl="1"/>
          <a:r>
            <a:rPr lang="fa-IR" sz="1400" b="0" i="0">
              <a:solidFill>
                <a:schemeClr val="dk1"/>
              </a:solidFill>
              <a:effectLst/>
              <a:latin typeface="+mn-lt"/>
              <a:ea typeface="+mn-ea"/>
              <a:cs typeface="2  Zar" panose="00000400000000000000" pitchFamily="2" charset="-78"/>
            </a:rPr>
            <a:t>در نرم‌افزار کامفار، دارایی‌های جاری به سه بخش “موجودی‌ها”، “موجودی نقد” و “حساب‌های دریافتنی” تقسیم شده است که در نسخه انگلیسی، با اصطلاحات “</a:t>
          </a:r>
          <a:r>
            <a:rPr lang="en-US" sz="1400" b="0" i="0">
              <a:solidFill>
                <a:schemeClr val="dk1"/>
              </a:solidFill>
              <a:effectLst/>
              <a:latin typeface="+mn-lt"/>
              <a:ea typeface="+mn-ea"/>
              <a:cs typeface="2  Zar" panose="00000400000000000000" pitchFamily="2" charset="-78"/>
            </a:rPr>
            <a:t>Cash In Hand”، “Inventory” </a:t>
          </a:r>
          <a:r>
            <a:rPr lang="fa-IR" sz="1400" b="0" i="0">
              <a:solidFill>
                <a:schemeClr val="dk1"/>
              </a:solidFill>
              <a:effectLst/>
              <a:latin typeface="+mn-lt"/>
              <a:ea typeface="+mn-ea"/>
              <a:cs typeface="2  Zar" panose="00000400000000000000" pitchFamily="2" charset="-78"/>
            </a:rPr>
            <a:t>و “</a:t>
          </a:r>
          <a:r>
            <a:rPr lang="en-US" sz="1400" b="0" i="0">
              <a:solidFill>
                <a:schemeClr val="dk1"/>
              </a:solidFill>
              <a:effectLst/>
              <a:latin typeface="+mn-lt"/>
              <a:ea typeface="+mn-ea"/>
              <a:cs typeface="2  Zar" panose="00000400000000000000" pitchFamily="2" charset="-78"/>
            </a:rPr>
            <a:t>Account Receivable” </a:t>
          </a:r>
          <a:r>
            <a:rPr lang="fa-IR" sz="1400" b="0" i="0">
              <a:solidFill>
                <a:schemeClr val="dk1"/>
              </a:solidFill>
              <a:effectLst/>
              <a:latin typeface="+mn-lt"/>
              <a:ea typeface="+mn-ea"/>
              <a:cs typeface="2  Zar" panose="00000400000000000000" pitchFamily="2" charset="-78"/>
            </a:rPr>
            <a:t>عنوان شده‌اند.</a:t>
          </a:r>
        </a:p>
        <a:p>
          <a:pPr rtl="1"/>
          <a:br>
            <a:rPr lang="fa-IR" sz="1400" b="0" i="0">
              <a:solidFill>
                <a:schemeClr val="dk1"/>
              </a:solidFill>
              <a:effectLst/>
              <a:latin typeface="+mn-lt"/>
              <a:ea typeface="+mn-ea"/>
              <a:cs typeface="2  Zar" panose="00000400000000000000" pitchFamily="2" charset="-78"/>
            </a:rPr>
          </a:br>
          <a:r>
            <a:rPr lang="fa-IR" sz="1400" b="0" i="0">
              <a:solidFill>
                <a:schemeClr val="dk1"/>
              </a:solidFill>
              <a:effectLst/>
              <a:latin typeface="+mn-lt"/>
              <a:ea typeface="+mn-ea"/>
              <a:cs typeface="2  Zar" panose="00000400000000000000" pitchFamily="2" charset="-78"/>
            </a:rPr>
            <a:t>در طرح‌هایی که تولید محصولات، یک یا چند دوره در سال و به‌صورت موازی انجام می‌شود و کلیه عملیات تولیدی به صورت همزمان در هر سری انجام می‌شود (سیستم غیر خط تولیدی)، آنگاه در محاسبه سرمایه در گردش طرح، روزهای پوشش کالای در جریان ساخت معادل صفر در نظر گرفته می‌شود، و روزهای پوشش مواد و قطعات اولیه مصرفی، معادل با طول هر دوره تولیدی در نظر گرفته خواهد شد.</a:t>
          </a:r>
        </a:p>
        <a:p>
          <a:pPr rtl="1"/>
          <a:r>
            <a:rPr lang="fa-IR" sz="1400" b="0" i="0">
              <a:solidFill>
                <a:schemeClr val="dk1"/>
              </a:solidFill>
              <a:effectLst/>
              <a:latin typeface="+mn-lt"/>
              <a:ea typeface="+mn-ea"/>
              <a:cs typeface="2  Zar" panose="00000400000000000000" pitchFamily="2" charset="-78"/>
            </a:rPr>
            <a:t>با وجود اینکه در بخش ورودی‌های نرم‌افزار کامفار، در جدول آخر در سرفصل سرمایه در گردش که مربوط به حساب‌های پرداختنی است، امکان پرداخت اعتباری (چکی یا نسیه) برای تامین نیازمندی‌های فاز بهره‌برداری طرح نیز وجود دارد، اما در پروسه تدوین طرح‌های توجیهی مرسوم است که به جهت محاسبات محتاطانه‌تر، امکان استفاده از خریدهای اعتباری و غیرنقدی در نظر گرفته شود و کلیه مقادیر روزهای پوشش در این جدول، صفر شوند و با فرض پرداخت‌های نقدی محاسبات انجام شود که در این صورت، مقدار سرمایه در گردش، بیشتر و دست بالاتر محاسبه خواهد شد. اما در صورتی که عُرف بازار در خصوص محصول مورد نظر، فروش‌های اعتباری و غیرنقدی باشد، مرسوم است که حساب‌های دریافتنی، متناسب با عرف بازار ثبت شود که باز هم به معنای استفاده از سناریوی محتاطانه و بدبینانه است.</a:t>
          </a:r>
        </a:p>
        <a:p>
          <a:pPr rtl="1"/>
          <a:r>
            <a:rPr lang="fa-IR" sz="1400" b="0" i="0">
              <a:solidFill>
                <a:schemeClr val="dk1"/>
              </a:solidFill>
              <a:effectLst/>
              <a:latin typeface="+mn-lt"/>
              <a:ea typeface="+mn-ea"/>
              <a:cs typeface="2  Zar" panose="00000400000000000000" pitchFamily="2" charset="-78"/>
            </a:rPr>
            <a:t>در برخی طرح‌ها، یک یا چند آیتم از اقلام هزینه‌های فاز تولید، چند سال یک بار انجام می‌شود. مثل برخی بذرها در طرح‌های کشاورزی که به عنوان مواد اولیه مصرف می‌شود و همچنین هزینه اورهال دوره‌ای در طرح‌های نیروگاهی و پتروشیمی که در سرفصل هزینه‌های نگهداری و تعمیرات ثبت می‌شود. بنابراین، هزینه‌های تولید و به تبع آن سرمایه در گردش خالص، افزایش و بعد کاهش چشمگیر خواهد داشت. در این موارد، به جهت ساده‌سازی مدل محاسبات، مرسوم است که هزینه مورد نظر به تعداد سال‌های مربوطه تقسیم شود و سرشکن سالانه هزینه مربوطه به صورت ثابت و یکنواخت ثبت شود.</a:t>
          </a:r>
        </a:p>
      </xdr:txBody>
    </xdr:sp>
    <xdr:clientData/>
  </xdr:oneCellAnchor>
  <xdr:twoCellAnchor editAs="oneCell">
    <xdr:from>
      <xdr:col>0</xdr:col>
      <xdr:colOff>108857</xdr:colOff>
      <xdr:row>0</xdr:row>
      <xdr:rowOff>40821</xdr:rowOff>
    </xdr:from>
    <xdr:to>
      <xdr:col>1</xdr:col>
      <xdr:colOff>1564821</xdr:colOff>
      <xdr:row>2</xdr:row>
      <xdr:rowOff>0</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48522643" y="40821"/>
          <a:ext cx="1823357" cy="63953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253233</xdr:colOff>
      <xdr:row>0</xdr:row>
      <xdr:rowOff>0</xdr:rowOff>
    </xdr:from>
    <xdr:to>
      <xdr:col>1</xdr:col>
      <xdr:colOff>1610522</xdr:colOff>
      <xdr:row>1</xdr:row>
      <xdr:rowOff>186267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7245620" y="0"/>
          <a:ext cx="1779564" cy="52916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66674</xdr:colOff>
      <xdr:row>5</xdr:row>
      <xdr:rowOff>76201</xdr:rowOff>
    </xdr:from>
    <xdr:to>
      <xdr:col>8</xdr:col>
      <xdr:colOff>990600</xdr:colOff>
      <xdr:row>5</xdr:row>
      <xdr:rowOff>2209800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9982257150" y="1724026"/>
          <a:ext cx="8715376" cy="2133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fa-IR">
              <a:cs typeface="2  Zar" panose="00000400000000000000" pitchFamily="2" charset="-78"/>
            </a:rPr>
            <a:t>برق: با در نظر گرفتن توان برق واحد و ماشين آلات، تعداد نوبت كاري، ساعات مصرف، روز كاري درسال و ضـريب همزمـاني، كل مصرف برق ساليانه برآورد مي گردد و سپس با توجه به قيمت مصرف برق براي هـر كيلـو وات سـاعت (</a:t>
          </a:r>
          <a:r>
            <a:rPr lang="en-US">
              <a:cs typeface="2  Zar" panose="00000400000000000000" pitchFamily="2" charset="-78"/>
            </a:rPr>
            <a:t>Kwh </a:t>
          </a:r>
          <a:r>
            <a:rPr lang="fa-IR">
              <a:cs typeface="2  Zar" panose="00000400000000000000" pitchFamily="2" charset="-78"/>
            </a:rPr>
            <a:t> )و هزينـه ديماند، هزينه كل مصرف برق تعيين مي شود. گاهي در پروفرماي ماشين آلات، ميزان مصرف برق به ازاي ميـزان توليـد ذكـر شده است كه مي توان از آن در محاسبه ميزن مصرف برق خط توليد استفاده نمود.</a:t>
          </a:r>
          <a:br>
            <a:rPr lang="fa-IR">
              <a:cs typeface="2  Zar" panose="00000400000000000000" pitchFamily="2" charset="-78"/>
            </a:rPr>
          </a:br>
          <a:r>
            <a:rPr lang="fa-IR">
              <a:cs typeface="2  Zar" panose="00000400000000000000" pitchFamily="2" charset="-78"/>
            </a:rPr>
            <a:t> آب: هزينه آب مصرفي با توجه به حداكثر دبي موردنياز و متوسط مصرف (بصورت روزانـه يـا سـاعتي) بـا منظـور نمـودن حـق انشعاب و هزينه آن محاسبه ميگردد. </a:t>
          </a:r>
          <a:br>
            <a:rPr lang="fa-IR">
              <a:cs typeface="2  Zar" panose="00000400000000000000" pitchFamily="2" charset="-78"/>
            </a:rPr>
          </a:br>
          <a:r>
            <a:rPr lang="fa-IR">
              <a:cs typeface="2  Zar" panose="00000400000000000000" pitchFamily="2" charset="-78"/>
            </a:rPr>
            <a:t>سوخت: با در نظر گرفتن ميزان سوخت موردنياز (روزانه يا ساعتي)، موارد مصرف، كل مصرف سـاليانه آنهـا و قيمتهـاي تعيـين شده، هزينه سوخت مصرفي محاسبه مي گردد. گاهي ميزان سوخت مصرفي بر اساس ميـزان توليـد در پروفرمـا ماشـين آلات ذكر شده است كه بايد از آن در انجام محاسبات استفاده شود</a:t>
          </a:r>
          <a:br>
            <a:rPr lang="fa-IR">
              <a:cs typeface="2  Zar" panose="00000400000000000000" pitchFamily="2" charset="-78"/>
            </a:rPr>
          </a:br>
          <a:r>
            <a:rPr lang="fa-IR">
              <a:cs typeface="2  Zar" panose="00000400000000000000" pitchFamily="2" charset="-78"/>
            </a:rPr>
            <a:t>. ارتباطات: هزينه هاي مربوط به تلفن و خطوط ارتباطي كارخانه بر اساس مصرف متعارف محاسبه مي گردد</a:t>
          </a:r>
          <a:br>
            <a:rPr lang="fa-IR">
              <a:cs typeface="2  Zar" panose="00000400000000000000" pitchFamily="2" charset="-78"/>
            </a:rPr>
          </a:br>
          <a:r>
            <a:rPr lang="fa-IR">
              <a:cs typeface="2  Zar" panose="00000400000000000000" pitchFamily="2" charset="-78"/>
            </a:rPr>
            <a:t>ســـاير موارد: با توجه به نوع طرح، ساير هزينه هاي جاري مرتبط با ايـن بخـش نيـز توضـيح داده مـي شـود </a:t>
          </a:r>
          <a:endParaRPr lang="fa-IR" sz="1100">
            <a:cs typeface="2  Zar" panose="00000400000000000000" pitchFamily="2" charset="-78"/>
          </a:endParaRPr>
        </a:p>
      </xdr:txBody>
    </xdr:sp>
    <xdr:clientData/>
  </xdr:twoCellAnchor>
  <xdr:twoCellAnchor editAs="oneCell">
    <xdr:from>
      <xdr:col>0</xdr:col>
      <xdr:colOff>0</xdr:colOff>
      <xdr:row>0</xdr:row>
      <xdr:rowOff>142875</xdr:rowOff>
    </xdr:from>
    <xdr:to>
      <xdr:col>1</xdr:col>
      <xdr:colOff>1247775</xdr:colOff>
      <xdr:row>1</xdr:row>
      <xdr:rowOff>219074</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83540625" y="142875"/>
          <a:ext cx="1714500" cy="6000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25401</xdr:colOff>
      <xdr:row>0</xdr:row>
      <xdr:rowOff>9525</xdr:rowOff>
    </xdr:from>
    <xdr:to>
      <xdr:col>1</xdr:col>
      <xdr:colOff>856192</xdr:colOff>
      <xdr:row>1</xdr:row>
      <xdr:rowOff>318861</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37528325" y="9525"/>
          <a:ext cx="1508124" cy="63318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4423</xdr:colOff>
      <xdr:row>0</xdr:row>
      <xdr:rowOff>9525</xdr:rowOff>
    </xdr:from>
    <xdr:to>
      <xdr:col>1</xdr:col>
      <xdr:colOff>892969</xdr:colOff>
      <xdr:row>1</xdr:row>
      <xdr:rowOff>257175</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983578370" y="9525"/>
          <a:ext cx="1305265" cy="51979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1</xdr:col>
      <xdr:colOff>1146174</xdr:colOff>
      <xdr:row>1</xdr:row>
      <xdr:rowOff>257175</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37134626" y="0"/>
          <a:ext cx="1508124" cy="552450"/>
        </a:xfrm>
        <a:prstGeom prst="rect">
          <a:avLst/>
        </a:prstGeom>
      </xdr:spPr>
    </xdr:pic>
    <xdr:clientData/>
  </xdr:twoCellAnchor>
  <xdr:twoCellAnchor>
    <xdr:from>
      <xdr:col>0</xdr:col>
      <xdr:colOff>63500</xdr:colOff>
      <xdr:row>11</xdr:row>
      <xdr:rowOff>142875</xdr:rowOff>
    </xdr:from>
    <xdr:to>
      <xdr:col>4</xdr:col>
      <xdr:colOff>1158875</xdr:colOff>
      <xdr:row>32</xdr:row>
      <xdr:rowOff>107950</xdr:rowOff>
    </xdr:to>
    <xdr:graphicFrame macro="">
      <xdr:nvGraphicFramePr>
        <xdr:cNvPr id="3" name="Chart 2">
          <a:extLst>
            <a:ext uri="{FF2B5EF4-FFF2-40B4-BE49-F238E27FC236}">
              <a16:creationId xmlns:a16="http://schemas.microsoft.com/office/drawing/2014/main" id="{00000000-0008-0000-0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244928</xdr:colOff>
      <xdr:row>0</xdr:row>
      <xdr:rowOff>129268</xdr:rowOff>
    </xdr:from>
    <xdr:to>
      <xdr:col>2</xdr:col>
      <xdr:colOff>1469949</xdr:colOff>
      <xdr:row>1</xdr:row>
      <xdr:rowOff>492125</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393866108" y="129268"/>
          <a:ext cx="2422071" cy="757464"/>
        </a:xfrm>
        <a:prstGeom prst="rect">
          <a:avLst/>
        </a:prstGeom>
      </xdr:spPr>
    </xdr:pic>
    <xdr:clientData/>
  </xdr:twoCellAnchor>
  <xdr:twoCellAnchor>
    <xdr:from>
      <xdr:col>1</xdr:col>
      <xdr:colOff>559596</xdr:colOff>
      <xdr:row>50</xdr:row>
      <xdr:rowOff>47625</xdr:rowOff>
    </xdr:from>
    <xdr:to>
      <xdr:col>7</xdr:col>
      <xdr:colOff>452436</xdr:colOff>
      <xdr:row>57</xdr:row>
      <xdr:rowOff>323169</xdr:rowOff>
    </xdr:to>
    <xdr:graphicFrame macro="">
      <xdr:nvGraphicFramePr>
        <xdr:cNvPr id="3" name="Chart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547688</xdr:colOff>
      <xdr:row>58</xdr:row>
      <xdr:rowOff>375898</xdr:rowOff>
    </xdr:from>
    <xdr:to>
      <xdr:col>7</xdr:col>
      <xdr:colOff>571500</xdr:colOff>
      <xdr:row>65</xdr:row>
      <xdr:rowOff>95250</xdr:rowOff>
    </xdr:to>
    <xdr:graphicFrame macro="">
      <xdr:nvGraphicFramePr>
        <xdr:cNvPr id="5" name="Chart 4">
          <a:extLst>
            <a:ext uri="{FF2B5EF4-FFF2-40B4-BE49-F238E27FC236}">
              <a16:creationId xmlns:a16="http://schemas.microsoft.com/office/drawing/2014/main" id="{00000000-0008-0000-1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244928</xdr:colOff>
      <xdr:row>0</xdr:row>
      <xdr:rowOff>129268</xdr:rowOff>
    </xdr:from>
    <xdr:to>
      <xdr:col>1</xdr:col>
      <xdr:colOff>1745116</xdr:colOff>
      <xdr:row>1</xdr:row>
      <xdr:rowOff>492125</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52428059" y="129268"/>
          <a:ext cx="2300288" cy="76290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25400</xdr:colOff>
      <xdr:row>5</xdr:row>
      <xdr:rowOff>0</xdr:rowOff>
    </xdr:from>
    <xdr:to>
      <xdr:col>7</xdr:col>
      <xdr:colOff>591552</xdr:colOff>
      <xdr:row>35</xdr:row>
      <xdr:rowOff>90237</xdr:rowOff>
    </xdr:to>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11165074659" y="842211"/>
          <a:ext cx="5338678" cy="5504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fa-IR" sz="1100" b="1" i="0">
              <a:solidFill>
                <a:schemeClr val="dk1"/>
              </a:solidFill>
              <a:effectLst/>
              <a:latin typeface="+mn-lt"/>
              <a:ea typeface="+mn-ea"/>
              <a:cs typeface="2  Zar" panose="00000400000000000000" pitchFamily="2" charset="-78"/>
            </a:rPr>
            <a:t>نرخ مالیات در تهیه طرح توجیهی (</a:t>
          </a:r>
          <a:r>
            <a:rPr lang="en-US" sz="1100" b="1" i="0">
              <a:solidFill>
                <a:schemeClr val="dk1"/>
              </a:solidFill>
              <a:effectLst/>
              <a:latin typeface="+mn-lt"/>
              <a:ea typeface="+mn-ea"/>
              <a:cs typeface="2  Zar" panose="00000400000000000000" pitchFamily="2" charset="-78"/>
            </a:rPr>
            <a:t>Tax)</a:t>
          </a:r>
          <a:endParaRPr lang="en-US" sz="1100" b="0" i="0">
            <a:solidFill>
              <a:schemeClr val="dk1"/>
            </a:solidFill>
            <a:effectLst/>
            <a:latin typeface="+mn-lt"/>
            <a:ea typeface="+mn-ea"/>
            <a:cs typeface="2  Zar" panose="00000400000000000000" pitchFamily="2" charset="-78"/>
          </a:endParaRPr>
        </a:p>
        <a:p>
          <a:pPr algn="r" rtl="1"/>
          <a:br>
            <a:rPr lang="fa-IR" sz="1100" b="0" i="0">
              <a:solidFill>
                <a:schemeClr val="dk1"/>
              </a:solidFill>
              <a:effectLst/>
              <a:latin typeface="+mn-lt"/>
              <a:ea typeface="+mn-ea"/>
              <a:cs typeface="2  Zar" panose="00000400000000000000" pitchFamily="2" charset="-78"/>
            </a:rPr>
          </a:br>
          <a:r>
            <a:rPr lang="fa-IR" sz="1100" b="0" i="0">
              <a:solidFill>
                <a:schemeClr val="dk1"/>
              </a:solidFill>
              <a:effectLst/>
              <a:latin typeface="+mn-lt"/>
              <a:ea typeface="+mn-ea"/>
              <a:cs typeface="2  Zar" panose="00000400000000000000" pitchFamily="2" charset="-78"/>
            </a:rPr>
            <a:t>نرخ مالیات بر درآمد کسب و کارها </a:t>
          </a:r>
          <a:r>
            <a:rPr lang="fa-IR" sz="1100" b="1" i="0">
              <a:solidFill>
                <a:schemeClr val="dk1"/>
              </a:solidFill>
              <a:effectLst/>
              <a:latin typeface="+mn-lt"/>
              <a:ea typeface="+mn-ea"/>
              <a:cs typeface="2  Zar" panose="00000400000000000000" pitchFamily="2" charset="-78"/>
            </a:rPr>
            <a:t>(</a:t>
          </a:r>
          <a:r>
            <a:rPr lang="en-US" sz="1100" b="1" i="0">
              <a:solidFill>
                <a:schemeClr val="dk1"/>
              </a:solidFill>
              <a:effectLst/>
              <a:latin typeface="+mn-lt"/>
              <a:ea typeface="+mn-ea"/>
              <a:cs typeface="2  Zar" panose="00000400000000000000" pitchFamily="2" charset="-78"/>
            </a:rPr>
            <a:t>Corporate Tax or Income Tax)</a:t>
          </a:r>
          <a:r>
            <a:rPr lang="en-US" sz="1100" b="0" i="0">
              <a:solidFill>
                <a:schemeClr val="dk1"/>
              </a:solidFill>
              <a:effectLst/>
              <a:latin typeface="+mn-lt"/>
              <a:ea typeface="+mn-ea"/>
              <a:cs typeface="2  Zar" panose="00000400000000000000" pitchFamily="2" charset="-78"/>
            </a:rPr>
            <a:t> </a:t>
          </a:r>
          <a:r>
            <a:rPr lang="fa-IR" sz="1100" b="0" i="0">
              <a:solidFill>
                <a:schemeClr val="dk1"/>
              </a:solidFill>
              <a:effectLst/>
              <a:latin typeface="+mn-lt"/>
              <a:ea typeface="+mn-ea"/>
              <a:cs typeface="2  Zar" panose="00000400000000000000" pitchFamily="2" charset="-78"/>
            </a:rPr>
            <a:t>در کشور معادل ۲۵ درصد سود ناخالص در هر سال در نظر گرفته می‌شود.</a:t>
          </a:r>
        </a:p>
        <a:p>
          <a:pPr algn="r" rtl="1"/>
          <a:r>
            <a:rPr lang="fa-IR" sz="1100" b="0" i="0">
              <a:solidFill>
                <a:schemeClr val="dk1"/>
              </a:solidFill>
              <a:effectLst/>
              <a:latin typeface="+mn-lt"/>
              <a:ea typeface="+mn-ea"/>
              <a:cs typeface="2  Zar" panose="00000400000000000000" pitchFamily="2" charset="-78"/>
            </a:rPr>
            <a:t>هر یک از مناطق ویژه اقتصادی و مناطق آزاد تجاری، از ۷ تا ۲۰ سال معافیت مالیاتی دارند که در وب‌سایت سازمان هر منطقه اعلام شده است.</a:t>
          </a:r>
        </a:p>
        <a:p>
          <a:pPr algn="r" rtl="1"/>
          <a:r>
            <a:rPr lang="fa-IR" sz="1100" b="0" i="0">
              <a:solidFill>
                <a:schemeClr val="dk1"/>
              </a:solidFill>
              <a:effectLst/>
              <a:latin typeface="+mn-lt"/>
              <a:ea typeface="+mn-ea"/>
              <a:cs typeface="2  Zar" panose="00000400000000000000" pitchFamily="2" charset="-78"/>
            </a:rPr>
            <a:t>هر یک از مناطق محروم کشور، بسته به درجه محرومیت آن منطقه از ۵ سال تا مادام‌العمر معافیت مالیاتی دارند که با مراجعه به وب‌سایت سازمان صنعت، معدن، تجارت استان مربوطه اعلام شده است.</a:t>
          </a:r>
        </a:p>
        <a:p>
          <a:pPr algn="r" rtl="1"/>
          <a:r>
            <a:rPr lang="fa-IR" sz="1100" b="0" i="0">
              <a:solidFill>
                <a:schemeClr val="dk1"/>
              </a:solidFill>
              <a:effectLst/>
              <a:latin typeface="+mn-lt"/>
              <a:ea typeface="+mn-ea"/>
              <a:cs typeface="2  Zar" panose="00000400000000000000" pitchFamily="2" charset="-78"/>
            </a:rPr>
            <a:t>تولید عمده محصولات کشاورزی در داخل ایران، معاف از مالیات میباشد. البته مراحل فرآوری صنعتی مشمول معافیت مالیاتی نمی‌شود.</a:t>
          </a:r>
        </a:p>
        <a:p>
          <a:pPr algn="r" rtl="1"/>
          <a:r>
            <a:rPr lang="fa-IR" sz="1100" b="0" i="0">
              <a:solidFill>
                <a:schemeClr val="dk1"/>
              </a:solidFill>
              <a:effectLst/>
              <a:latin typeface="+mn-lt"/>
              <a:ea typeface="+mn-ea"/>
              <a:cs typeface="2  Zar" panose="00000400000000000000" pitchFamily="2" charset="-78"/>
            </a:rPr>
            <a:t>از آنجاکه مالیات بر ارزش افزوده، توسط تولید کننده از مصرف‌کننده اخذ و به دولت پرداخت می‌شود، لذا تاثیری بر درآمد/هزینه تولید کننده ندارد و در محاسبات طرح‌های توجیهی در نظر گرفته نمی‌شود. در واقع، تولیدکننده واسطی است بین مصرف کننده و دولت، جهت اخذ مالیات بر ارزش افزوده.</a:t>
          </a:r>
        </a:p>
        <a:p>
          <a:pPr algn="r" rtl="1"/>
          <a:r>
            <a:rPr lang="fa-IR" sz="1100" b="0" i="0">
              <a:solidFill>
                <a:schemeClr val="dk1"/>
              </a:solidFill>
              <a:effectLst/>
              <a:latin typeface="+mn-lt"/>
              <a:ea typeface="+mn-ea"/>
              <a:cs typeface="2  Zar" panose="00000400000000000000" pitchFamily="2" charset="-78"/>
            </a:rPr>
            <a:t>چنانچه در کشوری، برای کسب و کارهای فعال در یک حوزه خاص، بخشی از سود ناخالص سالانه شرکت، معاف از مالیات در نظر گرفته شود، به آن کمک/تخفیف/پاداش مالیاتی یا سود معاف از مالیات یا </a:t>
          </a:r>
          <a:r>
            <a:rPr lang="en-US" sz="1100" b="0" i="0">
              <a:solidFill>
                <a:schemeClr val="dk1"/>
              </a:solidFill>
              <a:effectLst/>
              <a:latin typeface="+mn-lt"/>
              <a:ea typeface="+mn-ea"/>
              <a:cs typeface="2  Zar" panose="00000400000000000000" pitchFamily="2" charset="-78"/>
            </a:rPr>
            <a:t>Allowance </a:t>
          </a:r>
          <a:r>
            <a:rPr lang="fa-IR" sz="1100" b="0" i="0">
              <a:solidFill>
                <a:schemeClr val="dk1"/>
              </a:solidFill>
              <a:effectLst/>
              <a:latin typeface="+mn-lt"/>
              <a:ea typeface="+mn-ea"/>
              <a:cs typeface="2  Zar" panose="00000400000000000000" pitchFamily="2" charset="-78"/>
            </a:rPr>
            <a:t>گفته میشود. در این حالت، سود مشمول مالیات با عبارت </a:t>
          </a:r>
          <a:r>
            <a:rPr lang="en-US" sz="1100" b="0" i="0">
              <a:solidFill>
                <a:schemeClr val="dk1"/>
              </a:solidFill>
              <a:effectLst/>
              <a:latin typeface="+mn-lt"/>
              <a:ea typeface="+mn-ea"/>
              <a:cs typeface="2  Zar" panose="00000400000000000000" pitchFamily="2" charset="-78"/>
            </a:rPr>
            <a:t>Taxable Profit </a:t>
          </a:r>
          <a:r>
            <a:rPr lang="fa-IR" sz="1100" b="0" i="0">
              <a:solidFill>
                <a:schemeClr val="dk1"/>
              </a:solidFill>
              <a:effectLst/>
              <a:latin typeface="+mn-lt"/>
              <a:ea typeface="+mn-ea"/>
              <a:cs typeface="2  Zar" panose="00000400000000000000" pitchFamily="2" charset="-78"/>
            </a:rPr>
            <a:t>بیان می‌گردد.</a:t>
          </a:r>
        </a:p>
        <a:p>
          <a:pPr algn="r" rtl="1"/>
          <a:r>
            <a:rPr lang="fa-IR" sz="1100" b="0" i="0">
              <a:solidFill>
                <a:schemeClr val="dk1"/>
              </a:solidFill>
              <a:effectLst/>
              <a:latin typeface="+mn-lt"/>
              <a:ea typeface="+mn-ea"/>
              <a:cs typeface="2  Zar" panose="00000400000000000000" pitchFamily="2" charset="-78"/>
            </a:rPr>
            <a:t>با وجود اینکه قانون انتقال زیان انباشته در اکثر کشورها وجود دارد، که موجب کاهش مالیات در طرح‌هایی میگردد که یک یا چند سال را با زیان پشت سر می‌گذارند، اما در محاسبات و برآوردهای طرح‌های توجیهی مطرح نمی‌شود و مدل مالی طرح، بدون در نظر گرفتن این قانون ترسیم میشود.</a:t>
          </a:r>
        </a:p>
        <a:p>
          <a:pPr algn="r" rtl="1"/>
          <a:endParaRPr lang="fa-IR" sz="1100"/>
        </a:p>
      </xdr:txBody>
    </xdr:sp>
    <xdr:clientData/>
  </xdr:twoCellAnchor>
  <xdr:twoCellAnchor editAs="oneCell">
    <xdr:from>
      <xdr:col>0</xdr:col>
      <xdr:colOff>1</xdr:colOff>
      <xdr:row>0</xdr:row>
      <xdr:rowOff>50131</xdr:rowOff>
    </xdr:from>
    <xdr:to>
      <xdr:col>1</xdr:col>
      <xdr:colOff>591553</xdr:colOff>
      <xdr:row>1</xdr:row>
      <xdr:rowOff>240631</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69165395" y="50131"/>
          <a:ext cx="1273341" cy="4812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47626</xdr:rowOff>
    </xdr:from>
    <xdr:to>
      <xdr:col>2</xdr:col>
      <xdr:colOff>612774</xdr:colOff>
      <xdr:row>1</xdr:row>
      <xdr:rowOff>247650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83823201" y="47626"/>
          <a:ext cx="1368424" cy="59689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22</xdr:row>
      <xdr:rowOff>147637</xdr:rowOff>
    </xdr:from>
    <xdr:to>
      <xdr:col>3</xdr:col>
      <xdr:colOff>1047750</xdr:colOff>
      <xdr:row>34</xdr:row>
      <xdr:rowOff>178593</xdr:rowOff>
    </xdr:to>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331389</xdr:colOff>
      <xdr:row>35</xdr:row>
      <xdr:rowOff>140891</xdr:rowOff>
    </xdr:from>
    <xdr:to>
      <xdr:col>3</xdr:col>
      <xdr:colOff>1079102</xdr:colOff>
      <xdr:row>48</xdr:row>
      <xdr:rowOff>119063</xdr:rowOff>
    </xdr:to>
    <xdr:graphicFrame macro="">
      <xdr:nvGraphicFramePr>
        <xdr:cNvPr id="3" name="Chart 2">
          <a:extLst>
            <a:ext uri="{FF2B5EF4-FFF2-40B4-BE49-F238E27FC236}">
              <a16:creationId xmlns:a16="http://schemas.microsoft.com/office/drawing/2014/main" id="{00000000-0008-0000-1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1095375</xdr:colOff>
      <xdr:row>1</xdr:row>
      <xdr:rowOff>247650</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442364500" y="0"/>
          <a:ext cx="1181100" cy="504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285750</xdr:colOff>
      <xdr:row>19</xdr:row>
      <xdr:rowOff>44904</xdr:rowOff>
    </xdr:from>
    <xdr:to>
      <xdr:col>8</xdr:col>
      <xdr:colOff>247650</xdr:colOff>
      <xdr:row>48</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83007</xdr:colOff>
      <xdr:row>54</xdr:row>
      <xdr:rowOff>172811</xdr:rowOff>
    </xdr:from>
    <xdr:to>
      <xdr:col>8</xdr:col>
      <xdr:colOff>644979</xdr:colOff>
      <xdr:row>82</xdr:row>
      <xdr:rowOff>47626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6</xdr:row>
      <xdr:rowOff>47624</xdr:rowOff>
    </xdr:from>
    <xdr:to>
      <xdr:col>8</xdr:col>
      <xdr:colOff>600075</xdr:colOff>
      <xdr:row>6</xdr:row>
      <xdr:rowOff>2362200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1230013100" y="1019174"/>
          <a:ext cx="8134350" cy="2314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fa-IR" b="1">
              <a:cs typeface="2  Mitra" panose="00000400000000000000" pitchFamily="2" charset="-78"/>
            </a:rPr>
            <a:t>در بررسي محوطه سازي، نكات زير مورد توجه قرار ميگيرند</a:t>
          </a:r>
          <a:br>
            <a:rPr lang="fa-IR">
              <a:cs typeface="2  Mitra" panose="00000400000000000000" pitchFamily="2" charset="-78"/>
            </a:rPr>
          </a:br>
          <a:r>
            <a:rPr lang="fa-IR">
              <a:cs typeface="2  Mitra" panose="00000400000000000000" pitchFamily="2" charset="-78"/>
            </a:rPr>
            <a:t> 1 -نياز به تسطيح، ميزان و هزينه هاي آن (نقشه برداري، آزمايش خاك، خاكبرداري، حمل، خاكريزي، كوبيدن)</a:t>
          </a:r>
          <a:br>
            <a:rPr lang="fa-IR">
              <a:cs typeface="2  Mitra" panose="00000400000000000000" pitchFamily="2" charset="-78"/>
            </a:rPr>
          </a:br>
          <a:r>
            <a:rPr lang="fa-IR">
              <a:cs typeface="2  Mitra" panose="00000400000000000000" pitchFamily="2" charset="-78"/>
            </a:rPr>
            <a:t> 2 -حصار يا ديواركشي: نوع ديوار(آجري، بلوك، نرده و... )، عرض، ارتفاع، طول با توجه به ابعاد زمين، بـرآورد قيمـت هـر مترمربع يا متر طول و هزينه كل آن</a:t>
          </a:r>
          <a:br>
            <a:rPr lang="fa-IR">
              <a:cs typeface="2  Mitra" panose="00000400000000000000" pitchFamily="2" charset="-78"/>
            </a:rPr>
          </a:br>
          <a:r>
            <a:rPr lang="fa-IR">
              <a:cs typeface="2  Mitra" panose="00000400000000000000" pitchFamily="2" charset="-78"/>
            </a:rPr>
            <a:t> 3 -نوع و هزينه درهاي ورودي</a:t>
          </a:r>
          <a:br>
            <a:rPr lang="fa-IR">
              <a:cs typeface="2  Mitra" panose="00000400000000000000" pitchFamily="2" charset="-78"/>
            </a:rPr>
          </a:br>
          <a:r>
            <a:rPr lang="fa-IR">
              <a:cs typeface="2  Mitra" panose="00000400000000000000" pitchFamily="2" charset="-78"/>
            </a:rPr>
            <a:t> 4 -جدول بندي و كانال كشي: ميزان نياز جدول بندي و آبروها با در نظر گرفتن خيابـان كشـي جهـت جمـع آوري و هـدايت آبهاي سطحي، هزينه هر واحد و هزينه كل</a:t>
          </a:r>
          <a:br>
            <a:rPr lang="fa-IR">
              <a:cs typeface="2  Mitra" panose="00000400000000000000" pitchFamily="2" charset="-78"/>
            </a:rPr>
          </a:br>
          <a:r>
            <a:rPr lang="fa-IR">
              <a:cs typeface="2  Mitra" panose="00000400000000000000" pitchFamily="2" charset="-78"/>
            </a:rPr>
            <a:t> 5 -خيابان كشي و آسفالت: متراژ و ابعاد لازم جهت ارتباط داخل محوطه و بيرون كارخانه، زيرسازي، آسـفالت، هزينـه هـر مترمربع و هزينه كل نكته: در مواردي كه نياز به جاده سازي در خارج از محوطه كارخانه مي باشد اين مهم بايد مورد توجه و تحليل قرار گيرد.</a:t>
          </a:r>
          <a:br>
            <a:rPr lang="fa-IR">
              <a:cs typeface="2  Mitra" panose="00000400000000000000" pitchFamily="2" charset="-78"/>
            </a:rPr>
          </a:br>
          <a:r>
            <a:rPr lang="fa-IR">
              <a:cs typeface="2  Mitra" panose="00000400000000000000" pitchFamily="2" charset="-78"/>
            </a:rPr>
            <a:t> 6 -پاركينگ: فضاي مورد نياز و هزينه هاي مرتبط به آن</a:t>
          </a:r>
          <a:br>
            <a:rPr lang="fa-IR">
              <a:cs typeface="2  Mitra" panose="00000400000000000000" pitchFamily="2" charset="-78"/>
            </a:rPr>
          </a:br>
          <a:r>
            <a:rPr lang="fa-IR">
              <a:cs typeface="2  Mitra" panose="00000400000000000000" pitchFamily="2" charset="-78"/>
            </a:rPr>
            <a:t> 7 -فضاي سبز: ميزان مورد نياز و هزينه آن</a:t>
          </a:r>
          <a:br>
            <a:rPr lang="fa-IR">
              <a:cs typeface="2  Mitra" panose="00000400000000000000" pitchFamily="2" charset="-78"/>
            </a:rPr>
          </a:br>
          <a:r>
            <a:rPr lang="fa-IR">
              <a:cs typeface="2  Mitra" panose="00000400000000000000" pitchFamily="2" charset="-78"/>
            </a:rPr>
            <a:t> 8 -روشنايي محوطه: هزينه هاي كابل كشي، نصب تير و ساير هزينه هاي روشنايي، ميزان و مقدار آن</a:t>
          </a:r>
          <a:br>
            <a:rPr lang="fa-IR">
              <a:cs typeface="2  Mitra" panose="00000400000000000000" pitchFamily="2" charset="-78"/>
            </a:rPr>
          </a:br>
          <a:r>
            <a:rPr lang="fa-IR">
              <a:cs typeface="2  Mitra" panose="00000400000000000000" pitchFamily="2" charset="-78"/>
            </a:rPr>
            <a:t> 9 -ساير ( ازجمله هزينه احداث اسكله و ساير مستحدثات ازاين نوع )</a:t>
          </a:r>
          <a:endParaRPr lang="fa-IR" sz="1100">
            <a:cs typeface="2  Mitra" panose="00000400000000000000" pitchFamily="2" charset="-78"/>
          </a:endParaRPr>
        </a:p>
      </xdr:txBody>
    </xdr:sp>
    <xdr:clientData/>
  </xdr:twoCellAnchor>
  <xdr:twoCellAnchor editAs="oneCell">
    <xdr:from>
      <xdr:col>1</xdr:col>
      <xdr:colOff>13606</xdr:colOff>
      <xdr:row>0</xdr:row>
      <xdr:rowOff>0</xdr:rowOff>
    </xdr:from>
    <xdr:to>
      <xdr:col>1</xdr:col>
      <xdr:colOff>2354036</xdr:colOff>
      <xdr:row>2</xdr:row>
      <xdr:rowOff>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46767321" y="0"/>
          <a:ext cx="2340430" cy="707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348588</xdr:rowOff>
    </xdr:from>
    <xdr:to>
      <xdr:col>8</xdr:col>
      <xdr:colOff>804334</xdr:colOff>
      <xdr:row>36</xdr:row>
      <xdr:rowOff>179915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43658</xdr:colOff>
      <xdr:row>6</xdr:row>
      <xdr:rowOff>59926</xdr:rowOff>
    </xdr:from>
    <xdr:to>
      <xdr:col>8</xdr:col>
      <xdr:colOff>910168</xdr:colOff>
      <xdr:row>6</xdr:row>
      <xdr:rowOff>963083</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0051277415" y="1848509"/>
          <a:ext cx="8729927" cy="9031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fa-IR" sz="1400">
              <a:cs typeface="2  Mitra" panose="00000400000000000000" pitchFamily="2" charset="-78"/>
            </a:rPr>
            <a:t>طراحي ساختمانها: مواردي از قبيل سطح زيربناي موردنياز، نوع و مشخصه هاي فني هر ساختمان و هزينه هر واحد و هزينه كـل آن بـا در نظـر گرفتن نياز طرح، موافقتهاي اخذ شده و ظرفيتهاي تعيين شده ميبايست برآورد گردد. </a:t>
          </a:r>
        </a:p>
      </xdr:txBody>
    </xdr:sp>
    <xdr:clientData/>
  </xdr:twoCellAnchor>
  <xdr:twoCellAnchor>
    <xdr:from>
      <xdr:col>0</xdr:col>
      <xdr:colOff>84668</xdr:colOff>
      <xdr:row>46</xdr:row>
      <xdr:rowOff>20502</xdr:rowOff>
    </xdr:from>
    <xdr:to>
      <xdr:col>8</xdr:col>
      <xdr:colOff>750360</xdr:colOff>
      <xdr:row>105</xdr:row>
      <xdr:rowOff>10582</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0051320807" y="12900419"/>
          <a:ext cx="8042275" cy="1122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fa-IR" sz="1300" b="1">
              <a:cs typeface="2  Zar" panose="00000400000000000000" pitchFamily="2" charset="-78"/>
            </a:rPr>
            <a:t>طراحي ساختمانها: </a:t>
          </a:r>
          <a:br>
            <a:rPr lang="fa-IR" sz="1300" b="1">
              <a:cs typeface="2  Zar" panose="00000400000000000000" pitchFamily="2" charset="-78"/>
            </a:rPr>
          </a:br>
          <a:br>
            <a:rPr lang="fa-IR" sz="1300" b="1">
              <a:cs typeface="2  Zar" panose="00000400000000000000" pitchFamily="2" charset="-78"/>
            </a:rPr>
          </a:br>
          <a:r>
            <a:rPr lang="fa-IR" sz="1300">
              <a:cs typeface="2  Zar" panose="00000400000000000000" pitchFamily="2" charset="-78"/>
            </a:rPr>
            <a:t>مواردي از قبيل سطح زيربناي موردنياز، نوع و مشخصه هاي فني هر ساختمان و هزينه هر واحد و هزينه كـل آن بـا در نظـر گرفتن نياز طرح، موافقتهاي اخذ شده و ظرفيتهاي تعيين شده ميبايست برآورد گردد. در مورد ساخت سـاختمانها توجـه بـه نكات زير ضروري است:</a:t>
          </a:r>
          <a:br>
            <a:rPr lang="fa-IR" sz="1300">
              <a:cs typeface="2  Zar" panose="00000400000000000000" pitchFamily="2" charset="-78"/>
            </a:rPr>
          </a:br>
          <a:r>
            <a:rPr lang="fa-IR" sz="1300">
              <a:cs typeface="2  Zar" panose="00000400000000000000" pitchFamily="2" charset="-78"/>
            </a:rPr>
            <a:t> 1 .نحوه محاسبه حجم ساختمانها با توجه به نوع هر يك</a:t>
          </a:r>
          <a:br>
            <a:rPr lang="fa-IR" sz="1300">
              <a:cs typeface="2  Zar" panose="00000400000000000000" pitchFamily="2" charset="-78"/>
            </a:rPr>
          </a:br>
          <a:r>
            <a:rPr lang="fa-IR" sz="1300">
              <a:cs typeface="2  Zar" panose="00000400000000000000" pitchFamily="2" charset="-78"/>
            </a:rPr>
            <a:t> 2 .ابعاد</a:t>
          </a:r>
          <a:br>
            <a:rPr lang="fa-IR" sz="1300">
              <a:cs typeface="2  Zar" panose="00000400000000000000" pitchFamily="2" charset="-78"/>
            </a:rPr>
          </a:br>
          <a:r>
            <a:rPr lang="fa-IR" sz="1300">
              <a:cs typeface="2  Zar" panose="00000400000000000000" pitchFamily="2" charset="-78"/>
            </a:rPr>
            <a:t> 3 .نوع ساختمان با توجه به شرايط منطقه از نظر ريزش باران، برف، فشار باد و ساير شـرايط جـوي، چيـدمان دسـتگاهها (لياوت)، نوع صنعت</a:t>
          </a:r>
          <a:br>
            <a:rPr lang="fa-IR" sz="1300">
              <a:cs typeface="2  Zar" panose="00000400000000000000" pitchFamily="2" charset="-78"/>
            </a:rPr>
          </a:br>
          <a:r>
            <a:rPr lang="fa-IR" sz="1300">
              <a:cs typeface="2  Zar" panose="00000400000000000000" pitchFamily="2" charset="-78"/>
            </a:rPr>
            <a:t> 4 .ارتفاع مفيد</a:t>
          </a:r>
          <a:br>
            <a:rPr lang="fa-IR" sz="1300">
              <a:cs typeface="2  Zar" panose="00000400000000000000" pitchFamily="2" charset="-78"/>
            </a:rPr>
          </a:br>
          <a:r>
            <a:rPr lang="fa-IR" sz="1300">
              <a:cs typeface="2  Zar" panose="00000400000000000000" pitchFamily="2" charset="-78"/>
            </a:rPr>
            <a:t> 5 .هزينه ساخت با توجه به قيمتها و استعلامهاي دريافتي</a:t>
          </a:r>
          <a:br>
            <a:rPr lang="fa-IR" sz="1300">
              <a:cs typeface="2  Zar" panose="00000400000000000000" pitchFamily="2" charset="-78"/>
            </a:rPr>
          </a:br>
          <a:r>
            <a:rPr lang="fa-IR" sz="1300">
              <a:cs typeface="2  Zar" panose="00000400000000000000" pitchFamily="2" charset="-78"/>
            </a:rPr>
            <a:t> 6 .ارائه مشخصات ساختمانها و عمليات ساختماني از قبيل ديواركشي، كف سازي، بتن ريزي تذكر: ضروري است مساحت، ابعاد و ارتفاع ساختمانها با نقشههاي تأييد شده مراجع ذيـربط (ازجمله مهندس نـاظر و در صـورت احداث در شهرك صنعتي توسط سازمان مربوطه) و نحوه چيدمان دستگاهها مطابقت و همخواني داشته باشد. استفاده از مصالح و تجهيزات خاص در ساختمان بايد از توجيه لازم برخوردار بوده و دليل انتخاب آنها ذكر شود. تأسيسات داخلي ساختمانها اعم از الكتريكي و مكانيكي از قبيل لولهكشي، سيمكشي، كانالكشي، نور، تهويـه و غيـره معمـولاً جزو هزينه هاي ساختماني منظور ميشوند. </a:t>
          </a:r>
          <a:br>
            <a:rPr lang="fa-IR" sz="1300">
              <a:cs typeface="2  Zar" panose="00000400000000000000" pitchFamily="2" charset="-78"/>
            </a:rPr>
          </a:br>
          <a:r>
            <a:rPr lang="fa-IR" sz="1300">
              <a:cs typeface="2  Zar" panose="00000400000000000000" pitchFamily="2" charset="-78"/>
            </a:rPr>
            <a:t>. الف- برخي انواع ساختمانهاي توليد (متناسب با نياز و واحدهاي صنعتي) 1 -ساختمانهاي اصلي توليد 1-1 .سالن سوله با اسكلت فلزي و سقف سبك يا بتني و دهانه متناسب با نياز طرح و ارتفاع مفيد جرثقيل بدون. 1-1-1 جرثقيل با. 2-1-1 1-2 .ساختمان چند طبقه با اسكلت فلزي حامل بار دستگاهها و جرثقيل 1-3 .فونداسيون ماشين آلات 2 -انبارها 1-2 .انبار مواد اوليه 1-1-2 .سرپوشيده به دهانه مورد نياز با اسكلت فلزي و سقف سبك شيبدار و كف بتني 2-1-2 .سرباز با كف بتني يا ساده ابعاد و مساحت آن بايد براساس مقدار ذخيره مواد اوليه مورد نياز، وضعيت ذخيره نمودن و ميزان مـورد نظـر در سرمايه در گردش تعيين گردد. 2 -2 .انبار عمومي 1-2-2 .سرپوشيده به دهانه مورد نياز با اسكلت فلزي و سقف سبك شيبدار و كف بتني 2-2-2 .سرباز با كف بتني 2 -3 .انبار محصول 1-3-2 .سرپوشيده به دهانه مورد نياز با اسكلت فلزي و سقف سبك شيبدار و كف بتني 2-3-2 .سرباز با كف بتني يا ساده ابعاد و مساحت آن بايد براساس مقدار كالاي ساخته شده، دوره تعيين شده در سرمايه در گردش و وضعيت ذخيره در انبار محاسبه و تعيين گردد. 2 -4 .انبار مواد نسوز 2 -5 .انبار مواد محترقه و غيره</a:t>
          </a:r>
          <a:br>
            <a:rPr lang="fa-IR" sz="1300">
              <a:cs typeface="2  Zar" panose="00000400000000000000" pitchFamily="2" charset="-78"/>
            </a:rPr>
          </a:br>
          <a:r>
            <a:rPr lang="fa-IR" sz="1300">
              <a:cs typeface="2  Zar" panose="00000400000000000000" pitchFamily="2" charset="-78"/>
            </a:rPr>
            <a:t> ب - ساختمانهاي تأسيساتي 1 -ساختمان آب 1-1 .واحد آب بهداشتي و غير صنعتي 2-1 .واحد آبهاي صنعتي شامل آبهاي مورد نياز توليد و تأسيسات 3-1 .مخازن زميني و هوايي بتني با ظرفيت مورد نياز استخر. 1-4 5-1 .پمپ خانه 6-1 .فونداسيون تجهيزات مربوطه 2 -ساختمان بخار 3 -ساختمان برق 1-3 .پست ترانسفورماتور / ترانس 2-3 .ساختمان برق اضطراري 3-3 .فونداسيون يا سازه هاي خاص موردنياز 4 -ساختمان سوخت يا فونداسيون مخازن زير زميني سوخت 5 -ساختمان گرمايش و سرمايش (جهت شوفاژ، چيلرو غيره) 6 -ساختمان براي روغن داغ (ديگ روغن) 7 -ساختمان براي تاسيسات هواي فشرده (محل استقرار كمپرسورها) 8 -ساختمان براي تاسيسات گازهاي صنعتي شامل اكسيژن، نيتروژن يا فونداسيون مخازن مربوطه 9 -ساختمان براي تاسيسات فاضلاب و تصفيه آن 1-9 .فاضلاب بهداشتي 2-9 .فاضلاب صنعتي 3-9 .استخرهاي مربوطه 10 -ساختمان تهويه 11 -ساختمان آزمايشگاه 12 -ساختمان آتش نشاني 13 -ساختمان تعميرگاه 1-13 -تعميرگاه وسائط نقليه با اسكلت فلزي و سقف شيبدار سبك 2-13 -تعميرگاه ماشين آلات خط توليد 14 -ساختمانهاي كارگاه شامل نجاري، تراشكاري، ريخته گري و غيره 15 -ساير از جمله ساختمان واحد زباله سوز 16 -ساختمان سردخانه لازم به ذكر است كه تجهيزات مربوط به سردخانه، در بخش ماشين آلات لحاظ مي شوند.</a:t>
          </a:r>
          <a:br>
            <a:rPr lang="fa-IR" sz="1300">
              <a:cs typeface="2  Zar" panose="00000400000000000000" pitchFamily="2" charset="-78"/>
            </a:rPr>
          </a:br>
          <a:r>
            <a:rPr lang="fa-IR" sz="1300">
              <a:cs typeface="2  Zar" panose="00000400000000000000" pitchFamily="2" charset="-78"/>
            </a:rPr>
            <a:t> ج- ساختمانهاي اداري 1 -اداري مركزي و مديريت 2 -اداري فرعي 3 -نگهباني 4 -ساختمان باسكول 5 -ساير</a:t>
          </a:r>
          <a:br>
            <a:rPr lang="fa-IR" sz="1300">
              <a:cs typeface="2  Zar" panose="00000400000000000000" pitchFamily="2" charset="-78"/>
            </a:rPr>
          </a:br>
          <a:r>
            <a:rPr lang="fa-IR" sz="1300">
              <a:cs typeface="2  Zar" panose="00000400000000000000" pitchFamily="2" charset="-78"/>
            </a:rPr>
            <a:t> د- ساختمانهاي خدماتي 1 -ناهارخوري 2 -درمانگاه 3 -خوابگاه 4 -مهمانسرا 5 -نمازخانه و تالار اجتماعات 6 -پاركينگ 7 -تعاوني كاركنان محل ساختمانها موقعيت ساختمانها از لحاظ موقعيت مكاني آنها نسبت به يكديگر بايد متناسب با خطوط توليد و سهولت گردش مـواد و كـالا باشد. خطوط ارتباطي داخلي در محوطه كارخانه ميبايست به گونه اي باشد كه در ارتباط با جريان مواد اوليه، محصول، سـوخت، سهولت امكان اطفاء حريق و ساير موارد ديگر، ترافيك در حداقل ممكن باشد. جهت توسعه احتمالي طرح ميبايست پيشبينـي فضاي كافي در طراحي محل ساختمانها و محوطه صورت گيرد. </a:t>
          </a:r>
          <a:br>
            <a:rPr lang="fa-IR" sz="1300">
              <a:cs typeface="2  Zar" panose="00000400000000000000" pitchFamily="2" charset="-78"/>
            </a:rPr>
          </a:br>
          <a:br>
            <a:rPr lang="fa-IR" sz="1300">
              <a:cs typeface="2  Zar" panose="00000400000000000000" pitchFamily="2" charset="-78"/>
            </a:rPr>
          </a:br>
          <a:r>
            <a:rPr lang="fa-IR" sz="1300">
              <a:cs typeface="2  Zar" panose="00000400000000000000" pitchFamily="2" charset="-78"/>
            </a:rPr>
            <a:t>نكات: • در صورتي كه در طرح تأسيس يا توسعه ساختمانهايي باشند كه مورد استفاده طرح نباشند يا بخشي از ساختمان مـورد استفاده طرح نباشد بايد به عنوان خارج از طرح لحاظ شود. در صورتي كه خط توليد بخش توسعه در ساختمان بخش موجود مستقر ميگردد، بايد براسـاس مسـاحت مـورد نيـاز تقسيم به نسبت صورت پذيرد. در صورتي كه اين امر امكانپذير نباشد بايد تمام ساختمان را تنها جهت واحـد موجـود در نظر گرفت. </a:t>
          </a:r>
        </a:p>
      </xdr:txBody>
    </xdr:sp>
    <xdr:clientData/>
  </xdr:twoCellAnchor>
  <xdr:twoCellAnchor editAs="oneCell">
    <xdr:from>
      <xdr:col>0</xdr:col>
      <xdr:colOff>144463</xdr:colOff>
      <xdr:row>0</xdr:row>
      <xdr:rowOff>9525</xdr:rowOff>
    </xdr:from>
    <xdr:to>
      <xdr:col>1</xdr:col>
      <xdr:colOff>1316038</xdr:colOff>
      <xdr:row>2</xdr:row>
      <xdr:rowOff>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15800212" y="9525"/>
          <a:ext cx="1528763" cy="51633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3174</xdr:colOff>
      <xdr:row>19</xdr:row>
      <xdr:rowOff>9526</xdr:rowOff>
    </xdr:from>
    <xdr:to>
      <xdr:col>8</xdr:col>
      <xdr:colOff>561974</xdr:colOff>
      <xdr:row>39</xdr:row>
      <xdr:rowOff>66676</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25401</xdr:colOff>
      <xdr:row>5</xdr:row>
      <xdr:rowOff>206375</xdr:rowOff>
    </xdr:from>
    <xdr:to>
      <xdr:col>8</xdr:col>
      <xdr:colOff>752475</xdr:colOff>
      <xdr:row>5</xdr:row>
      <xdr:rowOff>1504950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9514417725" y="1511300"/>
          <a:ext cx="6946899" cy="1298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fa-IR">
              <a:cs typeface="2  Zar" panose="00000400000000000000" pitchFamily="2" charset="-78"/>
            </a:rPr>
            <a:t>بر حسب نياز، انواع تأسيسات يك طرح توليدي از قبيل برق، آب، بخار، هواي فشرده، سوخت، گازهـاي صـنعتي، روغـن داغ، لوله كشي، سيستم اعلام و اطفاي حريق، سيستم گرمايش و سرمايش، سيستم تصفيه آب، سيستم تصـفيه فاضـلاب صـنعتي و غيرصنعتي، باسكول، تهويه، واحد زباله سوز، مخابرات، چيلر، برج خنك كننده و سيستم حفـاظتي مشـخص و هزينـه هـر يـك تعيين ميشود. منابع تأمين، مـــقدار مــورد نياز، ذخيره سازي و تجهيزات اضطراري در هـر مـورد مـيبايسـت بـرآورد گردنـد. هزينه هاي تأسيسات، شامل خريد و نصب دستگاهها و تجهيزات اصلي، يدكي و ذخيره، لوله، كابل، اتصـالات و غيـره اسـت. </a:t>
          </a:r>
          <a:endParaRPr lang="fa-IR" sz="1100">
            <a:cs typeface="2  Zar" panose="00000400000000000000" pitchFamily="2" charset="-78"/>
          </a:endParaRPr>
        </a:p>
      </xdr:txBody>
    </xdr:sp>
    <xdr:clientData/>
  </xdr:twoCellAnchor>
  <xdr:twoCellAnchor editAs="oneCell">
    <xdr:from>
      <xdr:col>0</xdr:col>
      <xdr:colOff>104775</xdr:colOff>
      <xdr:row>0</xdr:row>
      <xdr:rowOff>47625</xdr:rowOff>
    </xdr:from>
    <xdr:to>
      <xdr:col>1</xdr:col>
      <xdr:colOff>1533525</xdr:colOff>
      <xdr:row>1</xdr:row>
      <xdr:rowOff>295275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22298450" y="47625"/>
          <a:ext cx="1790700" cy="5143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58317</xdr:rowOff>
    </xdr:from>
    <xdr:to>
      <xdr:col>1</xdr:col>
      <xdr:colOff>1543050</xdr:colOff>
      <xdr:row>1</xdr:row>
      <xdr:rowOff>338430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06546669" y="58317"/>
          <a:ext cx="1543050" cy="5143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247650</xdr:colOff>
      <xdr:row>0</xdr:row>
      <xdr:rowOff>47625</xdr:rowOff>
    </xdr:from>
    <xdr:to>
      <xdr:col>3</xdr:col>
      <xdr:colOff>1495425</xdr:colOff>
      <xdr:row>1</xdr:row>
      <xdr:rowOff>295275</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18770650" y="47625"/>
          <a:ext cx="1743075" cy="5143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69453</xdr:colOff>
      <xdr:row>17</xdr:row>
      <xdr:rowOff>19842</xdr:rowOff>
    </xdr:from>
    <xdr:to>
      <xdr:col>6</xdr:col>
      <xdr:colOff>863203</xdr:colOff>
      <xdr:row>39</xdr:row>
      <xdr:rowOff>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55562</xdr:rowOff>
    </xdr:from>
    <xdr:to>
      <xdr:col>6</xdr:col>
      <xdr:colOff>1016000</xdr:colOff>
      <xdr:row>3</xdr:row>
      <xdr:rowOff>2579688</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911959078" y="958453"/>
          <a:ext cx="7038578" cy="2524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fa-IR" sz="1100" b="0" i="0">
              <a:solidFill>
                <a:schemeClr val="dk1"/>
              </a:solidFill>
              <a:effectLst/>
              <a:latin typeface="+mn-lt"/>
              <a:ea typeface="+mn-ea"/>
              <a:cs typeface="2  Zar" panose="00000400000000000000" pitchFamily="2" charset="-78"/>
            </a:rPr>
            <a:t>توضیحات:</a:t>
          </a:r>
          <a:br>
            <a:rPr lang="fa-IR" sz="1100" b="0" i="0">
              <a:solidFill>
                <a:schemeClr val="dk1"/>
              </a:solidFill>
              <a:effectLst/>
              <a:latin typeface="+mn-lt"/>
              <a:ea typeface="+mn-ea"/>
              <a:cs typeface="2  Zar" panose="00000400000000000000" pitchFamily="2" charset="-78"/>
            </a:rPr>
          </a:br>
          <a:r>
            <a:rPr lang="fa-IR" sz="1100" b="0" i="0">
              <a:solidFill>
                <a:schemeClr val="dk1"/>
              </a:solidFill>
              <a:effectLst/>
              <a:latin typeface="+mn-lt"/>
              <a:ea typeface="+mn-ea"/>
              <a:cs typeface="2  Zar" panose="00000400000000000000" pitchFamily="2" charset="-78"/>
            </a:rPr>
            <a:t>هزینه‌های قبل از بهره‌برداری، آن دسته از هزینه‌هایی هستند که در فاز ساخت و پیش از شروع تولید انجام می‌شوند و عمدتاً برخلاف دارایی‌های فیزیکی، در انتهای پروژه قابل فروش نیستند. در واقع، ارزش اسقاط آنها معادل صفر خواهد بود.</a:t>
          </a:r>
        </a:p>
        <a:p>
          <a:pPr algn="r" rtl="1"/>
          <a:r>
            <a:rPr lang="fa-IR" sz="1100" b="0" i="0">
              <a:solidFill>
                <a:schemeClr val="dk1"/>
              </a:solidFill>
              <a:effectLst/>
              <a:latin typeface="+mn-lt"/>
              <a:ea typeface="+mn-ea"/>
              <a:cs typeface="2  Zar" panose="00000400000000000000" pitchFamily="2" charset="-78"/>
            </a:rPr>
            <a:t>چنانچه یک مجوز خاص، تاریخ انقضاء نداشته باشد و به نام نباشد، می‌تواند در انتهای عمر پروژه قابل واگذاری باشد و ارزش اسقاط آن متناسب با مبلغ قابل واگذاری تعیین شود.</a:t>
          </a:r>
        </a:p>
        <a:p>
          <a:pPr algn="r" rtl="1"/>
          <a:r>
            <a:rPr lang="fa-IR" sz="1100" b="0" i="0">
              <a:solidFill>
                <a:schemeClr val="dk1"/>
              </a:solidFill>
              <a:effectLst/>
              <a:latin typeface="+mn-lt"/>
              <a:ea typeface="+mn-ea"/>
              <a:cs typeface="2  Zar" panose="00000400000000000000" pitchFamily="2" charset="-78"/>
            </a:rPr>
            <a:t>چنانچه در طرحی، سرمایه‌گذار ملزم به خرید حجم مشخصی از مواد اولیه مورد نیاز سال اول در ابتدای دوران بهره‌برداری به صورت یکجا باشد، آنگاه این بخش از هزینه‌های خرید مواد اولیه از لیست هزینه‌های تولید سال اول کسر می‌گردد و به هزینه‌های قبل از بهره‌برداری اضافه خواهد شد. در این حالت، مبلغ مربوطه به هزینه‌های سرمایه‌گذاری طرح اضافه خواهد شد و از ساختار سرمایه در گردش سال اول حذف خواهد شد. نکته قابل توجه آن است که در چنین شرایطی، دوره استهلاک هزینه خرید موجودی مواد اولیه در اول دوره که در سرفصل هزینه‌های قبل از بهره‌برداری ثبت شده است باید یکساله تعریف شود که در صورت سود و زیان، کل استهلاک آن به  هزینه استهلاک سال اول تولید اضافه شود.</a:t>
          </a:r>
        </a:p>
        <a:p>
          <a:pPr algn="r" rtl="1"/>
          <a:endParaRPr lang="fa-IR" sz="1100">
            <a:cs typeface="2  Zar" panose="00000400000000000000" pitchFamily="2" charset="-78"/>
          </a:endParaRPr>
        </a:p>
      </xdr:txBody>
    </xdr:sp>
    <xdr:clientData/>
  </xdr:twoCellAnchor>
  <xdr:twoCellAnchor editAs="oneCell">
    <xdr:from>
      <xdr:col>1</xdr:col>
      <xdr:colOff>188515</xdr:colOff>
      <xdr:row>0</xdr:row>
      <xdr:rowOff>29765</xdr:rowOff>
    </xdr:from>
    <xdr:to>
      <xdr:col>1</xdr:col>
      <xdr:colOff>1979215</xdr:colOff>
      <xdr:row>1</xdr:row>
      <xdr:rowOff>266302</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17032113" y="29765"/>
          <a:ext cx="1790700" cy="5143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25</xdr:row>
      <xdr:rowOff>119062</xdr:rowOff>
    </xdr:from>
    <xdr:to>
      <xdr:col>5</xdr:col>
      <xdr:colOff>923925</xdr:colOff>
      <xdr:row>42</xdr:row>
      <xdr:rowOff>95251</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52917</xdr:rowOff>
    </xdr:from>
    <xdr:to>
      <xdr:col>0</xdr:col>
      <xdr:colOff>1190625</xdr:colOff>
      <xdr:row>1</xdr:row>
      <xdr:rowOff>338666</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71533633" y="52917"/>
          <a:ext cx="1314450" cy="56091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7:G18" headerRowCount="0" totalsRowShown="0" headerRowDxfId="181" dataDxfId="180">
  <tableColumns count="7">
    <tableColumn id="1" xr3:uid="{00000000-0010-0000-0000-000001000000}" name="Column1" headerRowDxfId="179" dataDxfId="178"/>
    <tableColumn id="2" xr3:uid="{00000000-0010-0000-0000-000002000000}" name="Column2" headerRowDxfId="177" dataDxfId="176">
      <calculatedColumnFormula>'جمع سرمایه ثابت'!A5</calculatedColumnFormula>
    </tableColumn>
    <tableColumn id="4" xr3:uid="{00000000-0010-0000-0000-000004000000}" name="Column4" headerRowDxfId="175" dataDxfId="174">
      <calculatedColumnFormula>'جمع سرمایه ثابت'!B5</calculatedColumnFormula>
    </tableColumn>
    <tableColumn id="5" xr3:uid="{00000000-0010-0000-0000-000005000000}" name="Column5" headerRowDxfId="173" dataDxfId="172">
      <calculatedColumnFormula>'جمع سرمایه ثابت'!C5</calculatedColumnFormula>
    </tableColumn>
    <tableColumn id="6" xr3:uid="{00000000-0010-0000-0000-000006000000}" name="Column6" headerRowDxfId="171" dataDxfId="170">
      <calculatedColumnFormula>'جمع سرمایه ثابت'!D5</calculatedColumnFormula>
    </tableColumn>
    <tableColumn id="7" xr3:uid="{00000000-0010-0000-0000-000007000000}" name="Column7" headerRowDxfId="169" dataDxfId="168">
      <calculatedColumnFormula>'جمع سرمایه ثابت'!E5</calculatedColumnFormula>
    </tableColumn>
    <tableColumn id="8" xr3:uid="{00000000-0010-0000-0000-000008000000}" name="Column8" headerRowDxfId="167" dataDxfId="166">
      <calculatedColumnFormula>'جمع سرمایه ثابت'!F5</calculatedColumnFormula>
    </tableColumn>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10:G11" totalsRowShown="0" headerRowDxfId="27" dataDxfId="26">
  <autoFilter ref="A10:G11" xr:uid="{00000000-0009-0000-0100-00000A000000}"/>
  <tableColumns count="7">
    <tableColumn id="1" xr3:uid="{00000000-0010-0000-0900-000001000000}" name="ردیف" dataDxfId="25"/>
    <tableColumn id="2" xr3:uid="{00000000-0010-0000-0900-000002000000}" name="شرح" dataDxfId="24"/>
    <tableColumn id="3" xr3:uid="{00000000-0010-0000-0900-000003000000}" name="تعداد(نفر)" dataDxfId="23">
      <calculatedColumnFormula>C20+C30</calculatedColumnFormula>
    </tableColumn>
    <tableColumn id="4" xr3:uid="{00000000-0010-0000-0900-000004000000}" name="متوسط حقوق ماهیانه" dataDxfId="22">
      <calculatedColumnFormula>E11/C11</calculatedColumnFormula>
    </tableColumn>
    <tableColumn id="5" xr3:uid="{00000000-0010-0000-0900-000005000000}" name=" جمع حقوق سالیانه(میلیون ریال)" dataDxfId="21">
      <calculatedColumnFormula>E20+E30</calculatedColumnFormula>
    </tableColumn>
    <tableColumn id="6" xr3:uid="{00000000-0010-0000-0900-000006000000}" name="جمع  سالیانه حق بیمه سهم کارفرما" dataDxfId="20">
      <calculatedColumnFormula>F20+F30</calculatedColumnFormula>
    </tableColumn>
    <tableColumn id="7" xr3:uid="{00000000-0010-0000-0900-000007000000}" name="عیدی" dataDxfId="19">
      <calculatedColumnFormula>G20+G30</calculatedColumnFormula>
    </tableColumn>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A5:H15" totalsRowShown="0" headerRowDxfId="18" dataDxfId="16" headerRowBorderDxfId="17">
  <autoFilter ref="A5:H15" xr:uid="{00000000-0009-0000-0100-00000C000000}"/>
  <tableColumns count="8">
    <tableColumn id="1" xr3:uid="{00000000-0010-0000-0A00-000001000000}" name="ردیف" dataDxfId="15"/>
    <tableColumn id="2" xr3:uid="{00000000-0010-0000-0A00-000002000000}" name="شرح" dataDxfId="14"/>
    <tableColumn id="6" xr3:uid="{00000000-0010-0000-0A00-000006000000}" name="ارزش دارایی (میلیون ریال)" dataDxfId="13">
      <calculatedColumnFormula>'جمع سرمایه ثابت'!D8</calculatedColumnFormula>
    </tableColumn>
    <tableColumn id="3" xr3:uid="{00000000-0010-0000-0A00-000003000000}" name="روش استهلاک" dataDxfId="12"/>
    <tableColumn id="4" xr3:uid="{00000000-0010-0000-0A00-000004000000}" name="نرخ اسقاط" dataDxfId="11"/>
    <tableColumn id="8" xr3:uid="{00000000-0010-0000-0A00-000008000000}" name="نرخ استهلاک" dataDxfId="10"/>
    <tableColumn id="7" xr3:uid="{00000000-0010-0000-0A00-000007000000}" name="Column1" dataDxfId="9"/>
    <tableColumn id="5" xr3:uid="{00000000-0010-0000-0A00-000005000000}" name="هزینه سالیانه (میلیون ریال)" dataDxfId="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able11" displayName="Table11" ref="A6:E10" totalsRowShown="0" headerRowDxfId="7" dataDxfId="6" tableBorderDxfId="5">
  <autoFilter ref="A6:E10" xr:uid="{00000000-0009-0000-0100-00000B000000}"/>
  <tableColumns count="5">
    <tableColumn id="1" xr3:uid="{00000000-0010-0000-0B00-000001000000}" name="ردیف" dataDxfId="4"/>
    <tableColumn id="2" xr3:uid="{00000000-0010-0000-0B00-000002000000}" name="شرح" dataDxfId="3"/>
    <tableColumn id="3" xr3:uid="{00000000-0010-0000-0B00-000003000000}" name="ارزش دارایی(میلیون ریال)" dataDxfId="2">
      <calculatedColumnFormula>'جمع سرمایه ثابت'!D9</calculatedColumnFormula>
    </tableColumn>
    <tableColumn id="4" xr3:uid="{00000000-0010-0000-0B00-000004000000}" name="درصد خالص" dataDxfId="1"/>
    <tableColumn id="5" xr3:uid="{00000000-0010-0000-0B00-000005000000}" name="هزینه سالیانه(میلیون ریال)" dataDxfId="0">
      <calculatedColumnFormula>C7*D7</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B26:G28" headerRowCount="0" totalsRowShown="0" headerRowDxfId="165" dataDxfId="164" tableBorderDxfId="163">
  <tableColumns count="6">
    <tableColumn id="1" xr3:uid="{00000000-0010-0000-0100-000001000000}" name="Column1" headerRowDxfId="162" dataDxfId="161">
      <calculatedColumnFormula>'جمع سرمایه ثابت'!A22</calculatedColumnFormula>
    </tableColumn>
    <tableColumn id="2" xr3:uid="{00000000-0010-0000-0100-000002000000}" name="Column2" headerRowDxfId="160" dataDxfId="159">
      <calculatedColumnFormula>'جمع سرمایه ثابت'!B22</calculatedColumnFormula>
    </tableColumn>
    <tableColumn id="3" xr3:uid="{00000000-0010-0000-0100-000003000000}" name="Column3" headerRowDxfId="158" dataDxfId="157">
      <calculatedColumnFormula>'جمع سرمایه ثابت'!C22</calculatedColumnFormula>
    </tableColumn>
    <tableColumn id="4" xr3:uid="{00000000-0010-0000-0100-000004000000}" name="Column4" headerRowDxfId="156" dataDxfId="155">
      <calculatedColumnFormula>'جمع سرمایه ثابت'!D22</calculatedColumnFormula>
    </tableColumn>
    <tableColumn id="5" xr3:uid="{00000000-0010-0000-0100-000005000000}" name="Column5" headerRowDxfId="154" dataDxfId="153">
      <calculatedColumnFormula>'جمع سرمایه ثابت'!E22</calculatedColumnFormula>
    </tableColumn>
    <tableColumn id="6" xr3:uid="{00000000-0010-0000-0100-000006000000}" name="Column6" headerRowDxfId="152" dataDxfId="151">
      <calculatedColumnFormula>'جمع سرمایه ثابت'!F22</calculatedColumnFormula>
    </tableColumn>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2:I18" headerRowCount="0" totalsRowShown="0" headerRowDxfId="150" dataDxfId="149" tableBorderDxfId="148" totalsRowBorderDxfId="147">
  <tableColumns count="9">
    <tableColumn id="1" xr3:uid="{00000000-0010-0000-0200-000001000000}" name="Column1" headerRowDxfId="146" dataDxfId="145"/>
    <tableColumn id="2" xr3:uid="{00000000-0010-0000-0200-000002000000}" name="Column2" headerRowDxfId="144" dataDxfId="143"/>
    <tableColumn id="3" xr3:uid="{00000000-0010-0000-0200-000003000000}" name="Column3" headerRowDxfId="142" dataDxfId="141">
      <calculatedColumnFormula>IFERROR(G12/I12,0)</calculatedColumnFormula>
    </tableColumn>
    <tableColumn id="4" xr3:uid="{00000000-0010-0000-0200-000004000000}" name="Column4" headerRowDxfId="140" dataDxfId="139">
      <calculatedColumnFormula>IFERROR(H12/I12,0)</calculatedColumnFormula>
    </tableColumn>
    <tableColumn id="5" xr3:uid="{00000000-0010-0000-0200-000005000000}" name="Column5" headerRowDxfId="138" dataDxfId="137">
      <calculatedColumnFormula>زمین!D13*0.4</calculatedColumnFormula>
    </tableColumn>
    <tableColumn id="6" xr3:uid="{00000000-0010-0000-0200-000006000000}" name="Column6" headerRowDxfId="136" dataDxfId="135"/>
    <tableColumn id="7" xr3:uid="{00000000-0010-0000-0200-000007000000}" name="Column7" headerRowDxfId="134" dataDxfId="133"/>
    <tableColumn id="8" xr3:uid="{00000000-0010-0000-0200-000008000000}" name="Column8" headerRowDxfId="132" dataDxfId="131">
      <calculatedColumnFormula>I12-G12</calculatedColumnFormula>
    </tableColumn>
    <tableColumn id="9" xr3:uid="{00000000-0010-0000-0200-000009000000}" name="Column9" headerRowDxfId="130" dataDxfId="129">
      <calculatedColumnFormula>F12*E12</calculatedColumnFormula>
    </tableColumn>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0:I13" headerRowCount="0" totalsRowShown="0" headerRowDxfId="128" dataDxfId="126" headerRowBorderDxfId="127">
  <tableColumns count="9">
    <tableColumn id="1" xr3:uid="{00000000-0010-0000-0300-000001000000}" name="Column1" headerRowDxfId="125" dataDxfId="124"/>
    <tableColumn id="2" xr3:uid="{00000000-0010-0000-0300-000002000000}" name="Column2" headerRowDxfId="123" dataDxfId="122"/>
    <tableColumn id="3" xr3:uid="{00000000-0010-0000-0300-000003000000}" name="Column3" headerRowDxfId="121" dataDxfId="120">
      <calculatedColumnFormula>IFERROR(G10/I10,0)</calculatedColumnFormula>
    </tableColumn>
    <tableColumn id="4" xr3:uid="{00000000-0010-0000-0300-000004000000}" name="Column4" headerRowDxfId="119" dataDxfId="118">
      <calculatedColumnFormula>IFERROR(H10/I10,0)</calculatedColumnFormula>
    </tableColumn>
    <tableColumn id="5" xr3:uid="{00000000-0010-0000-0300-000005000000}" name="Column5" headerRowDxfId="117" dataDxfId="116">
      <calculatedColumnFormula>(8.1+18+18)*72</calculatedColumnFormula>
    </tableColumn>
    <tableColumn id="6" xr3:uid="{00000000-0010-0000-0300-000006000000}" name="Column6" headerRowDxfId="115" dataDxfId="114" dataCellStyle="Comma"/>
    <tableColumn id="7" xr3:uid="{00000000-0010-0000-0300-000007000000}" name="Column7" headerRowDxfId="113" dataDxfId="112" dataCellStyle="Comma"/>
    <tableColumn id="8" xr3:uid="{00000000-0010-0000-0300-000008000000}" name="Column8" headerRowDxfId="111" dataDxfId="110" dataCellStyle="Comma">
      <calculatedColumnFormula>I10-G10</calculatedColumnFormula>
    </tableColumn>
    <tableColumn id="9" xr3:uid="{00000000-0010-0000-0300-000009000000}" name="Column9" headerRowDxfId="109" dataDxfId="108" dataCellStyle="Comma">
      <calculatedColumnFormula>F10*E10/1000000</calculatedColumnFormula>
    </tableColumn>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9:I17" headerRowCount="0" totalsRowShown="0" headerRowDxfId="107" dataDxfId="106" tableBorderDxfId="105" totalsRowBorderDxfId="104">
  <tableColumns count="9">
    <tableColumn id="1" xr3:uid="{00000000-0010-0000-0400-000001000000}" name="Column1" headerRowDxfId="103" dataDxfId="102"/>
    <tableColumn id="2" xr3:uid="{00000000-0010-0000-0400-000002000000}" name="Column2" headerRowDxfId="101" dataDxfId="100"/>
    <tableColumn id="3" xr3:uid="{00000000-0010-0000-0400-000003000000}" name="Column3" headerRowDxfId="99" dataDxfId="98">
      <calculatedColumnFormula>IFERROR(G9/I9,0)</calculatedColumnFormula>
    </tableColumn>
    <tableColumn id="4" xr3:uid="{00000000-0010-0000-0400-000004000000}" name="Column4" headerRowDxfId="97" dataDxfId="96">
      <calculatedColumnFormula>IFERROR(H9/I8,0)</calculatedColumnFormula>
    </tableColumn>
    <tableColumn id="5" xr3:uid="{00000000-0010-0000-0400-000005000000}" name="Column5" headerRowDxfId="95" dataDxfId="94"/>
    <tableColumn id="6" xr3:uid="{00000000-0010-0000-0400-000006000000}" name="Column6" headerRowDxfId="93" dataDxfId="92"/>
    <tableColumn id="7" xr3:uid="{00000000-0010-0000-0400-000007000000}" name="Column7" headerRowDxfId="91" dataDxfId="90"/>
    <tableColumn id="8" xr3:uid="{00000000-0010-0000-0400-000008000000}" name="Column8" headerRowDxfId="89" dataDxfId="88">
      <calculatedColumnFormula>I10-G10</calculatedColumnFormula>
    </tableColumn>
    <tableColumn id="9" xr3:uid="{00000000-0010-0000-0400-000009000000}" name="Column9" headerRowDxfId="87" dataDxfId="86">
      <calculatedColumnFormula>F10*E10</calculatedColumnFormula>
    </tableColumn>
  </tableColumns>
  <tableStyleInfo name="TableStyleDark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A9:J19" headerRowCount="0" totalsRowShown="0" headerRowDxfId="85" dataDxfId="83" headerRowBorderDxfId="84">
  <tableColumns count="10">
    <tableColumn id="1" xr3:uid="{00000000-0010-0000-0500-000001000000}" name="Column1" headerRowDxfId="82" dataDxfId="81"/>
    <tableColumn id="2" xr3:uid="{00000000-0010-0000-0500-000002000000}" name="Column2" headerRowDxfId="80" dataDxfId="79"/>
    <tableColumn id="3" xr3:uid="{00000000-0010-0000-0500-000003000000}" name="Column3" headerRowDxfId="78" dataDxfId="77">
      <calculatedColumnFormula>H9/J9</calculatedColumnFormula>
    </tableColumn>
    <tableColumn id="4" xr3:uid="{00000000-0010-0000-0500-000004000000}" name="Column4" headerRowDxfId="76" dataDxfId="75">
      <calculatedColumnFormula>I9/J9</calculatedColumnFormula>
    </tableColumn>
    <tableColumn id="5" xr3:uid="{00000000-0010-0000-0500-000005000000}" name="Column5" headerRowDxfId="74" dataDxfId="73"/>
    <tableColumn id="10" xr3:uid="{C2FBF0A5-FE00-4C94-82F1-BEF1030959AC}" name="Column10" headerRowDxfId="72" dataDxfId="71"/>
    <tableColumn id="6" xr3:uid="{00000000-0010-0000-0500-000006000000}" name="Column6" headerRowDxfId="70" dataDxfId="69"/>
    <tableColumn id="7" xr3:uid="{00000000-0010-0000-0500-000007000000}" name="Column7" headerRowDxfId="68" dataDxfId="67"/>
    <tableColumn id="8" xr3:uid="{00000000-0010-0000-0500-000008000000}" name="Column8" headerRowDxfId="66" dataDxfId="65">
      <calculatedColumnFormula>J9-H9</calculatedColumnFormula>
    </tableColumn>
    <tableColumn id="9" xr3:uid="{00000000-0010-0000-0500-000009000000}" name="Column9" headerRowDxfId="64" dataDxfId="63">
      <calculatedColumnFormula>G9*E9/1000000</calculatedColumnFormula>
    </tableColumn>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7:G14" headerRowCount="0" totalsRowShown="0" headerRowDxfId="62" dataDxfId="60" headerRowBorderDxfId="61">
  <tableColumns count="7">
    <tableColumn id="1" xr3:uid="{00000000-0010-0000-0600-000001000000}" name="Column1" headerRowDxfId="59" dataDxfId="58"/>
    <tableColumn id="2" xr3:uid="{00000000-0010-0000-0600-000002000000}" name="Column2" headerRowDxfId="57" dataDxfId="56"/>
    <tableColumn id="3" xr3:uid="{00000000-0010-0000-0600-000003000000}" name="Column3" headerRowDxfId="55" dataDxfId="54">
      <calculatedColumnFormula>E8/G8</calculatedColumnFormula>
    </tableColumn>
    <tableColumn id="4" xr3:uid="{00000000-0010-0000-0600-000004000000}" name="Column4" headerRowDxfId="53" dataDxfId="52">
      <calculatedColumnFormula>F8/G8</calculatedColumnFormula>
    </tableColumn>
    <tableColumn id="5" xr3:uid="{00000000-0010-0000-0600-000005000000}" name="Column5" headerRowDxfId="51" dataDxfId="50"/>
    <tableColumn id="6" xr3:uid="{00000000-0010-0000-0600-000006000000}" name="Column6" headerRowDxfId="49" dataDxfId="48">
      <calculatedColumnFormula>G8-E8</calculatedColumnFormula>
    </tableColumn>
    <tableColumn id="7" xr3:uid="{00000000-0010-0000-0600-000007000000}" name="Column7" headerRowDxfId="47" dataDxfId="46"/>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6:F10" headerRowCount="0" totalsRowShown="0" headerRowDxfId="45" dataDxfId="44">
  <tableColumns count="6">
    <tableColumn id="1" xr3:uid="{00000000-0010-0000-0700-000001000000}" name="Column1" headerRowDxfId="43" dataDxfId="42"/>
    <tableColumn id="2" xr3:uid="{00000000-0010-0000-0700-000002000000}" name="Column2" headerRowDxfId="41" dataDxfId="40"/>
    <tableColumn id="6" xr3:uid="{00000000-0010-0000-0700-000006000000}" name="Column5" headerRowDxfId="39" dataDxfId="38"/>
    <tableColumn id="7" xr3:uid="{00000000-0010-0000-0700-000007000000}" name="Column6" headerRowDxfId="37" dataDxfId="36"/>
    <tableColumn id="3" xr3:uid="{00000000-0010-0000-0700-000003000000}" name="Column3" headerRowDxfId="35" dataDxfId="34"/>
    <tableColumn id="4" xr3:uid="{00000000-0010-0000-0700-000004000000}" name="Column4" headerRowDxfId="33" dataDxfId="3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B14:D16" totalsRowShown="0" headerRowDxfId="31">
  <autoFilter ref="B14:D16" xr:uid="{00000000-0009-0000-0100-000009000000}"/>
  <tableColumns count="3">
    <tableColumn id="1" xr3:uid="{00000000-0010-0000-0800-000001000000}" name="نحوه تامین مالی سرمایه در گردش" dataDxfId="30"/>
    <tableColumn id="2" xr3:uid="{00000000-0010-0000-0800-000002000000}" name="کل" dataDxfId="29">
      <calculatedColumnFormula>F11</calculatedColumnFormula>
    </tableColumn>
    <tableColumn id="3" xr3:uid="{00000000-0010-0000-0800-000003000000}" name="سهم کل سرمایه  گذاری" dataDxfId="28">
      <calculatedColumnFormula>IFERROR(C15/F11,0)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rightToLeft="1" view="pageBreakPreview" topLeftCell="A7" zoomScale="98" zoomScaleNormal="100" zoomScaleSheetLayoutView="98" workbookViewId="0">
      <selection activeCell="F12" sqref="F12"/>
    </sheetView>
  </sheetViews>
  <sheetFormatPr defaultColWidth="14.85546875" defaultRowHeight="14.25"/>
  <cols>
    <col min="1" max="1" width="7" style="21" customWidth="1"/>
    <col min="2" max="2" width="27.42578125" style="21" customWidth="1"/>
    <col min="3" max="7" width="18" style="21" customWidth="1"/>
    <col min="8" max="16384" width="14.85546875" style="21"/>
  </cols>
  <sheetData>
    <row r="1" spans="1:7" ht="26.25" customHeight="1">
      <c r="C1" s="498" t="s">
        <v>0</v>
      </c>
      <c r="D1" s="498"/>
      <c r="E1" s="498"/>
      <c r="F1" s="498"/>
      <c r="G1" s="498"/>
    </row>
    <row r="2" spans="1:7" ht="27.75" customHeight="1">
      <c r="C2" s="426" t="s">
        <v>1</v>
      </c>
      <c r="D2" s="426"/>
      <c r="E2" s="426"/>
      <c r="F2" s="426"/>
      <c r="G2" s="426"/>
    </row>
    <row r="3" spans="1:7" ht="41.25" customHeight="1">
      <c r="A3" s="501" t="s">
        <v>2</v>
      </c>
      <c r="B3" s="501"/>
      <c r="C3" s="501"/>
      <c r="D3" s="501"/>
      <c r="E3" s="501"/>
      <c r="F3" s="501"/>
      <c r="G3" s="501"/>
    </row>
    <row r="4" spans="1:7" ht="210" customHeight="1">
      <c r="A4" s="28"/>
      <c r="B4" s="29"/>
      <c r="C4" s="28"/>
      <c r="D4" s="28"/>
      <c r="E4" s="28"/>
      <c r="F4" s="28"/>
      <c r="G4" s="28"/>
    </row>
    <row r="5" spans="1:7" ht="18">
      <c r="B5" s="500" t="s">
        <v>3</v>
      </c>
      <c r="C5" s="500"/>
      <c r="D5" s="500"/>
      <c r="E5" s="500"/>
      <c r="F5" s="22"/>
      <c r="G5" s="22"/>
    </row>
    <row r="6" spans="1:7" ht="16.5" thickBot="1">
      <c r="B6" s="22"/>
      <c r="C6" s="22"/>
      <c r="D6" s="510"/>
      <c r="E6" s="510"/>
      <c r="F6" s="511" t="s">
        <v>4</v>
      </c>
      <c r="G6" s="511"/>
    </row>
    <row r="7" spans="1:7" s="35" customFormat="1" ht="15.75">
      <c r="A7" s="335" t="s">
        <v>5</v>
      </c>
      <c r="B7" s="336" t="s">
        <v>6</v>
      </c>
      <c r="C7" s="337" t="s">
        <v>7</v>
      </c>
      <c r="D7" s="336" t="s">
        <v>8</v>
      </c>
      <c r="E7" s="338" t="s">
        <v>9</v>
      </c>
      <c r="F7" s="339" t="s">
        <v>10</v>
      </c>
      <c r="G7" s="340"/>
    </row>
    <row r="8" spans="1:7" ht="15.75">
      <c r="A8" s="341"/>
      <c r="B8" s="243"/>
      <c r="C8" s="244"/>
      <c r="D8" s="242"/>
      <c r="E8" s="245"/>
      <c r="F8" s="246" t="s">
        <v>11</v>
      </c>
      <c r="G8" s="342" t="s">
        <v>12</v>
      </c>
    </row>
    <row r="9" spans="1:7" ht="28.5" customHeight="1">
      <c r="A9" s="354">
        <v>1</v>
      </c>
      <c r="B9" s="355" t="str">
        <f>'جمع سرمایه ثابت'!A8</f>
        <v>زمین</v>
      </c>
      <c r="C9" s="356">
        <f>'جمع سرمایه ثابت'!B8</f>
        <v>114514</v>
      </c>
      <c r="D9" s="356">
        <f>'جمع سرمایه ثابت'!C8</f>
        <v>0.39999999999417923</v>
      </c>
      <c r="E9" s="356">
        <f>'جمع سرمایه ثابت'!D8</f>
        <v>114514.4</v>
      </c>
      <c r="F9" s="414">
        <f>'جمع سرمایه ثابت'!E8</f>
        <v>0.99999650698951403</v>
      </c>
      <c r="G9" s="415">
        <f>'جمع سرمایه ثابت'!F8</f>
        <v>3.4930104859666493E-6</v>
      </c>
    </row>
    <row r="10" spans="1:7" ht="28.5" customHeight="1">
      <c r="A10" s="354">
        <v>2</v>
      </c>
      <c r="B10" s="355" t="str">
        <f>'جمع سرمایه ثابت'!A9</f>
        <v>محوطه سازی</v>
      </c>
      <c r="C10" s="356">
        <f>'جمع سرمایه ثابت'!B9</f>
        <v>9032.6</v>
      </c>
      <c r="D10" s="356">
        <f>'جمع سرمایه ثابت'!C9</f>
        <v>4707.4751999999999</v>
      </c>
      <c r="E10" s="356">
        <f>'جمع سرمایه ثابت'!D9</f>
        <v>13740.075199999999</v>
      </c>
      <c r="F10" s="414">
        <f>'جمع سرمایه ثابت'!E9</f>
        <v>0.65739087075738867</v>
      </c>
      <c r="G10" s="415">
        <f>'جمع سرمایه ثابت'!F9</f>
        <v>0.34260912924261144</v>
      </c>
    </row>
    <row r="11" spans="1:7" ht="28.5" customHeight="1">
      <c r="A11" s="354">
        <v>3</v>
      </c>
      <c r="B11" s="355" t="str">
        <f>'جمع سرمایه ثابت'!A10</f>
        <v>ساختمان سازی</v>
      </c>
      <c r="C11" s="356">
        <f>'جمع سرمایه ثابت'!B10</f>
        <v>268740</v>
      </c>
      <c r="D11" s="356">
        <f>'جمع سرمایه ثابت'!C10</f>
        <v>147120</v>
      </c>
      <c r="E11" s="356">
        <f>'جمع سرمایه ثابت'!D10</f>
        <v>415860</v>
      </c>
      <c r="F11" s="414">
        <f>'جمع سرمایه ثابت'!E10</f>
        <v>0.64622709565719227</v>
      </c>
      <c r="G11" s="415">
        <f>'جمع سرمایه ثابت'!F10</f>
        <v>0.35377290434280767</v>
      </c>
    </row>
    <row r="12" spans="1:7" ht="28.5" customHeight="1">
      <c r="A12" s="354">
        <v>4</v>
      </c>
      <c r="B12" s="355" t="str">
        <f>'جمع سرمایه ثابت'!A11</f>
        <v>ماشین آلات و تجهیزات</v>
      </c>
      <c r="C12" s="356">
        <f>'جمع سرمایه ثابت'!B11</f>
        <v>0</v>
      </c>
      <c r="D12" s="356">
        <f>'جمع سرمایه ثابت'!C11</f>
        <v>1267081.5</v>
      </c>
      <c r="E12" s="356">
        <f>'جمع سرمایه ثابت'!D11</f>
        <v>1267081.5</v>
      </c>
      <c r="F12" s="414">
        <f>'جمع سرمایه ثابت'!E11</f>
        <v>0</v>
      </c>
      <c r="G12" s="415">
        <f>'جمع سرمایه ثابت'!F11</f>
        <v>1</v>
      </c>
    </row>
    <row r="13" spans="1:7" ht="28.5" customHeight="1">
      <c r="A13" s="354">
        <v>5</v>
      </c>
      <c r="B13" s="355" t="str">
        <f>'جمع سرمایه ثابت'!A12</f>
        <v>تأسیسات</v>
      </c>
      <c r="C13" s="356">
        <f>'جمع سرمایه ثابت'!B12</f>
        <v>2810</v>
      </c>
      <c r="D13" s="356">
        <f>'جمع سرمایه ثابت'!C12</f>
        <v>26700</v>
      </c>
      <c r="E13" s="356">
        <f>'جمع سرمایه ثابت'!D12</f>
        <v>29510</v>
      </c>
      <c r="F13" s="414">
        <f>'جمع سرمایه ثابت'!E12</f>
        <v>9.5221958658082001E-2</v>
      </c>
      <c r="G13" s="415">
        <f>'جمع سرمایه ثابت'!F12</f>
        <v>0.90477804134191797</v>
      </c>
    </row>
    <row r="14" spans="1:7" ht="28.5" customHeight="1">
      <c r="A14" s="354">
        <v>6</v>
      </c>
      <c r="B14" s="355" t="str">
        <f>'جمع سرمایه ثابت'!A13</f>
        <v>وسائط نقلیه</v>
      </c>
      <c r="C14" s="356">
        <f>'جمع سرمایه ثابت'!B13</f>
        <v>0</v>
      </c>
      <c r="D14" s="356">
        <f>'جمع سرمایه ثابت'!C13</f>
        <v>0</v>
      </c>
      <c r="E14" s="356">
        <f>'جمع سرمایه ثابت'!D13</f>
        <v>0</v>
      </c>
      <c r="F14" s="414">
        <f>'جمع سرمایه ثابت'!E13</f>
        <v>0</v>
      </c>
      <c r="G14" s="415">
        <f>'جمع سرمایه ثابت'!F13</f>
        <v>0</v>
      </c>
    </row>
    <row r="15" spans="1:7" ht="28.5" customHeight="1">
      <c r="A15" s="354">
        <v>7</v>
      </c>
      <c r="B15" s="355" t="str">
        <f>'جمع سرمایه ثابت'!A14</f>
        <v>اثاثه و لوازم اداری</v>
      </c>
      <c r="C15" s="356">
        <f>'جمع سرمایه ثابت'!B14</f>
        <v>0</v>
      </c>
      <c r="D15" s="356">
        <f>'جمع سرمایه ثابت'!C14</f>
        <v>8926.4</v>
      </c>
      <c r="E15" s="356">
        <f>'جمع سرمایه ثابت'!D14</f>
        <v>8926.4</v>
      </c>
      <c r="F15" s="414">
        <f>'جمع سرمایه ثابت'!E14</f>
        <v>0</v>
      </c>
      <c r="G15" s="415">
        <f>'جمع سرمایه ثابت'!F14</f>
        <v>1</v>
      </c>
    </row>
    <row r="16" spans="1:7" ht="28.5" customHeight="1">
      <c r="A16" s="354">
        <v>8</v>
      </c>
      <c r="B16" s="355" t="str">
        <f>'جمع سرمایه ثابت'!A15</f>
        <v>لوازم آزمایشگاهی</v>
      </c>
      <c r="C16" s="356">
        <f>'جمع سرمایه ثابت'!B15</f>
        <v>0</v>
      </c>
      <c r="D16" s="356">
        <f>'جمع سرمایه ثابت'!C15</f>
        <v>0</v>
      </c>
      <c r="E16" s="356">
        <f>'جمع سرمایه ثابت'!D15</f>
        <v>0</v>
      </c>
      <c r="F16" s="414">
        <f>'جمع سرمایه ثابت'!E15</f>
        <v>0</v>
      </c>
      <c r="G16" s="415">
        <f>'جمع سرمایه ثابت'!F15</f>
        <v>0</v>
      </c>
    </row>
    <row r="17" spans="1:7" ht="28.5" customHeight="1">
      <c r="A17" s="354">
        <v>9</v>
      </c>
      <c r="B17" s="353" t="str">
        <f>'جمع سرمایه ثابت'!A16</f>
        <v>هزینه های قبل از بهره برداری</v>
      </c>
      <c r="C17" s="356">
        <f>'جمع سرمایه ثابت'!B16</f>
        <v>3550</v>
      </c>
      <c r="D17" s="356">
        <f>'جمع سرمایه ثابت'!C16</f>
        <v>3260</v>
      </c>
      <c r="E17" s="356">
        <f>'جمع سرمایه ثابت'!D16</f>
        <v>6810</v>
      </c>
      <c r="F17" s="414">
        <f>'جمع سرمایه ثابت'!E16</f>
        <v>0.52129221732745967</v>
      </c>
      <c r="G17" s="415">
        <f>'جمع سرمایه ثابت'!F16</f>
        <v>0.47870778267254038</v>
      </c>
    </row>
    <row r="18" spans="1:7" ht="28.5" customHeight="1" thickBot="1">
      <c r="A18" s="357">
        <v>10</v>
      </c>
      <c r="B18" s="358" t="str">
        <f>'جمع سرمایه ثابت'!A17</f>
        <v>هزینه های پیش بینی نشده</v>
      </c>
      <c r="C18" s="359">
        <f>'جمع سرمایه ثابت'!B17</f>
        <v>0</v>
      </c>
      <c r="D18" s="359">
        <f>'جمع سرمایه ثابت'!C17</f>
        <v>72889.788759999996</v>
      </c>
      <c r="E18" s="359">
        <f>'جمع سرمایه ثابت'!D17</f>
        <v>72889.788759999996</v>
      </c>
      <c r="F18" s="416">
        <f>'جمع سرمایه ثابت'!E17</f>
        <v>0</v>
      </c>
      <c r="G18" s="417">
        <f>'جمع سرمایه ثابت'!F17</f>
        <v>1</v>
      </c>
    </row>
    <row r="19" spans="1:7" ht="28.5" customHeight="1" thickBot="1">
      <c r="A19" s="502" t="s">
        <v>13</v>
      </c>
      <c r="B19" s="503"/>
      <c r="C19" s="360">
        <f>'جمع سرمایه ثابت'!B18</f>
        <v>398646.6</v>
      </c>
      <c r="D19" s="360">
        <f>'جمع سرمایه ثابت'!C18</f>
        <v>1530685.5639599997</v>
      </c>
      <c r="E19" s="360">
        <f>'جمع سرمایه ثابت'!D18</f>
        <v>1929332.1639599998</v>
      </c>
      <c r="F19" s="418">
        <f>'جمع سرمایه ثابت'!E18</f>
        <v>0.20662414043923283</v>
      </c>
      <c r="G19" s="419">
        <f>'جمع سرمایه ثابت'!F18</f>
        <v>0.79337585956076706</v>
      </c>
    </row>
    <row r="20" spans="1:7" ht="28.5" customHeight="1" thickBot="1">
      <c r="A20" s="504" t="s">
        <v>14</v>
      </c>
      <c r="B20" s="505"/>
      <c r="C20" s="361"/>
      <c r="D20" s="361">
        <f>'سرمایه در گردش'!F11</f>
        <v>421603.61469878402</v>
      </c>
      <c r="E20" s="361">
        <f>D20+C20</f>
        <v>421603.61469878402</v>
      </c>
      <c r="F20" s="420">
        <f>C20/E20</f>
        <v>0</v>
      </c>
      <c r="G20" s="421">
        <f>D20/E20</f>
        <v>1</v>
      </c>
    </row>
    <row r="21" spans="1:7" ht="28.5" customHeight="1" thickBot="1">
      <c r="A21" s="506" t="s">
        <v>15</v>
      </c>
      <c r="B21" s="507"/>
      <c r="C21" s="362"/>
      <c r="D21" s="362">
        <f>D20+D19</f>
        <v>1952289.1786587837</v>
      </c>
      <c r="E21" s="362">
        <f>E20+E19</f>
        <v>2350935.778658784</v>
      </c>
      <c r="F21" s="508"/>
      <c r="G21" s="509"/>
    </row>
    <row r="23" spans="1:7" ht="9" customHeight="1"/>
    <row r="24" spans="1:7" ht="33" customHeight="1">
      <c r="A24" s="499" t="s">
        <v>16</v>
      </c>
      <c r="B24" s="499"/>
      <c r="C24" s="499"/>
      <c r="D24" s="499"/>
      <c r="E24" s="499"/>
      <c r="F24" s="499"/>
      <c r="G24" s="499"/>
    </row>
    <row r="25" spans="1:7" ht="18" customHeight="1">
      <c r="B25"/>
      <c r="C25"/>
      <c r="D25"/>
      <c r="E25"/>
      <c r="F25"/>
      <c r="G25"/>
    </row>
    <row r="26" spans="1:7" ht="21" thickBot="1">
      <c r="B26" s="411" t="s">
        <v>17</v>
      </c>
      <c r="C26" s="412" t="str">
        <f>'جمع سرمایه ثابت'!B22</f>
        <v xml:space="preserve">انجام شده </v>
      </c>
      <c r="D26" s="412" t="str">
        <f>'جمع سرمایه ثابت'!C22</f>
        <v>باقی مانده</v>
      </c>
      <c r="E26" s="412" t="str">
        <f>'جمع سرمایه ثابت'!D22</f>
        <v>کل</v>
      </c>
      <c r="F26" s="412" t="str">
        <f>'جمع سرمایه ثابت'!E22</f>
        <v>سهم باقی مانده</v>
      </c>
      <c r="G26" s="413" t="str">
        <f>'جمع سرمایه ثابت'!F22</f>
        <v>سهم کل سرمایه  گذاری</v>
      </c>
    </row>
    <row r="27" spans="1:7" ht="20.25">
      <c r="B27" s="422" t="str">
        <f>'جمع سرمایه ثابت'!A23</f>
        <v>آورده سرمایه گذار</v>
      </c>
      <c r="C27" s="409">
        <f>'جمع سرمایه ثابت'!B23</f>
        <v>398646.6</v>
      </c>
      <c r="D27" s="409">
        <f>'جمع سرمایه ثابت'!C23</f>
        <v>330685.56395999971</v>
      </c>
      <c r="E27" s="409">
        <f>'جمع سرمایه ثابت'!D23</f>
        <v>729332.16395999969</v>
      </c>
      <c r="F27" s="410">
        <f>'جمع سرمایه ثابت'!E23</f>
        <v>0.21603755320229914</v>
      </c>
      <c r="G27" s="410">
        <f>'جمع سرمایه ثابت'!F23</f>
        <v>0.3780231199085119</v>
      </c>
    </row>
    <row r="28" spans="1:7" ht="20.25">
      <c r="B28" s="422" t="str">
        <f>'جمع سرمایه ثابت'!A24</f>
        <v>تسهیلات بانکی</v>
      </c>
      <c r="C28" s="409">
        <f>'جمع سرمایه ثابت'!B24</f>
        <v>0</v>
      </c>
      <c r="D28" s="409">
        <f>'جمع سرمایه ثابت'!C24</f>
        <v>1200000</v>
      </c>
      <c r="E28" s="409">
        <f>'جمع سرمایه ثابت'!D24</f>
        <v>1200000</v>
      </c>
      <c r="F28" s="410">
        <f>'جمع سرمایه ثابت'!E24</f>
        <v>0.78396244679770088</v>
      </c>
      <c r="G28" s="410">
        <f>'جمع سرمایه ثابت'!F24</f>
        <v>0.6219768800914881</v>
      </c>
    </row>
  </sheetData>
  <mergeCells count="10">
    <mergeCell ref="C1:G1"/>
    <mergeCell ref="A24:G24"/>
    <mergeCell ref="B5:E5"/>
    <mergeCell ref="A3:G3"/>
    <mergeCell ref="A19:B19"/>
    <mergeCell ref="A20:B20"/>
    <mergeCell ref="A21:B21"/>
    <mergeCell ref="F21:G21"/>
    <mergeCell ref="D6:E6"/>
    <mergeCell ref="F6:G6"/>
  </mergeCells>
  <printOptions horizontalCentered="1"/>
  <pageMargins left="0.25" right="0.25" top="0.75" bottom="0.75" header="0.3" footer="0.3"/>
  <pageSetup scale="74" orientation="portrait" r:id="rId1"/>
  <headerFooter>
    <oddFooter>&amp;Lتصویب کننده:کاوه فرامرزی&amp;Cتایید کننده :خانم سحر فرامرزی &amp;Rتهیه کننده:خانم الهیاری -سارا فرامرزی آقایان کریمی
منصوری- لطفی -ادریس و کیانوش فرامرزی</oddFooter>
  </headerFooter>
  <rowBreaks count="1" manualBreakCount="1">
    <brk id="29" max="6" man="1"/>
  </row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
  <sheetViews>
    <sheetView rightToLeft="1" view="pageBreakPreview" topLeftCell="B5" zoomScaleNormal="100" zoomScaleSheetLayoutView="100" workbookViewId="0">
      <selection activeCell="M17" sqref="M17"/>
    </sheetView>
  </sheetViews>
  <sheetFormatPr defaultRowHeight="15"/>
  <cols>
    <col min="1" max="1" width="5.28515625" bestFit="1" customWidth="1"/>
    <col min="2" max="2" width="30.5703125" bestFit="1" customWidth="1"/>
    <col min="3" max="3" width="13.42578125" bestFit="1" customWidth="1"/>
    <col min="4" max="4" width="12.140625" customWidth="1"/>
    <col min="5" max="5" width="13.42578125" bestFit="1" customWidth="1"/>
    <col min="6" max="8" width="17.28515625" bestFit="1" customWidth="1"/>
    <col min="9" max="9" width="11.42578125" bestFit="1" customWidth="1"/>
    <col min="10" max="10" width="12.5703125" bestFit="1" customWidth="1"/>
  </cols>
  <sheetData>
    <row r="1" spans="1:11" ht="25.5" customHeight="1">
      <c r="D1" s="498" t="str">
        <f>'منابع و مصارف'!$B$1</f>
        <v xml:space="preserve">مطالعات بازار،فنی،مالی و اقتصادی طرح توجیهی
</v>
      </c>
      <c r="E1" s="498"/>
      <c r="F1" s="498"/>
      <c r="G1" s="498"/>
    </row>
    <row r="2" spans="1:11" ht="25.5" customHeight="1">
      <c r="D2" s="66" t="str">
        <f>زمین!D2</f>
        <v>طراحی و تولید دستگاه اندازه گیری سطح مخازن سوخت -شرکت برنا نیروی زاگرس</v>
      </c>
      <c r="E2" s="66"/>
      <c r="F2" s="66"/>
      <c r="G2" s="66"/>
    </row>
    <row r="3" spans="1:11" ht="23.25">
      <c r="A3" s="619" t="s">
        <v>104</v>
      </c>
      <c r="B3" s="619"/>
      <c r="C3" s="619"/>
      <c r="D3" s="619"/>
      <c r="E3" s="619"/>
      <c r="F3" s="619"/>
      <c r="G3" s="619"/>
      <c r="H3" s="619"/>
      <c r="I3" s="619"/>
      <c r="J3" s="619"/>
    </row>
    <row r="4" spans="1:11" ht="18">
      <c r="A4" s="620"/>
      <c r="B4" s="620"/>
      <c r="C4" s="620"/>
      <c r="D4" s="620"/>
      <c r="E4" s="620"/>
      <c r="F4" s="620"/>
      <c r="G4" s="620"/>
      <c r="H4" s="620"/>
      <c r="I4" s="620"/>
      <c r="J4" s="620"/>
    </row>
    <row r="5" spans="1:11" ht="178.5" customHeight="1"/>
    <row r="6" spans="1:11" ht="15.75">
      <c r="A6" s="587" t="s">
        <v>5</v>
      </c>
      <c r="B6" s="618" t="s">
        <v>6</v>
      </c>
      <c r="C6" s="618" t="s">
        <v>105</v>
      </c>
      <c r="D6" s="618"/>
      <c r="E6" s="618"/>
      <c r="F6" s="618" t="s">
        <v>106</v>
      </c>
      <c r="G6" s="618"/>
      <c r="H6" s="618"/>
      <c r="I6" s="618" t="s">
        <v>107</v>
      </c>
      <c r="J6" s="618"/>
      <c r="K6" s="3"/>
    </row>
    <row r="7" spans="1:11" ht="18.75" customHeight="1">
      <c r="A7" s="587"/>
      <c r="B7" s="618"/>
      <c r="C7" s="618" t="s">
        <v>108</v>
      </c>
      <c r="D7" s="618"/>
      <c r="E7" s="618"/>
      <c r="F7" s="399" t="s">
        <v>109</v>
      </c>
      <c r="G7" s="399" t="s">
        <v>109</v>
      </c>
      <c r="H7" s="399" t="s">
        <v>109</v>
      </c>
      <c r="I7" s="621" t="s">
        <v>110</v>
      </c>
      <c r="J7" s="621" t="s">
        <v>111</v>
      </c>
    </row>
    <row r="8" spans="1:11" ht="15.75">
      <c r="A8" s="587"/>
      <c r="B8" s="618"/>
      <c r="C8" s="283" t="s">
        <v>112</v>
      </c>
      <c r="D8" s="283" t="s">
        <v>113</v>
      </c>
      <c r="E8" s="283" t="s">
        <v>114</v>
      </c>
      <c r="F8" s="400">
        <v>0.7</v>
      </c>
      <c r="G8" s="400">
        <v>0.8</v>
      </c>
      <c r="H8" s="400">
        <v>0.9</v>
      </c>
      <c r="I8" s="621"/>
      <c r="J8" s="621"/>
    </row>
    <row r="9" spans="1:11" ht="15.75">
      <c r="A9" s="177">
        <v>1</v>
      </c>
      <c r="B9" s="253" t="s">
        <v>115</v>
      </c>
      <c r="C9" s="106">
        <f>E9*I9</f>
        <v>15574848</v>
      </c>
      <c r="D9" s="106">
        <f>E9*J9</f>
        <v>0</v>
      </c>
      <c r="E9" s="106">
        <f>'مواد اولیه'!G14</f>
        <v>15574848</v>
      </c>
      <c r="F9" s="106">
        <f>E9*F8</f>
        <v>10902393.6</v>
      </c>
      <c r="G9" s="106">
        <f>E9*G8</f>
        <v>12459878.4</v>
      </c>
      <c r="H9" s="106">
        <f>E9*H8</f>
        <v>14017363.200000001</v>
      </c>
      <c r="I9" s="282">
        <v>1</v>
      </c>
      <c r="J9" s="282">
        <f t="shared" ref="J9:J20" si="0">1-I9</f>
        <v>0</v>
      </c>
    </row>
    <row r="10" spans="1:11" ht="15.75">
      <c r="A10" s="177">
        <v>2</v>
      </c>
      <c r="B10" s="253" t="s">
        <v>116</v>
      </c>
      <c r="C10" s="106">
        <f>E10*I10</f>
        <v>7402.4639999999999</v>
      </c>
      <c r="D10" s="106">
        <f>E10*J10</f>
        <v>1850.6159999999995</v>
      </c>
      <c r="E10" s="265">
        <f>انرژی!I14</f>
        <v>9253.08</v>
      </c>
      <c r="F10" s="106">
        <f>E10*F8</f>
        <v>6477.1559999999999</v>
      </c>
      <c r="G10" s="106">
        <f>E10*G8</f>
        <v>7402.4639999999999</v>
      </c>
      <c r="H10" s="106">
        <f>E10*H8</f>
        <v>8327.7720000000008</v>
      </c>
      <c r="I10" s="282">
        <v>0.8</v>
      </c>
      <c r="J10" s="282">
        <f t="shared" si="0"/>
        <v>0.19999999999999996</v>
      </c>
    </row>
    <row r="11" spans="1:11" ht="15.75">
      <c r="A11" s="177">
        <v>3</v>
      </c>
      <c r="B11" s="253" t="s">
        <v>117</v>
      </c>
      <c r="C11" s="106">
        <f t="shared" ref="C11:C20" si="1">E11*I11</f>
        <v>49781.009203200003</v>
      </c>
      <c r="D11" s="106">
        <f t="shared" ref="D11:D20" si="2">E11*J11</f>
        <v>12445.252300799997</v>
      </c>
      <c r="E11" s="106">
        <f>نت!E11</f>
        <v>62226.261504000002</v>
      </c>
      <c r="F11" s="106">
        <f>E11*F8</f>
        <v>43558.383052799996</v>
      </c>
      <c r="G11" s="106">
        <f>E11*G8</f>
        <v>49781.009203200003</v>
      </c>
      <c r="H11" s="106">
        <f>E11*H8</f>
        <v>56003.635353600002</v>
      </c>
      <c r="I11" s="282">
        <v>0.8</v>
      </c>
      <c r="J11" s="282">
        <f t="shared" si="0"/>
        <v>0.19999999999999996</v>
      </c>
    </row>
    <row r="12" spans="1:11" ht="15.75">
      <c r="A12" s="177">
        <v>4</v>
      </c>
      <c r="B12" s="253" t="s">
        <v>118</v>
      </c>
      <c r="C12" s="106">
        <f t="shared" si="1"/>
        <v>21469.56</v>
      </c>
      <c r="D12" s="106">
        <f t="shared" si="2"/>
        <v>50095.640000000007</v>
      </c>
      <c r="E12" s="106">
        <f>حقوق!E20</f>
        <v>71565.200000000012</v>
      </c>
      <c r="F12" s="106">
        <f>E12*F8</f>
        <v>50095.640000000007</v>
      </c>
      <c r="G12" s="106">
        <f>E12*G8</f>
        <v>57252.160000000011</v>
      </c>
      <c r="H12" s="106">
        <f>E12*H8</f>
        <v>64408.680000000015</v>
      </c>
      <c r="I12" s="282">
        <v>0.3</v>
      </c>
      <c r="J12" s="282">
        <f t="shared" si="0"/>
        <v>0.7</v>
      </c>
    </row>
    <row r="13" spans="1:11" ht="15.75">
      <c r="A13" s="177">
        <v>5</v>
      </c>
      <c r="B13" s="253" t="s">
        <v>119</v>
      </c>
      <c r="C13" s="106">
        <f t="shared" si="1"/>
        <v>4977.72</v>
      </c>
      <c r="D13" s="106">
        <f t="shared" si="2"/>
        <v>11614.68</v>
      </c>
      <c r="E13" s="106">
        <f>حقوق!E30</f>
        <v>16592.400000000001</v>
      </c>
      <c r="F13" s="106">
        <f>E13*F8</f>
        <v>11614.68</v>
      </c>
      <c r="G13" s="106">
        <f>E13*G8</f>
        <v>13273.920000000002</v>
      </c>
      <c r="H13" s="106">
        <f>E13*H8</f>
        <v>14933.160000000002</v>
      </c>
      <c r="I13" s="282">
        <v>0.3</v>
      </c>
      <c r="J13" s="282">
        <f t="shared" si="0"/>
        <v>0.7</v>
      </c>
    </row>
    <row r="14" spans="1:11" ht="15.75">
      <c r="A14" s="177">
        <v>6</v>
      </c>
      <c r="B14" s="253" t="s">
        <v>120</v>
      </c>
      <c r="C14" s="106">
        <f t="shared" si="1"/>
        <v>1814.8177639599999</v>
      </c>
      <c r="D14" s="106">
        <f t="shared" si="2"/>
        <v>1814.8177639599999</v>
      </c>
      <c r="E14" s="106">
        <f>0.002*('جمع سرمایه ثابت'!D18-'جمع سرمایه ثابت'!D8)</f>
        <v>3629.6355279199997</v>
      </c>
      <c r="F14" s="106">
        <f>E14*F8</f>
        <v>2540.7448695439998</v>
      </c>
      <c r="G14" s="106">
        <f>E14*G8</f>
        <v>2903.7084223359998</v>
      </c>
      <c r="H14" s="106">
        <f>E14*H8</f>
        <v>3266.6719751279998</v>
      </c>
      <c r="I14" s="282">
        <v>0.5</v>
      </c>
      <c r="J14" s="282">
        <f t="shared" si="0"/>
        <v>0.5</v>
      </c>
    </row>
    <row r="15" spans="1:11" ht="15.75">
      <c r="A15" s="177">
        <v>7</v>
      </c>
      <c r="B15" s="253" t="s">
        <v>121</v>
      </c>
      <c r="C15" s="106">
        <f t="shared" si="1"/>
        <v>393362.12353760004</v>
      </c>
      <c r="D15" s="106">
        <f t="shared" si="2"/>
        <v>393362.12353760004</v>
      </c>
      <c r="E15" s="106">
        <f>0.05*SUM(E9:E13)</f>
        <v>786724.24707520008</v>
      </c>
      <c r="F15" s="106">
        <f>E15*F8</f>
        <v>550706.97295264003</v>
      </c>
      <c r="G15" s="106">
        <f>E15*G8</f>
        <v>629379.39766016009</v>
      </c>
      <c r="H15" s="106">
        <f>E15*H8</f>
        <v>708051.82236768014</v>
      </c>
      <c r="I15" s="282">
        <v>0.5</v>
      </c>
      <c r="J15" s="282">
        <f t="shared" si="0"/>
        <v>0.5</v>
      </c>
    </row>
    <row r="16" spans="1:11" ht="15.75">
      <c r="A16" s="177">
        <v>8</v>
      </c>
      <c r="B16" s="253" t="s">
        <v>122</v>
      </c>
      <c r="C16" s="106">
        <f t="shared" si="1"/>
        <v>15734.484941504001</v>
      </c>
      <c r="D16" s="106">
        <f t="shared" si="2"/>
        <v>141610.364473536</v>
      </c>
      <c r="E16" s="106">
        <f>1%*SUM(E9:E13)</f>
        <v>157344.84941503999</v>
      </c>
      <c r="F16" s="106">
        <f>E16*F8</f>
        <v>110141.39459052798</v>
      </c>
      <c r="G16" s="106">
        <f>E16*G8</f>
        <v>125875.87953203201</v>
      </c>
      <c r="H16" s="106">
        <f>E16*H8</f>
        <v>141610.364473536</v>
      </c>
      <c r="I16" s="282">
        <v>0.1</v>
      </c>
      <c r="J16" s="282">
        <f t="shared" si="0"/>
        <v>0.9</v>
      </c>
    </row>
    <row r="17" spans="1:10" ht="15.75">
      <c r="A17" s="177">
        <v>9</v>
      </c>
      <c r="B17" s="253" t="s">
        <v>123</v>
      </c>
      <c r="C17" s="106">
        <f t="shared" si="1"/>
        <v>0</v>
      </c>
      <c r="D17" s="106">
        <f>E17*J17</f>
        <v>183960</v>
      </c>
      <c r="E17" s="106">
        <f>'جمع سرمایه ثابت'!C24*15.33%</f>
        <v>183960</v>
      </c>
      <c r="F17" s="106">
        <f>E17*100%</f>
        <v>183960</v>
      </c>
      <c r="G17" s="401">
        <f>E17</f>
        <v>183960</v>
      </c>
      <c r="H17" s="401">
        <f>E17</f>
        <v>183960</v>
      </c>
      <c r="I17" s="282">
        <v>0</v>
      </c>
      <c r="J17" s="282">
        <f t="shared" si="0"/>
        <v>1</v>
      </c>
    </row>
    <row r="18" spans="1:10" ht="15.75">
      <c r="A18" s="177"/>
      <c r="B18" s="253" t="s">
        <v>124</v>
      </c>
      <c r="C18" s="106">
        <f t="shared" ref="C18" si="3">E18*I18</f>
        <v>0</v>
      </c>
      <c r="D18" s="106">
        <f t="shared" ref="D18" si="4">E18*J18</f>
        <v>146447.47973760002</v>
      </c>
      <c r="E18" s="106">
        <f>استهلاک!H15</f>
        <v>146447.47973760002</v>
      </c>
      <c r="F18" s="106">
        <f>E18*100%</f>
        <v>146447.47973760002</v>
      </c>
      <c r="G18" s="401">
        <f>E18</f>
        <v>146447.47973760002</v>
      </c>
      <c r="H18" s="401">
        <f>E18</f>
        <v>146447.47973760002</v>
      </c>
      <c r="I18" s="282">
        <v>0</v>
      </c>
      <c r="J18" s="282">
        <f t="shared" ref="J18" si="5">1-I18</f>
        <v>1</v>
      </c>
    </row>
    <row r="19" spans="1:10" ht="15.75" hidden="1">
      <c r="A19" s="177"/>
      <c r="B19" s="253" t="s">
        <v>125</v>
      </c>
      <c r="C19" s="106">
        <f t="shared" ref="C19" si="6">E19*I19</f>
        <v>0</v>
      </c>
      <c r="D19" s="106">
        <f t="shared" ref="D19" si="7">E19*J19</f>
        <v>0</v>
      </c>
      <c r="E19" s="106">
        <v>0</v>
      </c>
      <c r="F19" s="106">
        <f>E19*100%</f>
        <v>0</v>
      </c>
      <c r="G19" s="401">
        <f>E19</f>
        <v>0</v>
      </c>
      <c r="H19" s="401">
        <f>E19</f>
        <v>0</v>
      </c>
      <c r="I19" s="282">
        <v>1</v>
      </c>
      <c r="J19" s="282">
        <f t="shared" ref="J19" si="8">1-I19</f>
        <v>0</v>
      </c>
    </row>
    <row r="20" spans="1:10" ht="15.75">
      <c r="A20" s="177">
        <v>11</v>
      </c>
      <c r="B20" s="253" t="s">
        <v>126</v>
      </c>
      <c r="C20" s="106">
        <f t="shared" si="1"/>
        <v>0</v>
      </c>
      <c r="D20" s="106">
        <f t="shared" si="2"/>
        <v>598500</v>
      </c>
      <c r="E20" s="106">
        <f>فروش!H41*3%</f>
        <v>598500</v>
      </c>
      <c r="F20" s="106">
        <f>E20*F8</f>
        <v>418950</v>
      </c>
      <c r="G20" s="401">
        <f>E20*G8</f>
        <v>478800</v>
      </c>
      <c r="H20" s="401">
        <f>E20*H8</f>
        <v>538650</v>
      </c>
      <c r="I20" s="282">
        <v>0</v>
      </c>
      <c r="J20" s="282">
        <f t="shared" si="0"/>
        <v>1</v>
      </c>
    </row>
    <row r="21" spans="1:10" ht="26.25" customHeight="1">
      <c r="A21" s="617" t="s">
        <v>127</v>
      </c>
      <c r="B21" s="617"/>
      <c r="C21" s="379">
        <f t="shared" ref="C21:H21" si="9">SUM(C9:C20)</f>
        <v>16069390.179446265</v>
      </c>
      <c r="D21" s="379">
        <f t="shared" si="9"/>
        <v>1541700.9738134961</v>
      </c>
      <c r="E21" s="106">
        <f t="shared" si="9"/>
        <v>17611091.153259758</v>
      </c>
      <c r="F21" s="106">
        <f t="shared" si="9"/>
        <v>12426886.051203111</v>
      </c>
      <c r="G21" s="106">
        <f t="shared" si="9"/>
        <v>14154954.418555329</v>
      </c>
      <c r="H21" s="106">
        <f t="shared" si="9"/>
        <v>15883022.785907546</v>
      </c>
      <c r="I21" s="402" t="s">
        <v>27</v>
      </c>
      <c r="J21" s="402" t="s">
        <v>27</v>
      </c>
    </row>
    <row r="23" spans="1:10" ht="20.25">
      <c r="G23" s="76"/>
      <c r="H23" s="76"/>
      <c r="I23" s="616" t="s">
        <v>128</v>
      </c>
      <c r="J23" s="616"/>
    </row>
    <row r="24" spans="1:10" ht="15.75">
      <c r="H24" s="77"/>
      <c r="I24" s="81">
        <f>D21</f>
        <v>1541700.9738134961</v>
      </c>
      <c r="J24" s="82" t="s">
        <v>129</v>
      </c>
    </row>
    <row r="25" spans="1:10" ht="15.75">
      <c r="H25" s="78"/>
      <c r="I25" s="82">
        <f>فروش!H41</f>
        <v>19950000</v>
      </c>
      <c r="J25" s="82" t="s">
        <v>130</v>
      </c>
    </row>
    <row r="26" spans="1:10" ht="15.75">
      <c r="H26" s="77"/>
      <c r="I26" s="81">
        <f>C21</f>
        <v>16069390.179446265</v>
      </c>
      <c r="J26" s="82" t="s">
        <v>131</v>
      </c>
    </row>
    <row r="27" spans="1:10" ht="15.75">
      <c r="H27" s="79"/>
      <c r="I27" s="83">
        <f>I24/(I25-I26)</f>
        <v>0.3972831707140056</v>
      </c>
      <c r="J27" s="197" t="s">
        <v>132</v>
      </c>
    </row>
    <row r="28" spans="1:10" ht="15.75">
      <c r="H28" s="80"/>
      <c r="I28" s="403">
        <f>I27*I25</f>
        <v>7925799.2557444116</v>
      </c>
      <c r="J28" s="197" t="s">
        <v>133</v>
      </c>
    </row>
    <row r="30" spans="1:10" ht="20.25">
      <c r="I30" s="614" t="s">
        <v>134</v>
      </c>
      <c r="J30" s="614"/>
    </row>
    <row r="31" spans="1:10">
      <c r="I31" s="194"/>
      <c r="J31" s="195" t="s">
        <v>135</v>
      </c>
    </row>
    <row r="32" spans="1:10">
      <c r="I32" s="196"/>
      <c r="J32" s="195" t="s">
        <v>136</v>
      </c>
    </row>
    <row r="33" spans="9:10" ht="26.25" customHeight="1">
      <c r="I33" s="615" t="e">
        <f>I31/I32</f>
        <v>#DIV/0!</v>
      </c>
      <c r="J33" s="615"/>
    </row>
  </sheetData>
  <mergeCells count="15">
    <mergeCell ref="I30:J30"/>
    <mergeCell ref="I33:J33"/>
    <mergeCell ref="I23:J23"/>
    <mergeCell ref="D1:G1"/>
    <mergeCell ref="A21:B21"/>
    <mergeCell ref="B6:B8"/>
    <mergeCell ref="C6:E6"/>
    <mergeCell ref="F6:H6"/>
    <mergeCell ref="A3:J3"/>
    <mergeCell ref="A4:J4"/>
    <mergeCell ref="J7:J8"/>
    <mergeCell ref="I7:I8"/>
    <mergeCell ref="I6:J6"/>
    <mergeCell ref="A6:A8"/>
    <mergeCell ref="C7:E7"/>
  </mergeCells>
  <printOptions horizontalCentered="1"/>
  <pageMargins left="0.23622047244094491" right="0.23622047244094491" top="0.74803149606299213" bottom="0.74803149606299213" header="0.31496062992125984" footer="0.31496062992125984"/>
  <pageSetup paperSize="9" scale="82" orientation="landscape" r:id="rId1"/>
  <rowBreaks count="1" manualBreakCount="1">
    <brk id="21" max="9"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
  <sheetViews>
    <sheetView rightToLeft="1" view="pageBreakPreview" topLeftCell="A4" zoomScale="70" zoomScaleNormal="100" zoomScaleSheetLayoutView="70" workbookViewId="0">
      <selection activeCell="M82" sqref="M82"/>
    </sheetView>
  </sheetViews>
  <sheetFormatPr defaultRowHeight="15"/>
  <cols>
    <col min="1" max="1" width="4.7109375" bestFit="1" customWidth="1"/>
    <col min="2" max="2" width="37" customWidth="1"/>
    <col min="3" max="3" width="12.42578125" customWidth="1"/>
    <col min="4" max="4" width="17.5703125" customWidth="1"/>
    <col min="5" max="5" width="14.140625" customWidth="1"/>
    <col min="6" max="6" width="18.28515625" customWidth="1"/>
    <col min="7" max="7" width="17.7109375" bestFit="1" customWidth="1"/>
  </cols>
  <sheetData>
    <row r="1" spans="1:6" ht="27" customHeight="1">
      <c r="C1" s="66" t="str">
        <f>زمین!D1</f>
        <v xml:space="preserve">مطالعات بازار،فنی،مالی و اقتصادی طرح توجیهی
</v>
      </c>
      <c r="D1" s="66"/>
    </row>
    <row r="2" spans="1:6" ht="27" customHeight="1">
      <c r="C2" s="66" t="str">
        <f>زمین!D2</f>
        <v>طراحی و تولید دستگاه اندازه گیری سطح مخازن سوخت -شرکت برنا نیروی زاگرس</v>
      </c>
      <c r="D2" s="66"/>
    </row>
    <row r="3" spans="1:6" ht="23.25">
      <c r="A3" s="625" t="s">
        <v>14</v>
      </c>
      <c r="B3" s="625"/>
      <c r="C3" s="625"/>
      <c r="D3" s="625"/>
      <c r="E3" s="625"/>
      <c r="F3" s="625"/>
    </row>
    <row r="4" spans="1:6" ht="363.75" customHeight="1">
      <c r="A4" s="624"/>
      <c r="B4" s="624"/>
      <c r="C4" s="624"/>
      <c r="D4" s="624"/>
    </row>
    <row r="5" spans="1:6">
      <c r="F5" t="s">
        <v>137</v>
      </c>
    </row>
    <row r="6" spans="1:6" ht="15.75">
      <c r="A6" s="4" t="s">
        <v>5</v>
      </c>
      <c r="B6" s="4" t="s">
        <v>138</v>
      </c>
      <c r="C6" s="4" t="s">
        <v>139</v>
      </c>
      <c r="D6" s="4" t="s">
        <v>11</v>
      </c>
      <c r="E6" s="4" t="s">
        <v>140</v>
      </c>
      <c r="F6" s="4" t="s">
        <v>141</v>
      </c>
    </row>
    <row r="7" spans="1:6" ht="18">
      <c r="A7" s="284">
        <v>1</v>
      </c>
      <c r="B7" s="284" t="s">
        <v>142</v>
      </c>
      <c r="C7" s="284">
        <v>7</v>
      </c>
      <c r="D7" s="284">
        <v>0</v>
      </c>
      <c r="E7" s="285">
        <f>Table8[[#This Row],[Column4]]-D7</f>
        <v>363413.12</v>
      </c>
      <c r="F7" s="169">
        <f>('مواد اولیه'!G14/300)*C7</f>
        <v>363413.12</v>
      </c>
    </row>
    <row r="8" spans="1:6" ht="18">
      <c r="A8" s="284">
        <v>2</v>
      </c>
      <c r="B8" s="284" t="s">
        <v>143</v>
      </c>
      <c r="C8" s="284">
        <v>1</v>
      </c>
      <c r="D8" s="284">
        <v>0</v>
      </c>
      <c r="E8" s="285">
        <f>Table8[[#This Row],[Column4]]-D8</f>
        <v>55070.697295263999</v>
      </c>
      <c r="F8" s="169">
        <f>(('جمع هزینه'!E9+'جمع هزینه'!E10+'جمع هزینه'!E11+'جمع هزینه'!E12+'جمع هزینه'!E13+'جمع هزینه'!E15)/300)*Table8[[#This Row],[Column5]]</f>
        <v>55070.697295263999</v>
      </c>
    </row>
    <row r="9" spans="1:6" ht="18">
      <c r="A9" s="284">
        <v>3</v>
      </c>
      <c r="B9" s="284" t="s">
        <v>144</v>
      </c>
      <c r="C9" s="284">
        <v>7</v>
      </c>
      <c r="D9" s="284">
        <v>0</v>
      </c>
      <c r="E9" s="285">
        <f>Table8[[#This Row],[Column4]]-D9</f>
        <v>1451.9461017600001</v>
      </c>
      <c r="F9" s="169">
        <f>('جمع هزینه'!E11/300)*Table8[[#This Row],[Column5]]</f>
        <v>1451.9461017600001</v>
      </c>
    </row>
    <row r="10" spans="1:6" ht="18.75" thickBot="1">
      <c r="A10" s="284">
        <v>4</v>
      </c>
      <c r="B10" s="284" t="s">
        <v>145</v>
      </c>
      <c r="C10" s="284">
        <v>7</v>
      </c>
      <c r="D10" s="284">
        <v>0</v>
      </c>
      <c r="E10" s="285">
        <f>Table8[[#This Row],[Column4]]-D10</f>
        <v>1667.8513017600001</v>
      </c>
      <c r="F10" s="169">
        <f>(انرژی!I14/300+نت!E11/300)*Table8[[#This Row],[Column5]]</f>
        <v>1667.8513017600001</v>
      </c>
    </row>
    <row r="11" spans="1:6" ht="21" thickBot="1">
      <c r="A11" s="622" t="s">
        <v>26</v>
      </c>
      <c r="B11" s="623"/>
      <c r="C11" s="286"/>
      <c r="D11" s="287">
        <f t="shared" ref="D11:E11" si="0">SUM(D7:D10)</f>
        <v>0</v>
      </c>
      <c r="E11" s="287">
        <f t="shared" si="0"/>
        <v>421603.61469878402</v>
      </c>
      <c r="F11" s="287">
        <f>SUM(F7:F10)</f>
        <v>421603.61469878402</v>
      </c>
    </row>
    <row r="14" spans="1:6" ht="15.75">
      <c r="B14" s="4" t="s">
        <v>146</v>
      </c>
      <c r="C14" s="4" t="s">
        <v>99</v>
      </c>
      <c r="D14" s="4" t="s">
        <v>101</v>
      </c>
    </row>
    <row r="15" spans="1:6" ht="15.75">
      <c r="B15" s="4" t="s">
        <v>102</v>
      </c>
      <c r="C15" s="343">
        <f>F11</f>
        <v>421603.61469878402</v>
      </c>
      <c r="D15" s="46">
        <f t="shared" ref="D15:D16" si="1">IFERROR(C15/F11,0)</f>
        <v>1</v>
      </c>
    </row>
    <row r="16" spans="1:6" ht="15.75">
      <c r="B16" s="4" t="s">
        <v>103</v>
      </c>
      <c r="C16" s="343">
        <f>D12</f>
        <v>0</v>
      </c>
      <c r="D16" s="46">
        <f t="shared" si="1"/>
        <v>0</v>
      </c>
    </row>
  </sheetData>
  <mergeCells count="3">
    <mergeCell ref="A11:B11"/>
    <mergeCell ref="A4:D4"/>
    <mergeCell ref="A3:F3"/>
  </mergeCells>
  <printOptions horizontalCentered="1"/>
  <pageMargins left="0.23622047244094491" right="0.23622047244094491" top="0.74803149606299213" bottom="0.74803149606299213" header="0.31496062992125984" footer="0.31496062992125984"/>
  <pageSetup paperSize="9" scale="75" orientation="portrait" r:id="rId1"/>
  <rowBreaks count="1" manualBreakCount="1">
    <brk id="32" max="5" man="1"/>
  </rowBreaks>
  <drawing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1"/>
  <sheetViews>
    <sheetView rightToLeft="1" view="pageBreakPreview" zoomScale="90" zoomScaleNormal="100" zoomScaleSheetLayoutView="90" workbookViewId="0">
      <selection activeCell="F12" sqref="F12"/>
    </sheetView>
  </sheetViews>
  <sheetFormatPr defaultRowHeight="15"/>
  <cols>
    <col min="1" max="1" width="4.7109375" bestFit="1" customWidth="1"/>
    <col min="2" max="2" width="34.28515625" style="141" customWidth="1"/>
    <col min="3" max="3" width="10.42578125" customWidth="1"/>
    <col min="4" max="4" width="13.7109375" customWidth="1"/>
    <col min="5" max="5" width="11.7109375" customWidth="1"/>
    <col min="6" max="6" width="23.42578125" customWidth="1"/>
    <col min="7" max="7" width="24.5703125" customWidth="1"/>
  </cols>
  <sheetData>
    <row r="1" spans="1:7">
      <c r="C1" s="498" t="str">
        <f>زمین!D1</f>
        <v xml:space="preserve">مطالعات بازار،فنی،مالی و اقتصادی طرح توجیهی
</v>
      </c>
      <c r="D1" s="498"/>
      <c r="E1" s="498"/>
      <c r="F1" s="498"/>
      <c r="G1" s="498"/>
    </row>
    <row r="2" spans="1:7">
      <c r="C2" s="66" t="str">
        <f>زمین!D2</f>
        <v>طراحی و تولید دستگاه اندازه گیری سطح مخازن سوخت -شرکت برنا نیروی زاگرس</v>
      </c>
      <c r="D2" s="66"/>
      <c r="E2" s="66"/>
      <c r="F2" s="66"/>
    </row>
    <row r="3" spans="1:7" ht="24" thickBot="1">
      <c r="A3" s="631" t="s">
        <v>147</v>
      </c>
      <c r="B3" s="631"/>
      <c r="C3" s="631"/>
      <c r="D3" s="631"/>
      <c r="E3" s="631"/>
      <c r="F3" s="631"/>
      <c r="G3" s="631"/>
    </row>
    <row r="4" spans="1:7" ht="15.75">
      <c r="A4" s="626" t="s">
        <v>148</v>
      </c>
      <c r="B4" s="627"/>
      <c r="C4" s="627"/>
      <c r="D4" s="627"/>
      <c r="E4" s="627"/>
      <c r="F4" s="627"/>
      <c r="G4" s="628"/>
    </row>
    <row r="5" spans="1:7" ht="16.5" thickBot="1">
      <c r="A5" s="632" t="s">
        <v>52</v>
      </c>
      <c r="B5" s="633"/>
      <c r="C5" s="633"/>
      <c r="D5" s="633"/>
      <c r="E5" s="633"/>
      <c r="F5" s="633"/>
      <c r="G5" s="634"/>
    </row>
    <row r="6" spans="1:7" ht="15.75">
      <c r="A6" s="5"/>
      <c r="B6" s="578" t="s">
        <v>149</v>
      </c>
      <c r="C6" s="578"/>
      <c r="D6" s="578"/>
      <c r="E6" s="578"/>
      <c r="F6" s="578"/>
      <c r="G6" s="578"/>
    </row>
    <row r="7" spans="1:7" ht="15.75" thickBot="1">
      <c r="A7" s="1"/>
      <c r="B7" s="142"/>
      <c r="C7" s="1"/>
      <c r="D7" s="20"/>
      <c r="E7" s="1"/>
      <c r="F7" s="20"/>
      <c r="G7" s="1"/>
    </row>
    <row r="8" spans="1:7" ht="57.75" thickBot="1">
      <c r="A8" s="208" t="s">
        <v>5</v>
      </c>
      <c r="B8" s="209" t="s">
        <v>6</v>
      </c>
      <c r="C8" s="209" t="s">
        <v>150</v>
      </c>
      <c r="D8" s="227" t="s">
        <v>151</v>
      </c>
      <c r="E8" s="228" t="s">
        <v>152</v>
      </c>
      <c r="F8" s="229" t="s">
        <v>153</v>
      </c>
      <c r="G8" s="191" t="s">
        <v>154</v>
      </c>
    </row>
    <row r="9" spans="1:7" ht="18">
      <c r="A9" s="288">
        <v>1</v>
      </c>
      <c r="B9" s="289" t="s">
        <v>155</v>
      </c>
      <c r="C9" s="230" t="s">
        <v>156</v>
      </c>
      <c r="D9" s="291">
        <v>120</v>
      </c>
      <c r="E9" s="290">
        <v>1</v>
      </c>
      <c r="F9" s="298">
        <v>400000</v>
      </c>
      <c r="G9" s="292">
        <f>D9*E9*F9/1000000</f>
        <v>48</v>
      </c>
    </row>
    <row r="10" spans="1:7" ht="18">
      <c r="A10" s="293">
        <v>2</v>
      </c>
      <c r="B10" s="294" t="s">
        <v>157</v>
      </c>
      <c r="C10" s="295" t="s">
        <v>158</v>
      </c>
      <c r="D10" s="296">
        <v>12</v>
      </c>
      <c r="E10" s="295">
        <v>1</v>
      </c>
      <c r="F10" s="299">
        <v>100000000</v>
      </c>
      <c r="G10" s="297">
        <f>D10*E10*F10/1000000</f>
        <v>1200</v>
      </c>
    </row>
    <row r="11" spans="1:7" ht="18">
      <c r="A11" s="293">
        <v>3</v>
      </c>
      <c r="B11" s="302" t="s">
        <v>269</v>
      </c>
      <c r="C11" s="300" t="s">
        <v>272</v>
      </c>
      <c r="D11" s="497">
        <f>1.2*60000</f>
        <v>72000</v>
      </c>
      <c r="E11" s="301">
        <v>1</v>
      </c>
      <c r="F11" s="303">
        <v>160000000</v>
      </c>
      <c r="G11" s="297">
        <f>D11*E11*F11/1000000</f>
        <v>11520000</v>
      </c>
    </row>
    <row r="12" spans="1:7" ht="18">
      <c r="A12" s="293">
        <v>4</v>
      </c>
      <c r="B12" s="302" t="s">
        <v>270</v>
      </c>
      <c r="C12" s="300" t="s">
        <v>271</v>
      </c>
      <c r="D12" s="497">
        <f>30000*20</f>
        <v>600000</v>
      </c>
      <c r="E12" s="301">
        <v>1</v>
      </c>
      <c r="F12" s="303">
        <v>6000000</v>
      </c>
      <c r="G12" s="297">
        <f t="shared" ref="G12" si="0">D12*E12*F12/1000000</f>
        <v>3600000</v>
      </c>
    </row>
    <row r="13" spans="1:7" ht="18">
      <c r="A13" s="629" t="s">
        <v>273</v>
      </c>
      <c r="B13" s="587"/>
      <c r="C13" s="587"/>
      <c r="D13" s="587"/>
      <c r="E13" s="587"/>
      <c r="F13" s="587"/>
      <c r="G13" s="231">
        <f>SUM(G11:G12)*3%</f>
        <v>453600</v>
      </c>
    </row>
    <row r="14" spans="1:7" ht="18.75" thickBot="1">
      <c r="A14" s="630" t="s">
        <v>159</v>
      </c>
      <c r="B14" s="545"/>
      <c r="C14" s="545"/>
      <c r="D14" s="545"/>
      <c r="E14" s="545"/>
      <c r="F14" s="545"/>
      <c r="G14" s="206">
        <f>SUM(G9:G12)+G13</f>
        <v>15574848</v>
      </c>
    </row>
    <row r="15" spans="1:7" ht="15.75" thickBot="1"/>
    <row r="16" spans="1:7" ht="18.75" thickBot="1">
      <c r="A16" s="210"/>
      <c r="B16" s="211"/>
      <c r="C16" s="211"/>
    </row>
    <row r="17" spans="1:3" ht="15.75" thickTop="1">
      <c r="A17" s="212"/>
      <c r="B17" s="213"/>
      <c r="C17" s="214"/>
    </row>
    <row r="18" spans="1:3">
      <c r="A18" s="215"/>
      <c r="B18" s="216"/>
      <c r="C18" s="217"/>
    </row>
    <row r="19" spans="1:3">
      <c r="A19" s="215"/>
      <c r="B19" s="216"/>
      <c r="C19" s="217"/>
    </row>
    <row r="20" spans="1:3">
      <c r="A20" s="215"/>
      <c r="B20" s="216"/>
      <c r="C20" s="217"/>
    </row>
    <row r="21" spans="1:3">
      <c r="A21" s="215"/>
      <c r="B21" s="216"/>
      <c r="C21" s="217"/>
    </row>
    <row r="22" spans="1:3">
      <c r="A22" s="215"/>
      <c r="B22" s="216"/>
      <c r="C22" s="217"/>
    </row>
    <row r="23" spans="1:3">
      <c r="A23" s="215"/>
      <c r="B23" s="216"/>
      <c r="C23" s="217"/>
    </row>
    <row r="24" spans="1:3">
      <c r="A24" s="215"/>
      <c r="B24" s="216"/>
      <c r="C24" s="217"/>
    </row>
    <row r="25" spans="1:3">
      <c r="A25" s="215"/>
      <c r="B25" s="216"/>
      <c r="C25" s="217"/>
    </row>
    <row r="26" spans="1:3">
      <c r="A26" s="215"/>
      <c r="B26" s="216"/>
      <c r="C26" s="217"/>
    </row>
    <row r="27" spans="1:3">
      <c r="A27" s="215"/>
      <c r="B27" s="216"/>
      <c r="C27" s="217"/>
    </row>
    <row r="28" spans="1:3">
      <c r="A28" s="215"/>
      <c r="B28" s="216"/>
      <c r="C28" s="217"/>
    </row>
    <row r="29" spans="1:3">
      <c r="A29" s="215"/>
      <c r="B29" s="216"/>
      <c r="C29" s="217"/>
    </row>
    <row r="30" spans="1:3">
      <c r="A30" s="215"/>
      <c r="B30" s="216"/>
      <c r="C30" s="217"/>
    </row>
    <row r="31" spans="1:3">
      <c r="A31" s="215"/>
      <c r="B31" s="216"/>
      <c r="C31" s="217"/>
    </row>
  </sheetData>
  <protectedRanges>
    <protectedRange sqref="A9:A12 E9:E12" name="Range1_2_1"/>
    <protectedRange sqref="B9:D10 C11:C12" name="Range1_2_1_1"/>
    <protectedRange sqref="F9:F10" name="Range1_2_2"/>
  </protectedRanges>
  <mergeCells count="7">
    <mergeCell ref="C1:G1"/>
    <mergeCell ref="A4:G4"/>
    <mergeCell ref="A13:F13"/>
    <mergeCell ref="A14:F14"/>
    <mergeCell ref="A3:G3"/>
    <mergeCell ref="B6:G6"/>
    <mergeCell ref="A5:G5"/>
  </mergeCells>
  <printOptions horizontalCentered="1"/>
  <pageMargins left="0.70866141732283472" right="0.70866141732283472" top="0.74803149606299213" bottom="0.74803149606299213" header="0.9055118110236221" footer="0.70866141732283472"/>
  <pageSetup paperSize="9" scale="71"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4"/>
  <sheetViews>
    <sheetView rightToLeft="1" view="pageBreakPreview" zoomScaleNormal="100" zoomScaleSheetLayoutView="100" workbookViewId="0">
      <selection activeCell="K6" sqref="K6"/>
    </sheetView>
  </sheetViews>
  <sheetFormatPr defaultRowHeight="15"/>
  <cols>
    <col min="1" max="1" width="4.7109375" bestFit="1" customWidth="1"/>
    <col min="2" max="2" width="22.140625" customWidth="1"/>
    <col min="3" max="3" width="14.85546875" customWidth="1"/>
    <col min="4" max="4" width="12.42578125" bestFit="1" customWidth="1"/>
    <col min="5" max="5" width="15.140625" bestFit="1" customWidth="1"/>
    <col min="6" max="8" width="15.85546875" customWidth="1"/>
    <col min="9" max="9" width="15.7109375" bestFit="1" customWidth="1"/>
  </cols>
  <sheetData>
    <row r="1" spans="1:11" ht="41.25" customHeight="1">
      <c r="C1" s="66"/>
      <c r="D1" s="498" t="str">
        <f>زمین!D1</f>
        <v xml:space="preserve">مطالعات بازار،فنی،مالی و اقتصادی طرح توجیهی
</v>
      </c>
      <c r="E1" s="498"/>
      <c r="F1" s="498"/>
      <c r="G1" s="498"/>
    </row>
    <row r="2" spans="1:11" ht="24" customHeight="1">
      <c r="C2" s="66"/>
      <c r="D2" s="66" t="str">
        <f>زمین!D2</f>
        <v>طراحی و تولید دستگاه اندازه گیری سطح مخازن سوخت -شرکت برنا نیروی زاگرس</v>
      </c>
      <c r="E2" s="66"/>
      <c r="F2" s="66"/>
      <c r="G2" s="66"/>
    </row>
    <row r="3" spans="1:11" ht="23.25">
      <c r="A3" s="637" t="s">
        <v>116</v>
      </c>
      <c r="B3" s="637"/>
      <c r="C3" s="637"/>
      <c r="D3" s="637"/>
      <c r="E3" s="637"/>
      <c r="F3" s="637"/>
      <c r="G3" s="637"/>
      <c r="H3" s="637"/>
      <c r="I3" s="637"/>
    </row>
    <row r="4" spans="1:11" ht="15.75">
      <c r="A4" s="612" t="s">
        <v>160</v>
      </c>
      <c r="B4" s="612"/>
      <c r="C4" s="612"/>
      <c r="D4" s="612"/>
      <c r="E4" s="612"/>
      <c r="F4" s="612"/>
      <c r="G4" s="612"/>
      <c r="H4" s="612"/>
      <c r="I4" s="612"/>
    </row>
    <row r="5" spans="1:11" ht="15.75">
      <c r="A5" s="548" t="s">
        <v>161</v>
      </c>
      <c r="B5" s="548"/>
      <c r="C5" s="548"/>
      <c r="D5" s="548"/>
      <c r="E5" s="548"/>
      <c r="F5" s="548"/>
      <c r="G5" s="548"/>
      <c r="H5" s="548"/>
      <c r="I5" s="548"/>
    </row>
    <row r="6" spans="1:11" ht="192.75" customHeight="1" thickBot="1"/>
    <row r="7" spans="1:11" ht="30">
      <c r="A7" s="316" t="s">
        <v>5</v>
      </c>
      <c r="B7" s="219" t="s">
        <v>6</v>
      </c>
      <c r="C7" s="219" t="s">
        <v>150</v>
      </c>
      <c r="D7" s="219" t="s">
        <v>162</v>
      </c>
      <c r="E7" s="219" t="s">
        <v>163</v>
      </c>
      <c r="F7" s="219" t="s">
        <v>164</v>
      </c>
      <c r="G7" s="317" t="s">
        <v>165</v>
      </c>
      <c r="H7" s="318" t="s">
        <v>166</v>
      </c>
      <c r="I7" s="319" t="s">
        <v>167</v>
      </c>
    </row>
    <row r="8" spans="1:11" ht="24.75" customHeight="1">
      <c r="A8" s="304">
        <v>1</v>
      </c>
      <c r="B8" s="305" t="s">
        <v>168</v>
      </c>
      <c r="C8" s="306" t="s">
        <v>169</v>
      </c>
      <c r="D8" s="307">
        <v>8</v>
      </c>
      <c r="E8" s="307">
        <v>800</v>
      </c>
      <c r="F8" s="307">
        <v>300</v>
      </c>
      <c r="G8" s="308">
        <f>F8*E8</f>
        <v>240000</v>
      </c>
      <c r="H8" s="308">
        <f>3*7114</f>
        <v>21342</v>
      </c>
      <c r="I8" s="309">
        <f>G8*H8/1000000</f>
        <v>5122.08</v>
      </c>
      <c r="K8">
        <f>I8/12</f>
        <v>426.84</v>
      </c>
    </row>
    <row r="9" spans="1:11" ht="24.75" customHeight="1">
      <c r="A9" s="304">
        <v>2</v>
      </c>
      <c r="B9" s="305" t="s">
        <v>170</v>
      </c>
      <c r="C9" s="305" t="s">
        <v>171</v>
      </c>
      <c r="D9" s="307">
        <v>8</v>
      </c>
      <c r="E9" s="307">
        <v>18</v>
      </c>
      <c r="F9" s="307">
        <v>300</v>
      </c>
      <c r="G9" s="308">
        <f t="shared" ref="G9:G13" si="0">F9*E9</f>
        <v>5400</v>
      </c>
      <c r="H9" s="308">
        <v>100000</v>
      </c>
      <c r="I9" s="309">
        <f t="shared" ref="I9:I13" si="1">G9*H9/1000000</f>
        <v>540</v>
      </c>
      <c r="K9">
        <f t="shared" ref="K9:K12" si="2">I9/12</f>
        <v>45</v>
      </c>
    </row>
    <row r="10" spans="1:11" ht="24.75" customHeight="1">
      <c r="A10" s="304">
        <v>3</v>
      </c>
      <c r="B10" s="305" t="s">
        <v>172</v>
      </c>
      <c r="C10" s="305" t="s">
        <v>171</v>
      </c>
      <c r="D10" s="307">
        <v>8</v>
      </c>
      <c r="E10" s="307">
        <v>1250</v>
      </c>
      <c r="F10" s="307">
        <v>300</v>
      </c>
      <c r="G10" s="308">
        <f t="shared" si="0"/>
        <v>375000</v>
      </c>
      <c r="H10" s="310">
        <v>9000</v>
      </c>
      <c r="I10" s="309">
        <f t="shared" si="1"/>
        <v>3375</v>
      </c>
      <c r="K10">
        <f t="shared" si="2"/>
        <v>281.25</v>
      </c>
    </row>
    <row r="11" spans="1:11" ht="24.75" customHeight="1">
      <c r="A11" s="304">
        <v>4</v>
      </c>
      <c r="B11" s="305" t="s">
        <v>173</v>
      </c>
      <c r="C11" s="305" t="s">
        <v>174</v>
      </c>
      <c r="D11" s="307">
        <v>8</v>
      </c>
      <c r="E11" s="307"/>
      <c r="F11" s="307">
        <v>300</v>
      </c>
      <c r="G11" s="308">
        <f t="shared" si="0"/>
        <v>0</v>
      </c>
      <c r="H11" s="310">
        <v>30000</v>
      </c>
      <c r="I11" s="309">
        <f t="shared" si="1"/>
        <v>0</v>
      </c>
      <c r="K11">
        <f t="shared" si="2"/>
        <v>0</v>
      </c>
    </row>
    <row r="12" spans="1:11" ht="24.75" customHeight="1">
      <c r="A12" s="304">
        <v>5</v>
      </c>
      <c r="B12" s="305" t="s">
        <v>175</v>
      </c>
      <c r="C12" s="305" t="s">
        <v>174</v>
      </c>
      <c r="D12" s="307">
        <v>8</v>
      </c>
      <c r="E12" s="307">
        <v>0</v>
      </c>
      <c r="F12" s="307">
        <v>300</v>
      </c>
      <c r="G12" s="308">
        <f t="shared" si="0"/>
        <v>0</v>
      </c>
      <c r="H12" s="310">
        <v>3500</v>
      </c>
      <c r="I12" s="309">
        <f t="shared" si="1"/>
        <v>0</v>
      </c>
      <c r="K12">
        <f t="shared" si="2"/>
        <v>0</v>
      </c>
    </row>
    <row r="13" spans="1:11" ht="24.75" customHeight="1" thickBot="1">
      <c r="A13" s="311">
        <v>6</v>
      </c>
      <c r="B13" s="312" t="s">
        <v>176</v>
      </c>
      <c r="C13" s="312" t="s">
        <v>177</v>
      </c>
      <c r="D13" s="307">
        <v>8</v>
      </c>
      <c r="E13" s="313">
        <v>600</v>
      </c>
      <c r="F13" s="307">
        <v>300</v>
      </c>
      <c r="G13" s="308">
        <f t="shared" si="0"/>
        <v>180000</v>
      </c>
      <c r="H13" s="314">
        <v>1200</v>
      </c>
      <c r="I13" s="309">
        <f t="shared" si="1"/>
        <v>216</v>
      </c>
      <c r="K13">
        <f>I13/12</f>
        <v>18</v>
      </c>
    </row>
    <row r="14" spans="1:11" ht="38.25" customHeight="1" thickBot="1">
      <c r="A14" s="635" t="s">
        <v>26</v>
      </c>
      <c r="B14" s="636"/>
      <c r="C14" s="636"/>
      <c r="D14" s="636"/>
      <c r="E14" s="636"/>
      <c r="F14" s="636"/>
      <c r="G14" s="636"/>
      <c r="H14" s="636"/>
      <c r="I14" s="315">
        <f>SUM(I8:I13)</f>
        <v>9253.08</v>
      </c>
      <c r="K14">
        <f>I14/12</f>
        <v>771.09</v>
      </c>
    </row>
  </sheetData>
  <protectedRanges>
    <protectedRange sqref="A8:D13 F8:H13" name="Range1_2_2"/>
    <protectedRange sqref="E8:E13" name="Range1_2_2_1"/>
  </protectedRanges>
  <mergeCells count="5">
    <mergeCell ref="A14:H14"/>
    <mergeCell ref="A3:I3"/>
    <mergeCell ref="A4:I4"/>
    <mergeCell ref="A5:I5"/>
    <mergeCell ref="D1:G1"/>
  </mergeCells>
  <printOptions horizontalCentered="1"/>
  <pageMargins left="0.70866141732283472" right="0.70866141732283472" top="0.74803149606299213" bottom="0.74803149606299213" header="0.9055118110236221" footer="0.70866141732283472"/>
  <pageSetup paperSize="9" scale="82"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0"/>
  <sheetViews>
    <sheetView rightToLeft="1" view="pageBreakPreview" topLeftCell="A7" zoomScaleNormal="100" zoomScaleSheetLayoutView="100" workbookViewId="0">
      <selection activeCell="L18" sqref="L18"/>
    </sheetView>
  </sheetViews>
  <sheetFormatPr defaultRowHeight="15"/>
  <cols>
    <col min="1" max="1" width="8.85546875" bestFit="1" customWidth="1"/>
    <col min="2" max="2" width="25.5703125" customWidth="1"/>
    <col min="3" max="3" width="12" bestFit="1" customWidth="1"/>
    <col min="4" max="4" width="24" customWidth="1"/>
    <col min="5" max="5" width="24.7109375" customWidth="1"/>
    <col min="6" max="6" width="25.140625" customWidth="1"/>
  </cols>
  <sheetData>
    <row r="1" spans="1:7" ht="25.5" customHeight="1">
      <c r="C1" s="498" t="str">
        <f>زمین!D1</f>
        <v xml:space="preserve">مطالعات بازار،فنی،مالی و اقتصادی طرح توجیهی
</v>
      </c>
      <c r="D1" s="498"/>
      <c r="E1" s="498"/>
    </row>
    <row r="2" spans="1:7" ht="27.75" customHeight="1">
      <c r="C2" s="66" t="str">
        <f>زمین!D2</f>
        <v>طراحی و تولید دستگاه اندازه گیری سطح مخازن سوخت -شرکت برنا نیروی زاگرس</v>
      </c>
      <c r="D2" s="66"/>
      <c r="E2" s="66"/>
    </row>
    <row r="3" spans="1:7" ht="31.5" customHeight="1">
      <c r="A3" s="644" t="s">
        <v>178</v>
      </c>
      <c r="B3" s="644"/>
      <c r="C3" s="644"/>
      <c r="D3" s="644"/>
      <c r="E3" s="644"/>
      <c r="F3" s="644"/>
      <c r="G3" s="644"/>
    </row>
    <row r="4" spans="1:7" ht="15.75">
      <c r="A4" s="612"/>
      <c r="B4" s="612"/>
      <c r="C4" s="612"/>
      <c r="D4" s="612"/>
      <c r="E4" s="612"/>
      <c r="F4" s="3"/>
    </row>
    <row r="5" spans="1:7" ht="15.75">
      <c r="A5" s="612" t="s">
        <v>179</v>
      </c>
      <c r="B5" s="612"/>
      <c r="C5" s="612"/>
      <c r="D5" s="612"/>
      <c r="E5" s="612"/>
      <c r="F5" s="612"/>
      <c r="G5" s="612"/>
    </row>
    <row r="6" spans="1:7" ht="15.75">
      <c r="A6" s="640" t="s">
        <v>180</v>
      </c>
      <c r="B6" s="640"/>
      <c r="C6" s="640"/>
      <c r="D6" s="4"/>
      <c r="E6" s="4"/>
    </row>
    <row r="7" spans="1:7" ht="15.75">
      <c r="A7" s="643" t="s">
        <v>181</v>
      </c>
      <c r="B7" s="643"/>
      <c r="C7" s="643"/>
      <c r="D7" s="643"/>
      <c r="E7" s="643"/>
      <c r="F7" s="643"/>
      <c r="G7" s="643"/>
    </row>
    <row r="8" spans="1:7" ht="15.75" thickBot="1"/>
    <row r="9" spans="1:7" ht="26.25" customHeight="1" thickBot="1">
      <c r="A9" s="648" t="s">
        <v>182</v>
      </c>
      <c r="B9" s="649"/>
      <c r="C9" s="649"/>
      <c r="D9" s="649"/>
      <c r="E9" s="649"/>
      <c r="F9" s="649"/>
      <c r="G9" s="650"/>
    </row>
    <row r="10" spans="1:7" ht="27.75" customHeight="1">
      <c r="A10" s="150" t="s">
        <v>5</v>
      </c>
      <c r="B10" s="150" t="s">
        <v>6</v>
      </c>
      <c r="C10" s="150" t="s">
        <v>183</v>
      </c>
      <c r="D10" s="150" t="s">
        <v>184</v>
      </c>
      <c r="E10" s="174" t="s">
        <v>185</v>
      </c>
      <c r="F10" s="175" t="s">
        <v>186</v>
      </c>
      <c r="G10" s="484" t="s">
        <v>187</v>
      </c>
    </row>
    <row r="11" spans="1:7" ht="38.25" customHeight="1">
      <c r="A11" s="1">
        <v>1</v>
      </c>
      <c r="B11" s="4" t="s">
        <v>188</v>
      </c>
      <c r="C11" s="102">
        <f>C20+C30</f>
        <v>43</v>
      </c>
      <c r="D11" s="103">
        <f>E11/C11</f>
        <v>2050.1767441860466</v>
      </c>
      <c r="E11" s="104">
        <f>E20+E30</f>
        <v>88157.6</v>
      </c>
      <c r="F11" s="103">
        <f>F20+F30</f>
        <v>2622</v>
      </c>
      <c r="G11" s="103">
        <f>G20+G30</f>
        <v>1900</v>
      </c>
    </row>
    <row r="12" spans="1:7" ht="15" customHeight="1"/>
    <row r="13" spans="1:7" ht="15.75">
      <c r="A13" s="641" t="s">
        <v>189</v>
      </c>
      <c r="B13" s="642"/>
      <c r="C13" s="642"/>
      <c r="D13" s="642"/>
      <c r="E13" s="642"/>
      <c r="F13" s="642"/>
      <c r="G13" s="642"/>
    </row>
    <row r="14" spans="1:7" ht="15.75" thickBot="1">
      <c r="A14" s="1"/>
      <c r="B14" s="1"/>
      <c r="C14" s="1"/>
      <c r="D14" s="1"/>
      <c r="E14" s="1"/>
    </row>
    <row r="15" spans="1:7" ht="16.5" thickBot="1">
      <c r="A15" s="87" t="s">
        <v>5</v>
      </c>
      <c r="B15" s="86" t="s">
        <v>6</v>
      </c>
      <c r="C15" s="86" t="s">
        <v>183</v>
      </c>
      <c r="D15" s="172" t="s">
        <v>190</v>
      </c>
      <c r="E15" s="86" t="s">
        <v>185</v>
      </c>
      <c r="F15" s="172" t="s">
        <v>186</v>
      </c>
      <c r="G15" s="88" t="s">
        <v>187</v>
      </c>
    </row>
    <row r="16" spans="1:7" ht="31.5" customHeight="1">
      <c r="A16" s="320">
        <v>1</v>
      </c>
      <c r="B16" s="329" t="s">
        <v>191</v>
      </c>
      <c r="C16" s="321">
        <v>1</v>
      </c>
      <c r="D16" s="322">
        <v>250</v>
      </c>
      <c r="E16" s="323">
        <f>D16*C16*16.76</f>
        <v>4190</v>
      </c>
      <c r="F16" s="331">
        <f>12*D16*23%</f>
        <v>690</v>
      </c>
      <c r="G16" s="332">
        <f>D16*2</f>
        <v>500</v>
      </c>
    </row>
    <row r="17" spans="1:9" ht="18">
      <c r="A17" s="324">
        <v>2</v>
      </c>
      <c r="B17" s="330" t="s">
        <v>277</v>
      </c>
      <c r="C17" s="326">
        <v>4</v>
      </c>
      <c r="D17" s="327">
        <v>180</v>
      </c>
      <c r="E17" s="328">
        <f>D17*C17*16.76</f>
        <v>12067.2</v>
      </c>
      <c r="F17" s="333">
        <f>12*D17*23%</f>
        <v>496.8</v>
      </c>
      <c r="G17" s="334">
        <f t="shared" ref="G17" si="0">D17*2</f>
        <v>360</v>
      </c>
    </row>
    <row r="18" spans="1:9" ht="18">
      <c r="A18" s="324">
        <v>3</v>
      </c>
      <c r="B18" s="330" t="s">
        <v>192</v>
      </c>
      <c r="C18" s="326">
        <v>30</v>
      </c>
      <c r="D18" s="327">
        <v>110</v>
      </c>
      <c r="E18" s="328">
        <f>D18*C18*16.76</f>
        <v>55308.000000000007</v>
      </c>
      <c r="F18" s="333">
        <f>12*D18*23%</f>
        <v>303.60000000000002</v>
      </c>
      <c r="G18" s="334">
        <f t="shared" ref="G18:G19" si="1">D18*2</f>
        <v>220</v>
      </c>
    </row>
    <row r="19" spans="1:9" ht="31.5" customHeight="1">
      <c r="A19" s="324">
        <v>4</v>
      </c>
      <c r="B19" s="325"/>
      <c r="C19" s="326"/>
      <c r="D19" s="327"/>
      <c r="E19" s="328">
        <f>D19*C19*16.76</f>
        <v>0</v>
      </c>
      <c r="F19" s="333">
        <f t="shared" ref="F19" si="2">12*D19*23%</f>
        <v>0</v>
      </c>
      <c r="G19" s="334">
        <f t="shared" si="1"/>
        <v>0</v>
      </c>
    </row>
    <row r="20" spans="1:9" ht="36.75" customHeight="1" thickBot="1">
      <c r="A20" s="646" t="s">
        <v>193</v>
      </c>
      <c r="B20" s="647"/>
      <c r="C20" s="111">
        <f>SUM(C16:C19)</f>
        <v>35</v>
      </c>
      <c r="D20" s="112" t="s">
        <v>27</v>
      </c>
      <c r="E20" s="115">
        <f>SUM(E16:E19)</f>
        <v>71565.200000000012</v>
      </c>
      <c r="F20" s="112">
        <f>SUM(F16:F19)</f>
        <v>1490.4</v>
      </c>
      <c r="G20" s="112">
        <f>SUM(G16:G19)</f>
        <v>1080</v>
      </c>
      <c r="I20">
        <f>E20/C20</f>
        <v>2044.7200000000003</v>
      </c>
    </row>
    <row r="21" spans="1:9" ht="22.5" customHeight="1">
      <c r="A21" s="645"/>
      <c r="B21" s="645"/>
      <c r="C21" s="645"/>
      <c r="D21" s="645"/>
      <c r="E21" s="645"/>
      <c r="F21" s="645"/>
      <c r="G21" s="645"/>
    </row>
    <row r="22" spans="1:9" ht="12" customHeight="1">
      <c r="A22" s="1"/>
      <c r="B22" s="1"/>
      <c r="C22" s="1"/>
      <c r="D22" s="1"/>
      <c r="E22" s="1"/>
    </row>
    <row r="23" spans="1:9" ht="15.75">
      <c r="A23" s="641" t="s">
        <v>194</v>
      </c>
      <c r="B23" s="642"/>
      <c r="C23" s="642"/>
      <c r="D23" s="642"/>
      <c r="E23" s="642"/>
      <c r="F23" s="642"/>
      <c r="G23" s="642"/>
    </row>
    <row r="24" spans="1:9" ht="11.25" customHeight="1" thickBot="1">
      <c r="A24" s="47"/>
      <c r="B24" s="1"/>
      <c r="C24" s="1"/>
      <c r="D24" s="1"/>
      <c r="E24" s="1"/>
    </row>
    <row r="25" spans="1:9" ht="16.5" thickBot="1">
      <c r="A25" s="87" t="s">
        <v>5</v>
      </c>
      <c r="B25" s="86" t="s">
        <v>6</v>
      </c>
      <c r="C25" s="86" t="s">
        <v>183</v>
      </c>
      <c r="D25" s="173" t="s">
        <v>195</v>
      </c>
      <c r="E25" s="88" t="s">
        <v>196</v>
      </c>
      <c r="F25" s="172" t="s">
        <v>186</v>
      </c>
      <c r="G25" s="88" t="s">
        <v>187</v>
      </c>
    </row>
    <row r="26" spans="1:9" ht="33.75" customHeight="1" thickBot="1">
      <c r="A26" s="320">
        <v>1</v>
      </c>
      <c r="B26" s="329" t="s">
        <v>278</v>
      </c>
      <c r="C26" s="321">
        <v>1</v>
      </c>
      <c r="D26" s="322">
        <v>180</v>
      </c>
      <c r="E26" s="323">
        <f>D26*C26*16.76</f>
        <v>3016.8</v>
      </c>
      <c r="F26" s="331">
        <f>12*D26*23%</f>
        <v>496.8</v>
      </c>
      <c r="G26" s="332">
        <f>2*D26</f>
        <v>360</v>
      </c>
    </row>
    <row r="27" spans="1:9" ht="33.75" customHeight="1">
      <c r="A27" s="320">
        <v>1</v>
      </c>
      <c r="B27" s="329" t="s">
        <v>197</v>
      </c>
      <c r="C27" s="321">
        <v>4</v>
      </c>
      <c r="D27" s="322">
        <v>120</v>
      </c>
      <c r="E27" s="323">
        <f>D27*C27*16.76</f>
        <v>8044.8000000000011</v>
      </c>
      <c r="F27" s="331">
        <f>12*D27*23%</f>
        <v>331.2</v>
      </c>
      <c r="G27" s="332">
        <f>2*D27</f>
        <v>240</v>
      </c>
    </row>
    <row r="28" spans="1:9" ht="18">
      <c r="A28" s="324">
        <v>2</v>
      </c>
      <c r="B28" s="325" t="s">
        <v>276</v>
      </c>
      <c r="C28" s="326">
        <v>3</v>
      </c>
      <c r="D28" s="327">
        <v>110</v>
      </c>
      <c r="E28" s="328">
        <f>D28*C28*16.76</f>
        <v>5530.8</v>
      </c>
      <c r="F28" s="333">
        <f>12*D28*23%</f>
        <v>303.60000000000002</v>
      </c>
      <c r="G28" s="334">
        <f t="shared" ref="G28:G29" si="3">2*D28</f>
        <v>220</v>
      </c>
    </row>
    <row r="29" spans="1:9" ht="18">
      <c r="A29" s="324">
        <v>4</v>
      </c>
      <c r="B29" s="325"/>
      <c r="C29" s="326"/>
      <c r="D29" s="327"/>
      <c r="E29" s="328">
        <f t="shared" ref="E29" si="4">D29*C29*16.76</f>
        <v>0</v>
      </c>
      <c r="F29" s="333">
        <f>12*D29*23%</f>
        <v>0</v>
      </c>
      <c r="G29" s="334">
        <f t="shared" si="3"/>
        <v>0</v>
      </c>
    </row>
    <row r="30" spans="1:9" ht="40.5" customHeight="1" thickBot="1">
      <c r="A30" s="638" t="s">
        <v>198</v>
      </c>
      <c r="B30" s="639"/>
      <c r="C30" s="111">
        <f>SUM(C26:C29)</f>
        <v>8</v>
      </c>
      <c r="D30" s="112" t="s">
        <v>27</v>
      </c>
      <c r="E30" s="113">
        <f>SUM(E26:E29)</f>
        <v>16592.400000000001</v>
      </c>
      <c r="F30" s="112">
        <f>SUM(F26:F29)</f>
        <v>1131.5999999999999</v>
      </c>
      <c r="G30" s="114">
        <f>SUM(G26:G29)</f>
        <v>820</v>
      </c>
      <c r="I30">
        <f>E30/C30</f>
        <v>2074.0500000000002</v>
      </c>
    </row>
  </sheetData>
  <mergeCells count="12">
    <mergeCell ref="A3:G3"/>
    <mergeCell ref="A21:G21"/>
    <mergeCell ref="A20:B20"/>
    <mergeCell ref="C1:E1"/>
    <mergeCell ref="A9:G9"/>
    <mergeCell ref="A30:B30"/>
    <mergeCell ref="A6:C6"/>
    <mergeCell ref="A4:E4"/>
    <mergeCell ref="A13:G13"/>
    <mergeCell ref="A23:G23"/>
    <mergeCell ref="A7:G7"/>
    <mergeCell ref="A5:G5"/>
  </mergeCells>
  <printOptions horizontalCentered="1"/>
  <pageMargins left="0.70866141732283472" right="0.70866141732283472" top="0.74803149606299213" bottom="0.74803149606299213" header="0.9055118110236221" footer="0.70866141732283472"/>
  <pageSetup paperSize="9" scale="62"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6"/>
  <sheetViews>
    <sheetView rightToLeft="1" view="pageBreakPreview" topLeftCell="A4" zoomScale="112" zoomScaleNormal="100" zoomScaleSheetLayoutView="112" workbookViewId="0">
      <selection activeCell="D11" sqref="D11"/>
    </sheetView>
  </sheetViews>
  <sheetFormatPr defaultColWidth="21" defaultRowHeight="15"/>
  <cols>
    <col min="1" max="1" width="6.28515625" customWidth="1"/>
    <col min="2" max="2" width="15.28515625" customWidth="1"/>
    <col min="3" max="3" width="14.5703125" customWidth="1"/>
    <col min="4" max="4" width="9.85546875" customWidth="1"/>
    <col min="5" max="5" width="10.42578125" customWidth="1"/>
    <col min="6" max="6" width="11.7109375" customWidth="1"/>
    <col min="7" max="7" width="13" hidden="1" customWidth="1"/>
    <col min="8" max="8" width="14.140625" customWidth="1"/>
  </cols>
  <sheetData>
    <row r="1" spans="1:8" ht="21.75" customHeight="1">
      <c r="C1" s="652" t="str">
        <f>حقوق!C1</f>
        <v xml:space="preserve">مطالعات بازار،فنی،مالی و اقتصادی طرح توجیهی
</v>
      </c>
      <c r="D1" s="652"/>
      <c r="E1" s="652"/>
      <c r="F1" s="652"/>
      <c r="G1" s="652"/>
      <c r="H1" s="652"/>
    </row>
    <row r="2" spans="1:8" ht="21" customHeight="1">
      <c r="C2" s="652" t="str">
        <f>حقوق!C2</f>
        <v>طراحی و تولید دستگاه اندازه گیری سطح مخازن سوخت -شرکت برنا نیروی زاگرس</v>
      </c>
      <c r="D2" s="652"/>
      <c r="E2" s="652"/>
      <c r="F2" s="652"/>
      <c r="G2" s="652"/>
      <c r="H2" s="652"/>
    </row>
    <row r="3" spans="1:8" ht="24" customHeight="1">
      <c r="A3" s="651" t="s">
        <v>124</v>
      </c>
      <c r="B3" s="651"/>
      <c r="C3" s="651"/>
      <c r="D3" s="651"/>
      <c r="E3" s="651"/>
      <c r="F3" s="651"/>
      <c r="G3" s="651"/>
      <c r="H3" s="651"/>
    </row>
    <row r="4" spans="1:8" s="50" customFormat="1" ht="16.5" thickBot="1">
      <c r="A4" s="51"/>
    </row>
    <row r="5" spans="1:8" s="52" customFormat="1" ht="32.25" thickBot="1">
      <c r="A5" s="474" t="s">
        <v>5</v>
      </c>
      <c r="B5" s="475" t="s">
        <v>6</v>
      </c>
      <c r="C5" s="476" t="s">
        <v>199</v>
      </c>
      <c r="D5" s="477" t="s">
        <v>200</v>
      </c>
      <c r="E5" s="475" t="s">
        <v>201</v>
      </c>
      <c r="F5" s="475" t="s">
        <v>202</v>
      </c>
      <c r="G5" s="478" t="s">
        <v>203</v>
      </c>
      <c r="H5" s="479" t="s">
        <v>204</v>
      </c>
    </row>
    <row r="6" spans="1:8" s="52" customFormat="1" ht="18">
      <c r="A6" s="48">
        <v>1</v>
      </c>
      <c r="B6" s="472" t="s">
        <v>18</v>
      </c>
      <c r="C6" s="145">
        <f>'جمع سرمایه ثابت'!D8</f>
        <v>114514.4</v>
      </c>
      <c r="D6" s="145" t="s">
        <v>205</v>
      </c>
      <c r="E6" s="473">
        <v>1</v>
      </c>
      <c r="F6" s="473">
        <v>0</v>
      </c>
      <c r="G6" s="145">
        <f>C6*Table12[[#This Row],[نرخ اسقاط]]</f>
        <v>114514.4</v>
      </c>
      <c r="H6" s="146">
        <f>(C6-G6)*F6</f>
        <v>0</v>
      </c>
    </row>
    <row r="7" spans="1:8" s="52" customFormat="1" ht="18">
      <c r="A7" s="48">
        <v>2</v>
      </c>
      <c r="B7" s="459" t="s">
        <v>29</v>
      </c>
      <c r="C7" s="24">
        <f>'جمع سرمایه ثابت'!D9</f>
        <v>13740.075199999999</v>
      </c>
      <c r="D7" s="24" t="s">
        <v>205</v>
      </c>
      <c r="E7" s="170">
        <v>0.1</v>
      </c>
      <c r="F7" s="170">
        <v>7.0000000000000007E-2</v>
      </c>
      <c r="G7" s="24">
        <f>C7*Table12[[#This Row],[نرخ اسقاط]]</f>
        <v>1374.0075200000001</v>
      </c>
      <c r="H7" s="60">
        <f t="shared" ref="H7:H14" si="0">(C7-G7)*F7</f>
        <v>865.62473760000012</v>
      </c>
    </row>
    <row r="8" spans="1:8" s="52" customFormat="1" ht="18">
      <c r="A8" s="48">
        <v>3</v>
      </c>
      <c r="B8" s="459" t="s">
        <v>45</v>
      </c>
      <c r="C8" s="24">
        <f>'جمع سرمایه ثابت'!D10</f>
        <v>415860</v>
      </c>
      <c r="D8" s="24" t="s">
        <v>205</v>
      </c>
      <c r="E8" s="170">
        <v>0.1</v>
      </c>
      <c r="F8" s="170">
        <v>7.0000000000000007E-2</v>
      </c>
      <c r="G8" s="24">
        <f>C8*Table12[[#This Row],[نرخ اسقاط]]</f>
        <v>41586</v>
      </c>
      <c r="H8" s="60">
        <f t="shared" si="0"/>
        <v>26199.180000000004</v>
      </c>
    </row>
    <row r="9" spans="1:8" s="52" customFormat="1" ht="18">
      <c r="A9" s="48">
        <v>4</v>
      </c>
      <c r="B9" s="460" t="s">
        <v>65</v>
      </c>
      <c r="C9" s="24">
        <f>'جمع سرمایه ثابت'!D11</f>
        <v>1267081.5</v>
      </c>
      <c r="D9" s="24" t="s">
        <v>205</v>
      </c>
      <c r="E9" s="170">
        <v>0.1</v>
      </c>
      <c r="F9" s="170">
        <v>0.1</v>
      </c>
      <c r="G9" s="24">
        <f>C9*Table12[[#This Row],[نرخ اسقاط]]</f>
        <v>126708.15000000001</v>
      </c>
      <c r="H9" s="60">
        <f t="shared" si="0"/>
        <v>114037.33500000002</v>
      </c>
    </row>
    <row r="10" spans="1:8" s="52" customFormat="1" ht="18">
      <c r="A10" s="48">
        <v>5</v>
      </c>
      <c r="B10" s="459" t="s">
        <v>51</v>
      </c>
      <c r="C10" s="24">
        <f>'جمع سرمایه ثابت'!D12</f>
        <v>29510</v>
      </c>
      <c r="D10" s="24" t="s">
        <v>205</v>
      </c>
      <c r="E10" s="170">
        <v>0.1</v>
      </c>
      <c r="F10" s="170">
        <v>0.1</v>
      </c>
      <c r="G10" s="24">
        <f>C10*Table12[[#This Row],[نرخ اسقاط]]</f>
        <v>2951</v>
      </c>
      <c r="H10" s="60">
        <f t="shared" si="0"/>
        <v>2655.9</v>
      </c>
    </row>
    <row r="11" spans="1:8" s="52" customFormat="1" ht="18">
      <c r="A11" s="48">
        <v>6</v>
      </c>
      <c r="B11" s="459" t="s">
        <v>77</v>
      </c>
      <c r="C11" s="24">
        <f>'جمع سرمایه ثابت'!D13</f>
        <v>0</v>
      </c>
      <c r="D11" s="24" t="s">
        <v>205</v>
      </c>
      <c r="E11" s="170">
        <v>0.1</v>
      </c>
      <c r="F11" s="170">
        <v>0.2</v>
      </c>
      <c r="G11" s="24">
        <f>C11*Table12[[#This Row],[نرخ اسقاط]]</f>
        <v>0</v>
      </c>
      <c r="H11" s="60">
        <f t="shared" si="0"/>
        <v>0</v>
      </c>
    </row>
    <row r="12" spans="1:8" s="52" customFormat="1" ht="18">
      <c r="A12" s="48">
        <v>7</v>
      </c>
      <c r="B12" s="459" t="s">
        <v>93</v>
      </c>
      <c r="C12" s="24">
        <f>'جمع سرمایه ثابت'!D14</f>
        <v>8926.4</v>
      </c>
      <c r="D12" s="24" t="s">
        <v>205</v>
      </c>
      <c r="E12" s="170">
        <v>0.1</v>
      </c>
      <c r="F12" s="170">
        <v>0.25</v>
      </c>
      <c r="G12" s="24">
        <f>C12*Table12[[#This Row],[نرخ اسقاط]]</f>
        <v>892.64</v>
      </c>
      <c r="H12" s="60">
        <f t="shared" si="0"/>
        <v>2008.4399999999998</v>
      </c>
    </row>
    <row r="13" spans="1:8" s="52" customFormat="1" ht="18">
      <c r="A13" s="48">
        <v>8</v>
      </c>
      <c r="B13" s="459" t="s">
        <v>94</v>
      </c>
      <c r="C13" s="24">
        <f>'جمع سرمایه ثابت'!D15</f>
        <v>0</v>
      </c>
      <c r="D13" s="24" t="s">
        <v>205</v>
      </c>
      <c r="E13" s="170">
        <v>0.1</v>
      </c>
      <c r="F13" s="170">
        <v>0.2</v>
      </c>
      <c r="G13" s="24">
        <f>C13*Table12[[#This Row],[نرخ اسقاط]]</f>
        <v>0</v>
      </c>
      <c r="H13" s="60">
        <f t="shared" si="0"/>
        <v>0</v>
      </c>
    </row>
    <row r="14" spans="1:8" s="52" customFormat="1" ht="30.75" thickBot="1">
      <c r="A14" s="48">
        <v>9</v>
      </c>
      <c r="B14" s="461" t="s">
        <v>95</v>
      </c>
      <c r="C14" s="462">
        <f>'جمع سرمایه ثابت'!D16</f>
        <v>6810</v>
      </c>
      <c r="D14" s="462" t="s">
        <v>205</v>
      </c>
      <c r="E14" s="463">
        <v>0</v>
      </c>
      <c r="F14" s="463">
        <v>0.1</v>
      </c>
      <c r="G14" s="462">
        <f>C14*Table12[[#This Row],[نرخ اسقاط]]</f>
        <v>0</v>
      </c>
      <c r="H14" s="464">
        <f t="shared" si="0"/>
        <v>681</v>
      </c>
    </row>
    <row r="15" spans="1:8" s="52" customFormat="1" ht="18.75" thickBot="1">
      <c r="A15" s="465" t="s">
        <v>26</v>
      </c>
      <c r="B15" s="466"/>
      <c r="C15" s="467">
        <f>SUM(C6:C14)</f>
        <v>1856442.3751999999</v>
      </c>
      <c r="D15" s="468"/>
      <c r="E15" s="469" t="s">
        <v>27</v>
      </c>
      <c r="F15" s="470"/>
      <c r="G15" s="470"/>
      <c r="H15" s="471">
        <f>SUM(H6:H14)</f>
        <v>146447.47973760002</v>
      </c>
    </row>
    <row r="16" spans="1:8" s="53" customFormat="1" ht="18.75"/>
  </sheetData>
  <mergeCells count="3">
    <mergeCell ref="A3:H3"/>
    <mergeCell ref="C1:H1"/>
    <mergeCell ref="C2:H2"/>
  </mergeCells>
  <printOptions horizontalCentered="1"/>
  <pageMargins left="0.70866141732283472" right="0.70866141732283472" top="0.74803149606299213" bottom="0.74803149606299213" header="0.9055118110236221" footer="0.70866141732283472"/>
  <pageSetup paperSize="9" scale="91"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1"/>
  <sheetViews>
    <sheetView rightToLeft="1" view="pageBreakPreview" zoomScale="80" zoomScaleNormal="100" zoomScaleSheetLayoutView="80" workbookViewId="0">
      <selection activeCell="M12" sqref="M12"/>
    </sheetView>
  </sheetViews>
  <sheetFormatPr defaultRowHeight="15"/>
  <cols>
    <col min="1" max="1" width="6.42578125" customWidth="1"/>
    <col min="2" max="2" width="29.42578125" customWidth="1"/>
    <col min="3" max="3" width="20.5703125" customWidth="1"/>
    <col min="4" max="4" width="14" customWidth="1"/>
    <col min="5" max="5" width="21.85546875" customWidth="1"/>
    <col min="6" max="6" width="9.28515625" customWidth="1"/>
  </cols>
  <sheetData>
    <row r="1" spans="1:5" ht="23.25" customHeight="1">
      <c r="C1" s="498" t="str">
        <f>زمین!D1</f>
        <v xml:space="preserve">مطالعات بازار،فنی،مالی و اقتصادی طرح توجیهی
</v>
      </c>
      <c r="D1" s="498"/>
      <c r="E1" s="498"/>
    </row>
    <row r="2" spans="1:5" ht="25.5" customHeight="1" thickBot="1">
      <c r="C2" s="66" t="str">
        <f>زمین!D2</f>
        <v>طراحی و تولید دستگاه اندازه گیری سطح مخازن سوخت -شرکت برنا نیروی زاگرس</v>
      </c>
      <c r="D2" s="66"/>
    </row>
    <row r="3" spans="1:5" ht="24" thickBot="1">
      <c r="A3" s="658" t="s">
        <v>206</v>
      </c>
      <c r="B3" s="659"/>
      <c r="C3" s="659"/>
      <c r="D3" s="659"/>
      <c r="E3" s="660"/>
    </row>
    <row r="4" spans="1:5" ht="19.5" customHeight="1" thickBot="1">
      <c r="A4" s="653" t="s">
        <v>207</v>
      </c>
      <c r="B4" s="654"/>
      <c r="C4" s="654"/>
      <c r="D4" s="654"/>
      <c r="E4" s="655"/>
    </row>
    <row r="5" spans="1:5">
      <c r="A5" s="19"/>
      <c r="B5" s="19"/>
      <c r="C5" s="19"/>
      <c r="D5" s="19"/>
      <c r="E5" s="19"/>
    </row>
    <row r="6" spans="1:5" ht="15.75">
      <c r="A6" s="68" t="s">
        <v>5</v>
      </c>
      <c r="B6" s="74" t="s">
        <v>6</v>
      </c>
      <c r="C6" s="74" t="s">
        <v>208</v>
      </c>
      <c r="D6" s="74" t="s">
        <v>209</v>
      </c>
      <c r="E6" s="68" t="s">
        <v>154</v>
      </c>
    </row>
    <row r="7" spans="1:5" ht="15.75">
      <c r="A7" s="48">
        <v>1</v>
      </c>
      <c r="B7" s="73" t="s">
        <v>29</v>
      </c>
      <c r="C7" s="72">
        <f>'جمع سرمایه ثابت'!D9</f>
        <v>13740.075199999999</v>
      </c>
      <c r="D7" s="70">
        <v>0.02</v>
      </c>
      <c r="E7" s="49">
        <f>C7*D7</f>
        <v>274.80150399999997</v>
      </c>
    </row>
    <row r="8" spans="1:5" ht="15.75">
      <c r="A8" s="48">
        <v>2</v>
      </c>
      <c r="B8" s="73" t="s">
        <v>45</v>
      </c>
      <c r="C8" s="72">
        <f>'جمع سرمایه ثابت'!D10</f>
        <v>415860</v>
      </c>
      <c r="D8" s="70">
        <v>0.02</v>
      </c>
      <c r="E8" s="49">
        <f>C8*D8</f>
        <v>8317.2000000000007</v>
      </c>
    </row>
    <row r="9" spans="1:5" ht="15.75">
      <c r="A9" s="48">
        <v>3</v>
      </c>
      <c r="B9" s="73" t="s">
        <v>65</v>
      </c>
      <c r="C9" s="72">
        <f>'جمع سرمایه ثابت'!D11</f>
        <v>1267081.5</v>
      </c>
      <c r="D9" s="70">
        <v>0.04</v>
      </c>
      <c r="E9" s="49">
        <f>C9*D9</f>
        <v>50683.26</v>
      </c>
    </row>
    <row r="10" spans="1:5" ht="15.75">
      <c r="A10" s="48">
        <v>4</v>
      </c>
      <c r="B10" s="73" t="s">
        <v>51</v>
      </c>
      <c r="C10" s="72">
        <f>'جمع سرمایه ثابت'!D12</f>
        <v>29510</v>
      </c>
      <c r="D10" s="70">
        <v>0.1</v>
      </c>
      <c r="E10" s="49">
        <f>C10*D10</f>
        <v>2951</v>
      </c>
    </row>
    <row r="11" spans="1:5" ht="37.5" customHeight="1" thickBot="1">
      <c r="A11" s="656" t="s">
        <v>26</v>
      </c>
      <c r="B11" s="657"/>
      <c r="C11" s="67">
        <f>SUM(C7:C10)</f>
        <v>1726191.5752000001</v>
      </c>
      <c r="D11" s="71" t="s">
        <v>27</v>
      </c>
      <c r="E11" s="69">
        <f>SUM(E7:E10)</f>
        <v>62226.261504000002</v>
      </c>
    </row>
  </sheetData>
  <mergeCells count="4">
    <mergeCell ref="A4:E4"/>
    <mergeCell ref="A11:B11"/>
    <mergeCell ref="A3:E3"/>
    <mergeCell ref="C1:E1"/>
  </mergeCells>
  <printOptions horizontalCentered="1"/>
  <pageMargins left="0.25" right="0.25" top="0.75" bottom="0.75" header="0.3" footer="0.3"/>
  <pageSetup paperSize="9" scale="88" orientation="portrait"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K75"/>
  <sheetViews>
    <sheetView rightToLeft="1" tabSelected="1" view="pageBreakPreview" topLeftCell="A2" zoomScale="90" zoomScaleNormal="100" zoomScaleSheetLayoutView="90" workbookViewId="0">
      <selection activeCell="D21" sqref="D21"/>
    </sheetView>
  </sheetViews>
  <sheetFormatPr defaultColWidth="15.42578125" defaultRowHeight="15.75"/>
  <cols>
    <col min="1" max="1" width="3.5703125" style="4" customWidth="1"/>
    <col min="2" max="2" width="16.140625" style="4" customWidth="1"/>
    <col min="3" max="3" width="32.85546875" style="4" customWidth="1"/>
    <col min="4" max="10" width="15.42578125" style="4"/>
    <col min="11" max="11" width="16.5703125" style="4" bestFit="1" customWidth="1"/>
    <col min="12" max="16384" width="15.42578125" style="4"/>
  </cols>
  <sheetData>
    <row r="1" spans="2:11" ht="31.5" customHeight="1">
      <c r="D1" s="674" t="str">
        <f>زمین!D1</f>
        <v xml:space="preserve">مطالعات بازار،فنی،مالی و اقتصادی طرح توجیهی
</v>
      </c>
      <c r="E1" s="674"/>
      <c r="F1" s="674"/>
      <c r="G1" s="66"/>
    </row>
    <row r="2" spans="2:11" ht="44.25" customHeight="1">
      <c r="D2" s="220" t="str">
        <f>زمین!D2</f>
        <v>طراحی و تولید دستگاه اندازه گیری سطح مخازن سوخت -شرکت برنا نیروی زاگرس</v>
      </c>
      <c r="E2" s="220"/>
      <c r="F2" s="220"/>
    </row>
    <row r="3" spans="2:11" ht="23.25">
      <c r="B3" s="685" t="s">
        <v>210</v>
      </c>
      <c r="C3" s="685"/>
      <c r="D3" s="685"/>
      <c r="E3" s="685"/>
      <c r="F3" s="685"/>
      <c r="G3" s="685"/>
      <c r="H3" s="685"/>
    </row>
    <row r="4" spans="2:11" ht="16.5" thickBot="1">
      <c r="B4" s="23"/>
      <c r="C4" s="23"/>
      <c r="D4" s="23"/>
      <c r="E4" s="23"/>
      <c r="F4" s="23"/>
      <c r="G4" s="1"/>
      <c r="H4" s="1"/>
    </row>
    <row r="5" spans="2:11" ht="26.25" customHeight="1" thickBot="1">
      <c r="B5" s="686" t="s">
        <v>211</v>
      </c>
      <c r="C5" s="687"/>
      <c r="D5" s="687"/>
      <c r="E5" s="687"/>
      <c r="F5" s="687"/>
      <c r="G5" s="687"/>
      <c r="H5" s="687"/>
    </row>
    <row r="6" spans="2:11" ht="26.25" customHeight="1">
      <c r="B6" s="690" t="s">
        <v>212</v>
      </c>
      <c r="C6" s="132" t="s">
        <v>213</v>
      </c>
      <c r="D6" s="133">
        <v>0.6</v>
      </c>
      <c r="E6" s="133">
        <v>0.7</v>
      </c>
      <c r="F6" s="133">
        <v>0.8</v>
      </c>
      <c r="G6" s="133">
        <v>0.9</v>
      </c>
      <c r="H6" s="133">
        <v>1</v>
      </c>
      <c r="K6" s="149"/>
    </row>
    <row r="7" spans="2:11" ht="26.25" customHeight="1" thickBot="1">
      <c r="B7" s="691"/>
      <c r="C7" s="134" t="s">
        <v>214</v>
      </c>
      <c r="D7" s="135" t="s">
        <v>215</v>
      </c>
      <c r="E7" s="135" t="s">
        <v>216</v>
      </c>
      <c r="F7" s="135" t="s">
        <v>217</v>
      </c>
      <c r="G7" s="135" t="s">
        <v>218</v>
      </c>
      <c r="H7" s="135" t="s">
        <v>219</v>
      </c>
    </row>
    <row r="8" spans="2:11" ht="29.25" customHeight="1">
      <c r="B8" s="404">
        <v>30000</v>
      </c>
      <c r="C8" s="105" t="s">
        <v>274</v>
      </c>
      <c r="D8" s="58">
        <f>B8*$D$6</f>
        <v>18000</v>
      </c>
      <c r="E8" s="58">
        <f>B8*$E$6</f>
        <v>21000</v>
      </c>
      <c r="F8" s="58">
        <f>B8*$F$6</f>
        <v>24000</v>
      </c>
      <c r="G8" s="58">
        <f>B8*$G$6</f>
        <v>27000</v>
      </c>
      <c r="H8" s="59">
        <f>B8*$H$6</f>
        <v>30000</v>
      </c>
    </row>
    <row r="9" spans="2:11" ht="29.25" customHeight="1">
      <c r="B9" s="405">
        <v>30000</v>
      </c>
      <c r="C9" s="177" t="s">
        <v>275</v>
      </c>
      <c r="D9" s="24">
        <f>B9*$D$6</f>
        <v>18000</v>
      </c>
      <c r="E9" s="24">
        <f t="shared" ref="E9:E14" si="0">B9*$E$6</f>
        <v>21000</v>
      </c>
      <c r="F9" s="24">
        <f t="shared" ref="F9:F14" si="1">B9*$F$6</f>
        <v>24000</v>
      </c>
      <c r="G9" s="24">
        <f t="shared" ref="G9:G14" si="2">B9*$G$6</f>
        <v>27000</v>
      </c>
      <c r="H9" s="60">
        <f t="shared" ref="H9:H14" si="3">B9*$H$6</f>
        <v>30000</v>
      </c>
    </row>
    <row r="10" spans="2:11" ht="29.25" hidden="1" customHeight="1">
      <c r="B10" s="110"/>
      <c r="C10" s="177"/>
      <c r="D10" s="24">
        <f>B10*$D$6</f>
        <v>0</v>
      </c>
      <c r="E10" s="24">
        <f t="shared" si="0"/>
        <v>0</v>
      </c>
      <c r="F10" s="24">
        <f t="shared" si="1"/>
        <v>0</v>
      </c>
      <c r="G10" s="24">
        <f t="shared" si="2"/>
        <v>0</v>
      </c>
      <c r="H10" s="60">
        <f t="shared" si="3"/>
        <v>0</v>
      </c>
    </row>
    <row r="11" spans="2:11" ht="29.25" hidden="1" customHeight="1" thickBot="1">
      <c r="B11" s="116"/>
      <c r="C11" s="147"/>
      <c r="D11" s="109">
        <f t="shared" ref="D11:D13" si="4">B11*$D$6</f>
        <v>0</v>
      </c>
      <c r="E11" s="109">
        <f t="shared" si="0"/>
        <v>0</v>
      </c>
      <c r="F11" s="109">
        <f t="shared" si="1"/>
        <v>0</v>
      </c>
      <c r="G11" s="109">
        <f t="shared" si="2"/>
        <v>0</v>
      </c>
      <c r="H11" s="148">
        <f t="shared" si="3"/>
        <v>0</v>
      </c>
    </row>
    <row r="12" spans="2:11" hidden="1">
      <c r="B12" s="143"/>
      <c r="C12" s="144"/>
      <c r="D12" s="145">
        <f t="shared" si="4"/>
        <v>0</v>
      </c>
      <c r="E12" s="145">
        <f t="shared" si="0"/>
        <v>0</v>
      </c>
      <c r="F12" s="145">
        <f t="shared" si="1"/>
        <v>0</v>
      </c>
      <c r="G12" s="145">
        <f t="shared" si="2"/>
        <v>0</v>
      </c>
      <c r="H12" s="146">
        <f t="shared" si="3"/>
        <v>0</v>
      </c>
    </row>
    <row r="13" spans="2:11" hidden="1">
      <c r="B13" s="110"/>
      <c r="C13" s="106"/>
      <c r="D13" s="24">
        <f t="shared" si="4"/>
        <v>0</v>
      </c>
      <c r="E13" s="24">
        <f t="shared" si="0"/>
        <v>0</v>
      </c>
      <c r="F13" s="24">
        <f t="shared" si="1"/>
        <v>0</v>
      </c>
      <c r="G13" s="24">
        <f t="shared" si="2"/>
        <v>0</v>
      </c>
      <c r="H13" s="60">
        <f t="shared" si="3"/>
        <v>0</v>
      </c>
    </row>
    <row r="14" spans="2:11" hidden="1">
      <c r="B14" s="110"/>
      <c r="C14" s="136"/>
      <c r="D14" s="24">
        <f>B14*$D$6</f>
        <v>0</v>
      </c>
      <c r="E14" s="137">
        <f t="shared" si="0"/>
        <v>0</v>
      </c>
      <c r="F14" s="137">
        <f t="shared" si="1"/>
        <v>0</v>
      </c>
      <c r="G14" s="137">
        <f t="shared" si="2"/>
        <v>0</v>
      </c>
      <c r="H14" s="138">
        <f t="shared" si="3"/>
        <v>0</v>
      </c>
    </row>
    <row r="15" spans="2:11" hidden="1">
      <c r="B15" s="139"/>
      <c r="C15" s="140"/>
      <c r="D15" s="24">
        <f>B15*$D$6</f>
        <v>0</v>
      </c>
      <c r="E15" s="137">
        <f t="shared" ref="E15" si="5">B15*$E$6</f>
        <v>0</v>
      </c>
      <c r="F15" s="137">
        <f t="shared" ref="F15" si="6">B15*$F$6</f>
        <v>0</v>
      </c>
      <c r="G15" s="137">
        <f t="shared" ref="G15" si="7">B15*$G$6</f>
        <v>0</v>
      </c>
      <c r="H15" s="138">
        <f t="shared" ref="H15" si="8">B15*$H$6</f>
        <v>0</v>
      </c>
    </row>
    <row r="16" spans="2:11" ht="16.5" hidden="1" thickBot="1">
      <c r="B16" s="116"/>
      <c r="C16" s="61"/>
      <c r="D16" s="109">
        <f>B16*$D$6</f>
        <v>0</v>
      </c>
      <c r="E16" s="62">
        <f t="shared" ref="E16" si="9">B16*$E$6</f>
        <v>0</v>
      </c>
      <c r="F16" s="62">
        <f t="shared" ref="F16" si="10">B16*$F$6</f>
        <v>0</v>
      </c>
      <c r="G16" s="62">
        <f t="shared" ref="G16" si="11">B16*$G$6</f>
        <v>0</v>
      </c>
      <c r="H16" s="63">
        <f t="shared" ref="H16" si="12">B16*$H$6</f>
        <v>0</v>
      </c>
    </row>
    <row r="17" spans="2:8">
      <c r="B17" s="25"/>
      <c r="C17" s="57"/>
      <c r="D17" s="25"/>
      <c r="E17" s="25"/>
      <c r="F17" s="25"/>
      <c r="G17" s="25"/>
      <c r="H17" s="25"/>
    </row>
    <row r="18" spans="2:8" ht="26.25" customHeight="1" thickBot="1">
      <c r="B18" s="688" t="s">
        <v>220</v>
      </c>
      <c r="C18" s="689"/>
      <c r="D18" s="689"/>
      <c r="E18" s="689"/>
      <c r="F18" s="689"/>
      <c r="G18" s="689"/>
      <c r="H18" s="689"/>
    </row>
    <row r="19" spans="2:8" ht="26.25" customHeight="1" thickBot="1">
      <c r="B19" s="190" t="s">
        <v>221</v>
      </c>
      <c r="C19" s="131" t="s">
        <v>214</v>
      </c>
      <c r="D19" s="86" t="str">
        <f>D7</f>
        <v>سال1</v>
      </c>
      <c r="E19" s="86" t="str">
        <f>E7</f>
        <v>سال2</v>
      </c>
      <c r="F19" s="86" t="str">
        <f>F7</f>
        <v>سال3</v>
      </c>
      <c r="G19" s="86" t="str">
        <f>G7</f>
        <v>سال4</v>
      </c>
      <c r="H19" s="86" t="str">
        <f>H7</f>
        <v>سال5</v>
      </c>
    </row>
    <row r="20" spans="2:8" ht="27.75" customHeight="1">
      <c r="B20" s="198"/>
      <c r="C20" s="107" t="str">
        <f t="shared" ref="C20:C23" si="13">C8</f>
        <v>شیشه لایه دار تخت ساختمانی</v>
      </c>
      <c r="D20" s="117">
        <v>440000000</v>
      </c>
      <c r="E20" s="117">
        <f>D20</f>
        <v>440000000</v>
      </c>
      <c r="F20" s="117">
        <f>E20</f>
        <v>440000000</v>
      </c>
      <c r="G20" s="117">
        <f>F20</f>
        <v>440000000</v>
      </c>
      <c r="H20" s="118">
        <f t="shared" ref="H20" si="14">G20</f>
        <v>440000000</v>
      </c>
    </row>
    <row r="21" spans="2:8" ht="27.75" customHeight="1">
      <c r="B21" s="123"/>
      <c r="C21" s="408" t="str">
        <f t="shared" si="13"/>
        <v>شیشه نشکن ساختمانی</v>
      </c>
      <c r="D21" s="121">
        <v>225000000</v>
      </c>
      <c r="E21" s="121">
        <f t="shared" ref="E21:H25" si="15">D21</f>
        <v>225000000</v>
      </c>
      <c r="F21" s="121">
        <f t="shared" si="15"/>
        <v>225000000</v>
      </c>
      <c r="G21" s="121">
        <f t="shared" si="15"/>
        <v>225000000</v>
      </c>
      <c r="H21" s="124">
        <f t="shared" si="15"/>
        <v>225000000</v>
      </c>
    </row>
    <row r="22" spans="2:8" ht="27.75" hidden="1" customHeight="1">
      <c r="B22" s="123"/>
      <c r="C22" s="120">
        <f>C10</f>
        <v>0</v>
      </c>
      <c r="D22" s="406">
        <v>0</v>
      </c>
      <c r="E22" s="121">
        <f t="shared" ref="E22" si="16">D22</f>
        <v>0</v>
      </c>
      <c r="F22" s="121">
        <f t="shared" ref="F22" si="17">E22</f>
        <v>0</v>
      </c>
      <c r="G22" s="121">
        <f t="shared" ref="G22" si="18">F22</f>
        <v>0</v>
      </c>
      <c r="H22" s="124">
        <f t="shared" ref="H22" si="19">G22</f>
        <v>0</v>
      </c>
    </row>
    <row r="23" spans="2:8" ht="16.5" hidden="1" thickBot="1">
      <c r="B23" s="125"/>
      <c r="C23" s="157">
        <f t="shared" si="13"/>
        <v>0</v>
      </c>
      <c r="D23" s="407">
        <v>0</v>
      </c>
      <c r="E23" s="158">
        <f t="shared" ref="E23" si="20">D23</f>
        <v>0</v>
      </c>
      <c r="F23" s="158">
        <f t="shared" ref="F23" si="21">E23</f>
        <v>0</v>
      </c>
      <c r="G23" s="158">
        <f t="shared" ref="G23" si="22">F23</f>
        <v>0</v>
      </c>
      <c r="H23" s="159">
        <f t="shared" ref="H23" si="23">G23</f>
        <v>0</v>
      </c>
    </row>
    <row r="24" spans="2:8" hidden="1">
      <c r="B24" s="154"/>
      <c r="C24" s="155"/>
      <c r="D24" s="156"/>
      <c r="E24" s="203">
        <f t="shared" ref="E24:E28" si="24">D24</f>
        <v>0</v>
      </c>
      <c r="F24" s="203">
        <f t="shared" si="15"/>
        <v>0</v>
      </c>
      <c r="G24" s="203">
        <f t="shared" si="15"/>
        <v>0</v>
      </c>
      <c r="H24" s="204">
        <f t="shared" si="15"/>
        <v>0</v>
      </c>
    </row>
    <row r="25" spans="2:8" hidden="1">
      <c r="B25" s="123"/>
      <c r="C25" s="120"/>
      <c r="D25" s="108"/>
      <c r="E25" s="122">
        <f t="shared" si="24"/>
        <v>0</v>
      </c>
      <c r="F25" s="122">
        <f t="shared" si="15"/>
        <v>0</v>
      </c>
      <c r="G25" s="122">
        <f t="shared" si="15"/>
        <v>0</v>
      </c>
      <c r="H25" s="119">
        <f t="shared" si="15"/>
        <v>0</v>
      </c>
    </row>
    <row r="26" spans="2:8" ht="16.5" hidden="1" thickBot="1">
      <c r="B26" s="125"/>
      <c r="C26" s="126"/>
      <c r="D26" s="127"/>
      <c r="E26" s="128">
        <f t="shared" si="24"/>
        <v>0</v>
      </c>
      <c r="F26" s="128">
        <f t="shared" ref="F26" si="25">E26</f>
        <v>0</v>
      </c>
      <c r="G26" s="128">
        <f t="shared" ref="G26" si="26">F26</f>
        <v>0</v>
      </c>
      <c r="H26" s="129">
        <f t="shared" ref="H26" si="27">G26</f>
        <v>0</v>
      </c>
    </row>
    <row r="27" spans="2:8" ht="16.5" hidden="1" thickBot="1">
      <c r="B27" s="125"/>
      <c r="C27" s="126"/>
      <c r="D27" s="127"/>
      <c r="E27" s="128">
        <f t="shared" ref="E27" si="28">D27</f>
        <v>0</v>
      </c>
      <c r="F27" s="128">
        <f t="shared" ref="F27" si="29">E27</f>
        <v>0</v>
      </c>
      <c r="G27" s="128">
        <f t="shared" ref="G27" si="30">F27</f>
        <v>0</v>
      </c>
      <c r="H27" s="129">
        <f t="shared" ref="H27" si="31">G27</f>
        <v>0</v>
      </c>
    </row>
    <row r="28" spans="2:8" ht="16.5" hidden="1" thickBot="1">
      <c r="B28" s="64"/>
      <c r="C28" s="126"/>
      <c r="D28" s="127"/>
      <c r="E28" s="128">
        <f t="shared" si="24"/>
        <v>0</v>
      </c>
      <c r="F28" s="128">
        <f t="shared" ref="F28" si="32">E28</f>
        <v>0</v>
      </c>
      <c r="G28" s="128">
        <f t="shared" ref="G28" si="33">F28</f>
        <v>0</v>
      </c>
      <c r="H28" s="129">
        <f t="shared" ref="H28" si="34">G28</f>
        <v>0</v>
      </c>
    </row>
    <row r="29" spans="2:8" ht="16.5" thickBot="1">
      <c r="B29" s="25"/>
      <c r="C29" s="25"/>
      <c r="D29" s="25"/>
      <c r="E29" s="25"/>
      <c r="F29" s="25"/>
      <c r="G29" s="26"/>
      <c r="H29" s="25"/>
    </row>
    <row r="30" spans="2:8" ht="26.25" customHeight="1" thickBot="1">
      <c r="B30" s="694" t="s">
        <v>222</v>
      </c>
      <c r="C30" s="695"/>
      <c r="D30" s="695"/>
      <c r="E30" s="695"/>
      <c r="F30" s="695"/>
      <c r="G30" s="695"/>
      <c r="H30" s="695"/>
    </row>
    <row r="31" spans="2:8" ht="26.25" customHeight="1" thickBot="1">
      <c r="B31" s="692" t="s">
        <v>214</v>
      </c>
      <c r="C31" s="693"/>
      <c r="D31" s="31" t="str">
        <f>D19</f>
        <v>سال1</v>
      </c>
      <c r="E31" s="31" t="str">
        <f>E19</f>
        <v>سال2</v>
      </c>
      <c r="F31" s="31" t="str">
        <f>F19</f>
        <v>سال3</v>
      </c>
      <c r="G31" s="31" t="str">
        <f>G19</f>
        <v>سال4</v>
      </c>
      <c r="H31" s="31" t="str">
        <f>H19</f>
        <v>سال5</v>
      </c>
    </row>
    <row r="32" spans="2:8" ht="37.5" customHeight="1">
      <c r="B32" s="677" t="str">
        <f t="shared" ref="B32:B40" si="35">C20</f>
        <v>شیشه لایه دار تخت ساختمانی</v>
      </c>
      <c r="C32" s="678"/>
      <c r="D32" s="161">
        <f>D8*D20/1000000</f>
        <v>7920000</v>
      </c>
      <c r="E32" s="161">
        <f>E8*E20/1000000</f>
        <v>9240000</v>
      </c>
      <c r="F32" s="161">
        <f t="shared" ref="D32:H40" si="36">F8*F20/1000000</f>
        <v>10560000</v>
      </c>
      <c r="G32" s="161">
        <f t="shared" si="36"/>
        <v>11880000</v>
      </c>
      <c r="H32" s="162">
        <f>H8*H20/1000000</f>
        <v>13200000</v>
      </c>
    </row>
    <row r="33" spans="2:8" ht="37.5" customHeight="1" thickBot="1">
      <c r="B33" s="679" t="str">
        <f t="shared" si="35"/>
        <v>شیشه نشکن ساختمانی</v>
      </c>
      <c r="C33" s="680"/>
      <c r="D33" s="130">
        <f>D9*D21/1000000</f>
        <v>4050000</v>
      </c>
      <c r="E33" s="130">
        <f t="shared" si="36"/>
        <v>4725000</v>
      </c>
      <c r="F33" s="130">
        <f t="shared" si="36"/>
        <v>5400000</v>
      </c>
      <c r="G33" s="130">
        <f t="shared" si="36"/>
        <v>6075000</v>
      </c>
      <c r="H33" s="163">
        <f t="shared" si="36"/>
        <v>6750000</v>
      </c>
    </row>
    <row r="34" spans="2:8" ht="18.75" hidden="1" thickBot="1">
      <c r="B34" s="681">
        <f t="shared" si="35"/>
        <v>0</v>
      </c>
      <c r="C34" s="682"/>
      <c r="D34" s="164">
        <f t="shared" si="36"/>
        <v>0</v>
      </c>
      <c r="E34" s="164">
        <f t="shared" si="36"/>
        <v>0</v>
      </c>
      <c r="F34" s="164">
        <f t="shared" si="36"/>
        <v>0</v>
      </c>
      <c r="G34" s="164">
        <f t="shared" si="36"/>
        <v>0</v>
      </c>
      <c r="H34" s="165">
        <f t="shared" si="36"/>
        <v>0</v>
      </c>
    </row>
    <row r="35" spans="2:8" ht="18" hidden="1">
      <c r="B35" s="683">
        <f t="shared" si="35"/>
        <v>0</v>
      </c>
      <c r="C35" s="684"/>
      <c r="D35" s="160">
        <f t="shared" si="36"/>
        <v>0</v>
      </c>
      <c r="E35" s="160">
        <f t="shared" si="36"/>
        <v>0</v>
      </c>
      <c r="F35" s="160">
        <f t="shared" si="36"/>
        <v>0</v>
      </c>
      <c r="G35" s="160">
        <f t="shared" si="36"/>
        <v>0</v>
      </c>
      <c r="H35" s="160">
        <f t="shared" si="36"/>
        <v>0</v>
      </c>
    </row>
    <row r="36" spans="2:8" ht="18" hidden="1">
      <c r="B36" s="661">
        <f t="shared" si="35"/>
        <v>0</v>
      </c>
      <c r="C36" s="662"/>
      <c r="D36" s="130">
        <f t="shared" si="36"/>
        <v>0</v>
      </c>
      <c r="E36" s="130">
        <f t="shared" si="36"/>
        <v>0</v>
      </c>
      <c r="F36" s="130">
        <f t="shared" si="36"/>
        <v>0</v>
      </c>
      <c r="G36" s="130">
        <f t="shared" si="36"/>
        <v>0</v>
      </c>
      <c r="H36" s="130">
        <f t="shared" si="36"/>
        <v>0</v>
      </c>
    </row>
    <row r="37" spans="2:8" ht="18" hidden="1">
      <c r="B37" s="661">
        <f t="shared" si="35"/>
        <v>0</v>
      </c>
      <c r="C37" s="662"/>
      <c r="D37" s="130">
        <f t="shared" si="36"/>
        <v>0</v>
      </c>
      <c r="E37" s="130">
        <f t="shared" si="36"/>
        <v>0</v>
      </c>
      <c r="F37" s="130">
        <f t="shared" si="36"/>
        <v>0</v>
      </c>
      <c r="G37" s="130">
        <f t="shared" si="36"/>
        <v>0</v>
      </c>
      <c r="H37" s="130">
        <f t="shared" si="36"/>
        <v>0</v>
      </c>
    </row>
    <row r="38" spans="2:8" ht="18" hidden="1">
      <c r="B38" s="661">
        <f t="shared" si="35"/>
        <v>0</v>
      </c>
      <c r="C38" s="662"/>
      <c r="D38" s="130">
        <f t="shared" si="36"/>
        <v>0</v>
      </c>
      <c r="E38" s="130">
        <f t="shared" si="36"/>
        <v>0</v>
      </c>
      <c r="F38" s="130">
        <f t="shared" si="36"/>
        <v>0</v>
      </c>
      <c r="G38" s="130">
        <f t="shared" si="36"/>
        <v>0</v>
      </c>
      <c r="H38" s="130">
        <f t="shared" si="36"/>
        <v>0</v>
      </c>
    </row>
    <row r="39" spans="2:8" ht="18" hidden="1">
      <c r="B39" s="661">
        <f t="shared" si="35"/>
        <v>0</v>
      </c>
      <c r="C39" s="662"/>
      <c r="D39" s="130">
        <f t="shared" si="36"/>
        <v>0</v>
      </c>
      <c r="E39" s="130">
        <f t="shared" si="36"/>
        <v>0</v>
      </c>
      <c r="F39" s="130">
        <f t="shared" si="36"/>
        <v>0</v>
      </c>
      <c r="G39" s="130">
        <f t="shared" si="36"/>
        <v>0</v>
      </c>
      <c r="H39" s="130">
        <f t="shared" si="36"/>
        <v>0</v>
      </c>
    </row>
    <row r="40" spans="2:8" ht="18.75" hidden="1" thickBot="1">
      <c r="B40" s="661">
        <f t="shared" si="35"/>
        <v>0</v>
      </c>
      <c r="C40" s="662"/>
      <c r="D40" s="130">
        <f t="shared" si="36"/>
        <v>0</v>
      </c>
      <c r="E40" s="130">
        <f t="shared" si="36"/>
        <v>0</v>
      </c>
      <c r="F40" s="130">
        <f t="shared" si="36"/>
        <v>0</v>
      </c>
      <c r="G40" s="130">
        <f t="shared" si="36"/>
        <v>0</v>
      </c>
      <c r="H40" s="130">
        <f t="shared" si="36"/>
        <v>0</v>
      </c>
    </row>
    <row r="41" spans="2:8" ht="30" customHeight="1" thickBot="1">
      <c r="B41" s="675" t="s">
        <v>223</v>
      </c>
      <c r="C41" s="676"/>
      <c r="D41" s="89">
        <f>SUM(D32:D40)</f>
        <v>11970000</v>
      </c>
      <c r="E41" s="89">
        <f>SUM(E32:E40)</f>
        <v>13965000</v>
      </c>
      <c r="F41" s="89">
        <f>SUM(F32:F40)</f>
        <v>15960000</v>
      </c>
      <c r="G41" s="89">
        <f>SUM(G32:G40)</f>
        <v>17955000</v>
      </c>
      <c r="H41" s="89">
        <f>SUM(H32:H40)</f>
        <v>19950000</v>
      </c>
    </row>
    <row r="42" spans="2:8" ht="39.75" customHeight="1">
      <c r="B42" s="27"/>
      <c r="C42" s="27"/>
      <c r="D42" s="85"/>
      <c r="E42" s="85"/>
      <c r="F42" s="85"/>
      <c r="G42" s="85"/>
      <c r="H42" s="85"/>
    </row>
    <row r="43" spans="2:8" ht="26.25" hidden="1" customHeight="1" thickBot="1">
      <c r="B43" s="665" t="s">
        <v>224</v>
      </c>
      <c r="C43" s="666"/>
      <c r="D43" s="667"/>
      <c r="E43" s="667"/>
      <c r="F43" s="667"/>
      <c r="G43" s="667"/>
      <c r="H43" s="667"/>
    </row>
    <row r="44" spans="2:8" ht="26.25" hidden="1" customHeight="1">
      <c r="B44" s="668" t="s">
        <v>225</v>
      </c>
      <c r="C44" s="669"/>
      <c r="D44" s="95">
        <f t="shared" ref="D44:H45" si="37">D6</f>
        <v>0.6</v>
      </c>
      <c r="E44" s="90">
        <f t="shared" si="37"/>
        <v>0.7</v>
      </c>
      <c r="F44" s="90">
        <f t="shared" si="37"/>
        <v>0.8</v>
      </c>
      <c r="G44" s="90">
        <f t="shared" si="37"/>
        <v>0.9</v>
      </c>
      <c r="H44" s="91">
        <f t="shared" si="37"/>
        <v>1</v>
      </c>
    </row>
    <row r="45" spans="2:8" ht="26.25" hidden="1" customHeight="1">
      <c r="B45" s="670"/>
      <c r="C45" s="671"/>
      <c r="D45" s="96" t="str">
        <f t="shared" si="37"/>
        <v>سال1</v>
      </c>
      <c r="E45" s="94" t="str">
        <f t="shared" si="37"/>
        <v>سال2</v>
      </c>
      <c r="F45" s="94" t="str">
        <f t="shared" si="37"/>
        <v>سال3</v>
      </c>
      <c r="G45" s="94" t="str">
        <f t="shared" si="37"/>
        <v>سال4</v>
      </c>
      <c r="H45" s="97" t="str">
        <f t="shared" si="37"/>
        <v>سال5</v>
      </c>
    </row>
    <row r="46" spans="2:8" ht="39.75" hidden="1" customHeight="1" thickBot="1">
      <c r="B46" s="672"/>
      <c r="C46" s="673"/>
      <c r="D46" s="98">
        <f>'جمع هزینه'!F21</f>
        <v>12426886.051203111</v>
      </c>
      <c r="E46" s="99">
        <f>'جمع هزینه'!G21</f>
        <v>14154954.418555329</v>
      </c>
      <c r="F46" s="99">
        <f>'جمع هزینه'!H21</f>
        <v>15883022.785907546</v>
      </c>
      <c r="G46" s="99">
        <f>'جمع هزینه'!E21</f>
        <v>17611091.153259758</v>
      </c>
      <c r="H46" s="100">
        <f>G46*H44</f>
        <v>17611091.153259758</v>
      </c>
    </row>
    <row r="47" spans="2:8" ht="39.75" hidden="1" customHeight="1" thickBot="1">
      <c r="B47" s="101"/>
      <c r="C47" s="101"/>
      <c r="D47" s="85"/>
      <c r="E47" s="85"/>
      <c r="F47" s="85"/>
      <c r="G47" s="85"/>
      <c r="H47" s="85"/>
    </row>
    <row r="48" spans="2:8" ht="26.25" hidden="1" customHeight="1">
      <c r="B48" s="698" t="s">
        <v>226</v>
      </c>
      <c r="C48" s="699"/>
      <c r="D48" s="699"/>
      <c r="E48" s="699"/>
      <c r="F48" s="699"/>
      <c r="G48" s="699"/>
      <c r="H48" s="700"/>
    </row>
    <row r="49" spans="2:8" ht="39.75" hidden="1" customHeight="1" thickBot="1">
      <c r="B49" s="701" t="s">
        <v>225</v>
      </c>
      <c r="C49" s="702"/>
      <c r="D49" s="92">
        <f>D41-D46</f>
        <v>-456886.05120311119</v>
      </c>
      <c r="E49" s="92">
        <f t="shared" ref="E49:G49" si="38">E41-E46</f>
        <v>-189954.41855532862</v>
      </c>
      <c r="F49" s="92">
        <f t="shared" si="38"/>
        <v>76977.214092453942</v>
      </c>
      <c r="G49" s="92">
        <f t="shared" si="38"/>
        <v>343908.84674024209</v>
      </c>
      <c r="H49" s="93">
        <f>H41-H46</f>
        <v>2338908.8467402421</v>
      </c>
    </row>
    <row r="50" spans="2:8" ht="29.25" customHeight="1">
      <c r="B50" s="27"/>
      <c r="C50" s="27"/>
      <c r="D50" s="85"/>
      <c r="E50" s="85"/>
      <c r="F50" s="85"/>
      <c r="G50" s="85"/>
      <c r="H50" s="85"/>
    </row>
    <row r="51" spans="2:8" ht="16.5" customHeight="1">
      <c r="B51" s="27"/>
      <c r="C51" s="27"/>
      <c r="D51" s="85"/>
      <c r="E51" s="85"/>
      <c r="F51" s="85"/>
      <c r="G51" s="85"/>
      <c r="H51" s="85"/>
    </row>
    <row r="52" spans="2:8" ht="39.75" customHeight="1">
      <c r="B52" s="27"/>
      <c r="C52" s="27"/>
      <c r="D52" s="85"/>
      <c r="E52" s="85"/>
      <c r="F52" s="85"/>
      <c r="G52" s="85"/>
      <c r="H52" s="85"/>
    </row>
    <row r="53" spans="2:8" ht="39.75" customHeight="1">
      <c r="B53" s="27"/>
      <c r="C53" s="27"/>
      <c r="D53" s="85"/>
      <c r="E53" s="85"/>
      <c r="F53" s="85"/>
      <c r="G53" s="85"/>
      <c r="H53" s="85"/>
    </row>
    <row r="54" spans="2:8" ht="39.75" customHeight="1">
      <c r="B54" s="27"/>
      <c r="C54" s="27"/>
      <c r="D54" s="85"/>
      <c r="E54" s="85"/>
      <c r="F54" s="85"/>
      <c r="G54" s="85"/>
      <c r="H54" s="85"/>
    </row>
    <row r="55" spans="2:8" ht="39.75" customHeight="1">
      <c r="B55" s="27"/>
      <c r="C55" s="27"/>
      <c r="D55" s="85"/>
      <c r="E55" s="85"/>
      <c r="F55" s="85"/>
      <c r="G55" s="85"/>
      <c r="H55" s="85"/>
    </row>
    <row r="56" spans="2:8" ht="39.75" customHeight="1">
      <c r="B56" s="27"/>
      <c r="C56" s="27"/>
      <c r="D56" s="85"/>
      <c r="E56" s="85"/>
      <c r="F56" s="85"/>
      <c r="G56" s="85"/>
      <c r="H56" s="85"/>
    </row>
    <row r="57" spans="2:8" ht="106.5" customHeight="1">
      <c r="B57" s="27"/>
      <c r="C57" s="27"/>
      <c r="D57" s="85"/>
      <c r="E57" s="85"/>
      <c r="F57" s="85"/>
      <c r="G57" s="85"/>
      <c r="H57" s="85"/>
    </row>
    <row r="58" spans="2:8" ht="39.75" customHeight="1">
      <c r="B58" s="27"/>
      <c r="C58" s="27"/>
      <c r="D58" s="85"/>
      <c r="E58" s="85"/>
      <c r="F58" s="85"/>
      <c r="G58" s="85"/>
      <c r="H58" s="85"/>
    </row>
    <row r="59" spans="2:8" ht="39.75" customHeight="1">
      <c r="B59" s="27"/>
      <c r="C59" s="27"/>
      <c r="D59" s="85"/>
      <c r="E59" s="85"/>
      <c r="F59" s="85"/>
      <c r="G59" s="85"/>
      <c r="H59" s="85"/>
    </row>
    <row r="60" spans="2:8" ht="39.75" customHeight="1">
      <c r="B60" s="27"/>
      <c r="C60" s="27"/>
      <c r="D60" s="85"/>
      <c r="E60" s="85"/>
      <c r="F60" s="85"/>
      <c r="G60" s="85"/>
      <c r="H60" s="85"/>
    </row>
    <row r="61" spans="2:8" ht="39.75" customHeight="1">
      <c r="B61" s="27"/>
      <c r="C61" s="27"/>
      <c r="D61" s="85"/>
      <c r="E61" s="85"/>
      <c r="F61" s="85"/>
      <c r="G61" s="85"/>
      <c r="H61" s="85"/>
    </row>
    <row r="62" spans="2:8" ht="39.75" customHeight="1">
      <c r="B62" s="27"/>
      <c r="C62" s="27"/>
      <c r="D62" s="85"/>
      <c r="E62" s="85"/>
      <c r="F62" s="85"/>
      <c r="G62" s="85"/>
      <c r="H62" s="85"/>
    </row>
    <row r="63" spans="2:8" ht="39.75" customHeight="1">
      <c r="B63" s="27"/>
      <c r="C63" s="27"/>
      <c r="D63" s="85"/>
      <c r="E63" s="85"/>
      <c r="F63" s="85"/>
      <c r="G63" s="85"/>
      <c r="H63" s="85"/>
    </row>
    <row r="64" spans="2:8" ht="39.75" customHeight="1">
      <c r="B64" s="27"/>
      <c r="C64" s="27"/>
      <c r="D64" s="85"/>
      <c r="E64" s="85"/>
      <c r="F64" s="85"/>
      <c r="G64" s="85"/>
      <c r="H64" s="85"/>
    </row>
    <row r="65" spans="2:8" ht="39.75" customHeight="1">
      <c r="B65" s="27"/>
      <c r="C65" s="27"/>
      <c r="D65" s="85"/>
      <c r="E65" s="85"/>
      <c r="F65" s="85"/>
      <c r="G65" s="85"/>
      <c r="H65" s="85"/>
    </row>
    <row r="66" spans="2:8" ht="12.75" customHeight="1">
      <c r="B66" s="27"/>
      <c r="C66" s="27"/>
      <c r="D66" s="85"/>
      <c r="E66" s="85"/>
      <c r="F66" s="85"/>
      <c r="G66" s="85"/>
      <c r="H66" s="85"/>
    </row>
    <row r="67" spans="2:8" ht="79.5" hidden="1" customHeight="1">
      <c r="B67" s="27"/>
      <c r="C67" s="27"/>
      <c r="D67" s="85"/>
      <c r="E67" s="85"/>
      <c r="F67" s="85"/>
      <c r="G67" s="85"/>
      <c r="H67" s="85"/>
    </row>
    <row r="68" spans="2:8" ht="43.5" customHeight="1">
      <c r="B68" s="705" t="s">
        <v>227</v>
      </c>
      <c r="C68" s="705"/>
      <c r="D68" s="84"/>
      <c r="E68" s="703" t="s">
        <v>228</v>
      </c>
      <c r="F68" s="706"/>
      <c r="G68" s="706"/>
      <c r="H68" s="704"/>
    </row>
    <row r="69" spans="2:8" ht="36.75" customHeight="1">
      <c r="B69" s="703">
        <f>H41-'جمع هزینه'!E21</f>
        <v>2338908.8467402421</v>
      </c>
      <c r="C69" s="704"/>
      <c r="D69" s="27"/>
      <c r="E69" s="703">
        <f>H41-SUM('جمع هزینه'!E9:E11)</f>
        <v>4303672.6584959999</v>
      </c>
      <c r="F69" s="706"/>
      <c r="G69" s="706"/>
      <c r="H69" s="704"/>
    </row>
    <row r="71" spans="2:8" ht="28.5" customHeight="1">
      <c r="B71" s="664" t="s">
        <v>229</v>
      </c>
      <c r="C71" s="664"/>
      <c r="E71" s="664" t="s">
        <v>230</v>
      </c>
      <c r="F71" s="664"/>
      <c r="G71" s="664"/>
      <c r="H71" s="664"/>
    </row>
    <row r="72" spans="2:8" ht="29.25" customHeight="1">
      <c r="B72" s="703">
        <f>'جمع سرمایه ثابت'!D18/حقوق!C11</f>
        <v>44868.189859534876</v>
      </c>
      <c r="C72" s="704"/>
      <c r="E72" s="664">
        <f>'جمع هزینه'!E21-'جمع هزینه'!E9</f>
        <v>2036243.1532597579</v>
      </c>
      <c r="F72" s="664"/>
      <c r="G72" s="664"/>
      <c r="H72" s="664"/>
    </row>
    <row r="74" spans="2:8" ht="28.5" customHeight="1">
      <c r="B74" s="663" t="s">
        <v>231</v>
      </c>
      <c r="C74" s="663"/>
      <c r="E74" s="664"/>
      <c r="F74" s="664"/>
      <c r="G74" s="664"/>
      <c r="H74" s="664"/>
    </row>
    <row r="75" spans="2:8" ht="29.25" customHeight="1">
      <c r="B75" s="696">
        <f>H49/H41</f>
        <v>0.1172385386837214</v>
      </c>
      <c r="C75" s="697"/>
      <c r="E75" s="664"/>
      <c r="F75" s="664"/>
      <c r="G75" s="664"/>
      <c r="H75" s="664"/>
    </row>
  </sheetData>
  <mergeCells count="33">
    <mergeCell ref="B75:C75"/>
    <mergeCell ref="E75:H75"/>
    <mergeCell ref="B48:H48"/>
    <mergeCell ref="B49:C49"/>
    <mergeCell ref="E71:H71"/>
    <mergeCell ref="E72:H72"/>
    <mergeCell ref="B71:C71"/>
    <mergeCell ref="B72:C72"/>
    <mergeCell ref="B68:C68"/>
    <mergeCell ref="B69:C69"/>
    <mergeCell ref="E68:H68"/>
    <mergeCell ref="E69:H69"/>
    <mergeCell ref="D1:F1"/>
    <mergeCell ref="B41:C41"/>
    <mergeCell ref="B32:C32"/>
    <mergeCell ref="B33:C33"/>
    <mergeCell ref="B34:C34"/>
    <mergeCell ref="B35:C35"/>
    <mergeCell ref="B36:C36"/>
    <mergeCell ref="B3:H3"/>
    <mergeCell ref="B5:H5"/>
    <mergeCell ref="B18:H18"/>
    <mergeCell ref="B6:B7"/>
    <mergeCell ref="B31:C31"/>
    <mergeCell ref="B30:H30"/>
    <mergeCell ref="B37:C37"/>
    <mergeCell ref="B38:C38"/>
    <mergeCell ref="B40:C40"/>
    <mergeCell ref="B39:C39"/>
    <mergeCell ref="B74:C74"/>
    <mergeCell ref="E74:H74"/>
    <mergeCell ref="B43:H43"/>
    <mergeCell ref="B44:C46"/>
  </mergeCells>
  <printOptions horizontalCentered="1"/>
  <pageMargins left="0.23622047244094491" right="0.23622047244094491" top="0.74803149606299213" bottom="0.74803149606299213" header="0.31496062992125984" footer="0.31496062992125984"/>
  <pageSetup paperSize="9" scale="75" orientation="portrait" r:id="rId1"/>
  <rowBreaks count="2" manualBreakCount="2">
    <brk id="42" max="7" man="1"/>
    <brk id="75" min="1" max="7"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44"/>
  <sheetViews>
    <sheetView rightToLeft="1" view="pageBreakPreview" topLeftCell="A15" zoomScale="90" zoomScaleNormal="100" zoomScaleSheetLayoutView="90" workbookViewId="0">
      <selection activeCell="H32" sqref="H32"/>
    </sheetView>
  </sheetViews>
  <sheetFormatPr defaultColWidth="15.42578125" defaultRowHeight="15.75"/>
  <cols>
    <col min="1" max="1" width="12" style="4" bestFit="1" customWidth="1"/>
    <col min="2" max="2" width="29" style="4" bestFit="1" customWidth="1"/>
    <col min="3" max="9" width="15.42578125" style="4"/>
    <col min="10" max="10" width="16.5703125" style="4" bestFit="1" customWidth="1"/>
    <col min="11" max="16384" width="15.42578125" style="4"/>
  </cols>
  <sheetData>
    <row r="1" spans="1:7" ht="31.5" customHeight="1">
      <c r="C1" s="674" t="str">
        <f>زمین!D1</f>
        <v xml:space="preserve">مطالعات بازار،فنی،مالی و اقتصادی طرح توجیهی
</v>
      </c>
      <c r="D1" s="674"/>
      <c r="E1" s="674"/>
      <c r="F1" s="66"/>
    </row>
    <row r="2" spans="1:7" ht="44.25" customHeight="1">
      <c r="C2" s="220" t="str">
        <f>زمین!D2</f>
        <v>طراحی و تولید دستگاه اندازه گیری سطح مخازن سوخت -شرکت برنا نیروی زاگرس</v>
      </c>
      <c r="D2" s="220"/>
      <c r="E2" s="220"/>
    </row>
    <row r="3" spans="1:7" ht="24" thickBot="1">
      <c r="A3" s="685" t="s">
        <v>237</v>
      </c>
      <c r="B3" s="685"/>
      <c r="C3" s="685"/>
      <c r="D3" s="685"/>
      <c r="E3" s="685"/>
      <c r="F3" s="685"/>
      <c r="G3" s="685"/>
    </row>
    <row r="4" spans="1:7" ht="26.25" customHeight="1">
      <c r="A4" s="709" t="s">
        <v>222</v>
      </c>
      <c r="B4" s="710"/>
      <c r="C4" s="710"/>
      <c r="D4" s="710"/>
      <c r="E4" s="710"/>
      <c r="F4" s="710"/>
      <c r="G4" s="710"/>
    </row>
    <row r="5" spans="1:7" ht="26.25" customHeight="1">
      <c r="A5" s="711" t="s">
        <v>214</v>
      </c>
      <c r="B5" s="711"/>
      <c r="C5" s="207" t="str">
        <f>فروش!D31</f>
        <v>سال1</v>
      </c>
      <c r="D5" s="207" t="str">
        <f>فروش!E31</f>
        <v>سال2</v>
      </c>
      <c r="E5" s="207" t="str">
        <f>فروش!F31</f>
        <v>سال3</v>
      </c>
      <c r="F5" s="207" t="str">
        <f>فروش!G31</f>
        <v>سال4</v>
      </c>
      <c r="G5" s="207" t="str">
        <f>فروش!H31</f>
        <v>سال5</v>
      </c>
    </row>
    <row r="6" spans="1:7" ht="42.75" customHeight="1">
      <c r="A6" s="680" t="str">
        <f>فروش!B32</f>
        <v>شیشه لایه دار تخت ساختمانی</v>
      </c>
      <c r="B6" s="680"/>
      <c r="C6" s="130">
        <f>فروش!D32</f>
        <v>7920000</v>
      </c>
      <c r="D6" s="130">
        <f>فروش!E32</f>
        <v>9240000</v>
      </c>
      <c r="E6" s="130">
        <f>فروش!F32</f>
        <v>10560000</v>
      </c>
      <c r="F6" s="130">
        <f>فروش!G32</f>
        <v>11880000</v>
      </c>
      <c r="G6" s="130">
        <f>فروش!H32</f>
        <v>13200000</v>
      </c>
    </row>
    <row r="7" spans="1:7" ht="42.75" customHeight="1" thickBot="1">
      <c r="A7" s="680" t="str">
        <f>فروش!B33</f>
        <v>شیشه نشکن ساختمانی</v>
      </c>
      <c r="B7" s="680"/>
      <c r="C7" s="130">
        <f>فروش!D33</f>
        <v>4050000</v>
      </c>
      <c r="D7" s="130">
        <f>فروش!E33</f>
        <v>4725000</v>
      </c>
      <c r="E7" s="130">
        <f>فروش!F33</f>
        <v>5400000</v>
      </c>
      <c r="F7" s="130">
        <f>فروش!G33</f>
        <v>6075000</v>
      </c>
      <c r="G7" s="130">
        <f>فروش!H33</f>
        <v>6750000</v>
      </c>
    </row>
    <row r="8" spans="1:7" ht="16.5" hidden="1" thickBot="1">
      <c r="A8" s="712" t="e">
        <f>#REF!</f>
        <v>#REF!</v>
      </c>
      <c r="B8" s="713"/>
      <c r="C8" s="221" t="e">
        <f>#REF!*#REF!/1000000</f>
        <v>#REF!</v>
      </c>
      <c r="D8" s="221" t="e">
        <f>#REF!*#REF!/1000000</f>
        <v>#REF!</v>
      </c>
      <c r="E8" s="221" t="e">
        <f>#REF!*#REF!/1000000</f>
        <v>#REF!</v>
      </c>
      <c r="F8" s="221" t="e">
        <f>#REF!*#REF!/1000000</f>
        <v>#REF!</v>
      </c>
      <c r="G8" s="222" t="e">
        <f>#REF!*#REF!/1000000</f>
        <v>#REF!</v>
      </c>
    </row>
    <row r="9" spans="1:7" ht="16.5" hidden="1" thickBot="1">
      <c r="A9" s="707" t="e">
        <f>#REF!</f>
        <v>#REF!</v>
      </c>
      <c r="B9" s="708"/>
      <c r="C9" s="160" t="e">
        <f>#REF!*#REF!/1000000</f>
        <v>#REF!</v>
      </c>
      <c r="D9" s="160" t="e">
        <f>#REF!*#REF!/1000000</f>
        <v>#REF!</v>
      </c>
      <c r="E9" s="160" t="e">
        <f>#REF!*#REF!/1000000</f>
        <v>#REF!</v>
      </c>
      <c r="F9" s="160" t="e">
        <f>#REF!*#REF!/1000000</f>
        <v>#REF!</v>
      </c>
      <c r="G9" s="160" t="e">
        <f>#REF!*#REF!/1000000</f>
        <v>#REF!</v>
      </c>
    </row>
    <row r="10" spans="1:7" ht="16.5" hidden="1" thickBot="1">
      <c r="A10" s="716" t="e">
        <f>#REF!</f>
        <v>#REF!</v>
      </c>
      <c r="B10" s="717"/>
      <c r="C10" s="130" t="e">
        <f>#REF!*#REF!/1000000</f>
        <v>#REF!</v>
      </c>
      <c r="D10" s="130" t="e">
        <f>#REF!*#REF!/1000000</f>
        <v>#REF!</v>
      </c>
      <c r="E10" s="130" t="e">
        <f>#REF!*#REF!/1000000</f>
        <v>#REF!</v>
      </c>
      <c r="F10" s="130" t="e">
        <f>#REF!*#REF!/1000000</f>
        <v>#REF!</v>
      </c>
      <c r="G10" s="130" t="e">
        <f>#REF!*#REF!/1000000</f>
        <v>#REF!</v>
      </c>
    </row>
    <row r="11" spans="1:7" ht="16.5" hidden="1" thickBot="1">
      <c r="A11" s="716" t="e">
        <f>#REF!</f>
        <v>#REF!</v>
      </c>
      <c r="B11" s="717"/>
      <c r="C11" s="130" t="e">
        <f>#REF!*#REF!/1000000</f>
        <v>#REF!</v>
      </c>
      <c r="D11" s="130" t="e">
        <f>#REF!*#REF!/1000000</f>
        <v>#REF!</v>
      </c>
      <c r="E11" s="130" t="e">
        <f>#REF!*#REF!/1000000</f>
        <v>#REF!</v>
      </c>
      <c r="F11" s="130" t="e">
        <f>#REF!*#REF!/1000000</f>
        <v>#REF!</v>
      </c>
      <c r="G11" s="130" t="e">
        <f>#REF!*#REF!/1000000</f>
        <v>#REF!</v>
      </c>
    </row>
    <row r="12" spans="1:7" ht="16.5" hidden="1" thickBot="1">
      <c r="A12" s="716" t="e">
        <f>#REF!</f>
        <v>#REF!</v>
      </c>
      <c r="B12" s="717"/>
      <c r="C12" s="130" t="e">
        <f>#REF!*#REF!/1000000</f>
        <v>#REF!</v>
      </c>
      <c r="D12" s="130" t="e">
        <f>#REF!*#REF!/1000000</f>
        <v>#REF!</v>
      </c>
      <c r="E12" s="130" t="e">
        <f>#REF!*#REF!/1000000</f>
        <v>#REF!</v>
      </c>
      <c r="F12" s="130" t="e">
        <f>#REF!*#REF!/1000000</f>
        <v>#REF!</v>
      </c>
      <c r="G12" s="130" t="e">
        <f>#REF!*#REF!/1000000</f>
        <v>#REF!</v>
      </c>
    </row>
    <row r="13" spans="1:7" ht="16.5" hidden="1" thickBot="1">
      <c r="A13" s="716" t="e">
        <f>#REF!</f>
        <v>#REF!</v>
      </c>
      <c r="B13" s="717"/>
      <c r="C13" s="130" t="e">
        <f>#REF!*#REF!/1000000</f>
        <v>#REF!</v>
      </c>
      <c r="D13" s="130" t="e">
        <f>#REF!*#REF!/1000000</f>
        <v>#REF!</v>
      </c>
      <c r="E13" s="130" t="e">
        <f>#REF!*#REF!/1000000</f>
        <v>#REF!</v>
      </c>
      <c r="F13" s="130" t="e">
        <f>#REF!*#REF!/1000000</f>
        <v>#REF!</v>
      </c>
      <c r="G13" s="130" t="e">
        <f>#REF!*#REF!/1000000</f>
        <v>#REF!</v>
      </c>
    </row>
    <row r="14" spans="1:7" ht="16.5" hidden="1" thickBot="1">
      <c r="A14" s="716" t="e">
        <f>#REF!</f>
        <v>#REF!</v>
      </c>
      <c r="B14" s="717"/>
      <c r="C14" s="130" t="e">
        <f>#REF!*#REF!/1000000</f>
        <v>#REF!</v>
      </c>
      <c r="D14" s="130" t="e">
        <f>#REF!*#REF!/1000000</f>
        <v>#REF!</v>
      </c>
      <c r="E14" s="130" t="e">
        <f>#REF!*#REF!/1000000</f>
        <v>#REF!</v>
      </c>
      <c r="F14" s="130" t="e">
        <f>#REF!*#REF!/1000000</f>
        <v>#REF!</v>
      </c>
      <c r="G14" s="130" t="e">
        <f>#REF!*#REF!/1000000</f>
        <v>#REF!</v>
      </c>
    </row>
    <row r="15" spans="1:7" ht="16.5" thickBot="1">
      <c r="A15" s="718" t="s">
        <v>223</v>
      </c>
      <c r="B15" s="719"/>
      <c r="C15" s="89">
        <f>SUM(C6:C7)</f>
        <v>11970000</v>
      </c>
      <c r="D15" s="89">
        <f t="shared" ref="D15:G15" si="0">SUM(D6:D7)</f>
        <v>13965000</v>
      </c>
      <c r="E15" s="89">
        <f t="shared" si="0"/>
        <v>15960000</v>
      </c>
      <c r="F15" s="89">
        <f t="shared" si="0"/>
        <v>17955000</v>
      </c>
      <c r="G15" s="89">
        <f t="shared" si="0"/>
        <v>19950000</v>
      </c>
    </row>
    <row r="16" spans="1:7" ht="30.75" customHeight="1" thickBot="1">
      <c r="A16" s="27"/>
      <c r="B16" s="27"/>
      <c r="C16" s="85"/>
      <c r="D16" s="85"/>
      <c r="E16" s="85"/>
      <c r="F16" s="85"/>
      <c r="G16" s="85"/>
    </row>
    <row r="17" spans="1:7" ht="26.25" customHeight="1">
      <c r="A17" s="715" t="s">
        <v>238</v>
      </c>
      <c r="B17" s="667"/>
      <c r="C17" s="667"/>
      <c r="D17" s="667"/>
      <c r="E17" s="667"/>
      <c r="F17" s="667"/>
      <c r="G17" s="667"/>
    </row>
    <row r="18" spans="1:7" ht="26.25" customHeight="1">
      <c r="A18" s="711" t="s">
        <v>6</v>
      </c>
      <c r="B18" s="711"/>
      <c r="C18" s="223">
        <f>فروش!D6</f>
        <v>0.6</v>
      </c>
      <c r="D18" s="223">
        <f>فروش!E6</f>
        <v>0.7</v>
      </c>
      <c r="E18" s="223">
        <f>فروش!F6</f>
        <v>0.8</v>
      </c>
      <c r="F18" s="223">
        <f>فروش!G6</f>
        <v>0.9</v>
      </c>
      <c r="G18" s="223">
        <f>فروش!H6</f>
        <v>1</v>
      </c>
    </row>
    <row r="19" spans="1:7" ht="26.25" customHeight="1">
      <c r="A19" s="711"/>
      <c r="B19" s="711"/>
      <c r="C19" s="223" t="str">
        <f>C5</f>
        <v>سال1</v>
      </c>
      <c r="D19" s="223" t="str">
        <f t="shared" ref="D19:G19" si="1">D5</f>
        <v>سال2</v>
      </c>
      <c r="E19" s="223" t="str">
        <f t="shared" si="1"/>
        <v>سال3</v>
      </c>
      <c r="F19" s="223" t="str">
        <f t="shared" si="1"/>
        <v>سال4</v>
      </c>
      <c r="G19" s="223" t="str">
        <f t="shared" si="1"/>
        <v>سال5</v>
      </c>
    </row>
    <row r="20" spans="1:7" s="284" customFormat="1" ht="32.25" customHeight="1">
      <c r="A20" s="714" t="str">
        <f>'جمع هزینه'!B9</f>
        <v xml:space="preserve">هزینه مواد اوليه </v>
      </c>
      <c r="B20" s="714"/>
      <c r="C20" s="225">
        <f>C18*G20</f>
        <v>9344908.7999999989</v>
      </c>
      <c r="D20" s="225">
        <f>D18*G20</f>
        <v>10902393.6</v>
      </c>
      <c r="E20" s="225">
        <f>E18*G20</f>
        <v>12459878.4</v>
      </c>
      <c r="F20" s="225">
        <f>F18*G20</f>
        <v>14017363.200000001</v>
      </c>
      <c r="G20" s="225">
        <f>'جمع هزینه'!E9</f>
        <v>15574848</v>
      </c>
    </row>
    <row r="21" spans="1:7" s="284" customFormat="1" ht="32.25" customHeight="1">
      <c r="A21" s="714" t="str">
        <f>'جمع هزینه'!B10</f>
        <v>انرژی</v>
      </c>
      <c r="B21" s="714"/>
      <c r="C21" s="225">
        <f>C18*G21</f>
        <v>5551.848</v>
      </c>
      <c r="D21" s="225">
        <f>D18*G21</f>
        <v>6477.1559999999999</v>
      </c>
      <c r="E21" s="225">
        <f>E18*G21</f>
        <v>7402.4639999999999</v>
      </c>
      <c r="F21" s="225">
        <f>F18*G21</f>
        <v>8327.7720000000008</v>
      </c>
      <c r="G21" s="225">
        <f>'جمع هزینه'!E10</f>
        <v>9253.08</v>
      </c>
    </row>
    <row r="22" spans="1:7" s="284" customFormat="1" ht="32.25" customHeight="1">
      <c r="A22" s="714" t="str">
        <f>'جمع هزینه'!B11</f>
        <v>تعمير نگهداري</v>
      </c>
      <c r="B22" s="714"/>
      <c r="C22" s="225">
        <f>C18*G22</f>
        <v>37335.756902399997</v>
      </c>
      <c r="D22" s="225">
        <f>D18*G22</f>
        <v>43558.383052799996</v>
      </c>
      <c r="E22" s="225">
        <f>E18*G22</f>
        <v>49781.009203200003</v>
      </c>
      <c r="F22" s="225">
        <f>F18*G22</f>
        <v>56003.635353600002</v>
      </c>
      <c r="G22" s="225">
        <f>'جمع هزینه'!E11</f>
        <v>62226.261504000002</v>
      </c>
    </row>
    <row r="23" spans="1:7" s="284" customFormat="1" ht="32.25" customHeight="1">
      <c r="A23" s="714" t="str">
        <f>'جمع هزینه'!B12</f>
        <v>حقوق و مزاياي پرسنل توليدی/عملیاتی</v>
      </c>
      <c r="B23" s="714"/>
      <c r="C23" s="225">
        <f>C18*G23</f>
        <v>42939.12</v>
      </c>
      <c r="D23" s="225">
        <f>D18*G23</f>
        <v>50095.640000000007</v>
      </c>
      <c r="E23" s="225">
        <f>E18*G23</f>
        <v>57252.160000000011</v>
      </c>
      <c r="F23" s="225">
        <f>F18*G23</f>
        <v>64408.680000000015</v>
      </c>
      <c r="G23" s="225">
        <f>'جمع هزینه'!E12</f>
        <v>71565.200000000012</v>
      </c>
    </row>
    <row r="24" spans="1:7" s="284" customFormat="1" ht="32.25" customHeight="1">
      <c r="A24" s="714" t="str">
        <f>'جمع هزینه'!B13</f>
        <v>حقوق و مزاياي پرسنل غیرتوليدی</v>
      </c>
      <c r="B24" s="714"/>
      <c r="C24" s="225">
        <f>C18*G24</f>
        <v>9955.44</v>
      </c>
      <c r="D24" s="225">
        <f>D18*G24</f>
        <v>11614.68</v>
      </c>
      <c r="E24" s="225">
        <f>E18*G24</f>
        <v>13273.920000000002</v>
      </c>
      <c r="F24" s="225">
        <f>F18*G24</f>
        <v>14933.160000000002</v>
      </c>
      <c r="G24" s="225">
        <f>'جمع هزینه'!E13</f>
        <v>16592.400000000001</v>
      </c>
    </row>
    <row r="25" spans="1:7" s="284" customFormat="1" ht="32.25" customHeight="1">
      <c r="A25" s="714" t="str">
        <f>'جمع هزینه'!B14</f>
        <v>سایر اقلام سربار-بیمه</v>
      </c>
      <c r="B25" s="714"/>
      <c r="C25" s="225">
        <f>C18*G25</f>
        <v>2177.7813167519998</v>
      </c>
      <c r="D25" s="225">
        <f>D18*G25</f>
        <v>2540.7448695439998</v>
      </c>
      <c r="E25" s="225">
        <f>E18*G25</f>
        <v>2903.7084223359998</v>
      </c>
      <c r="F25" s="225">
        <f>F18*G25</f>
        <v>3266.6719751279998</v>
      </c>
      <c r="G25" s="225">
        <f>'جمع هزینه'!E14</f>
        <v>3629.6355279199997</v>
      </c>
    </row>
    <row r="26" spans="1:7" s="284" customFormat="1" ht="32.25" customHeight="1">
      <c r="A26" s="714" t="str">
        <f>'جمع هزینه'!B15</f>
        <v xml:space="preserve">پيش بيني نشده </v>
      </c>
      <c r="B26" s="714"/>
      <c r="C26" s="225">
        <f>C18*G26</f>
        <v>472034.54824512004</v>
      </c>
      <c r="D26" s="225">
        <f>D18*G26</f>
        <v>550706.97295264003</v>
      </c>
      <c r="E26" s="225">
        <f>E18*G26</f>
        <v>629379.39766016009</v>
      </c>
      <c r="F26" s="225">
        <f>F18*G26</f>
        <v>708051.82236768014</v>
      </c>
      <c r="G26" s="225">
        <f>'جمع هزینه'!E15</f>
        <v>786724.24707520008</v>
      </c>
    </row>
    <row r="27" spans="1:7" s="284" customFormat="1" ht="32.25" customHeight="1">
      <c r="A27" s="714" t="str">
        <f>'جمع هزینه'!B16</f>
        <v>سایر هزينه‌هاي عمومی و اداري</v>
      </c>
      <c r="B27" s="714"/>
      <c r="C27" s="225">
        <f>C18*G27</f>
        <v>94406.90964902399</v>
      </c>
      <c r="D27" s="225">
        <f>D18*G27</f>
        <v>110141.39459052798</v>
      </c>
      <c r="E27" s="225">
        <f>E18*G27</f>
        <v>125875.87953203201</v>
      </c>
      <c r="F27" s="225">
        <f>F18*G27</f>
        <v>141610.364473536</v>
      </c>
      <c r="G27" s="225">
        <f>'جمع هزینه'!E16</f>
        <v>157344.84941503999</v>
      </c>
    </row>
    <row r="28" spans="1:7" s="284" customFormat="1" ht="32.25" customHeight="1">
      <c r="A28" s="714" t="str">
        <f>'جمع هزینه'!B17</f>
        <v>هزینه تامین مالی</v>
      </c>
      <c r="B28" s="714"/>
      <c r="C28" s="225">
        <f>G28</f>
        <v>183960</v>
      </c>
      <c r="D28" s="225">
        <f>G28</f>
        <v>183960</v>
      </c>
      <c r="E28" s="225">
        <f>G28</f>
        <v>183960</v>
      </c>
      <c r="F28" s="225">
        <f>F18*G28</f>
        <v>165564</v>
      </c>
      <c r="G28" s="225">
        <f>'جمع هزینه'!E17</f>
        <v>183960</v>
      </c>
    </row>
    <row r="29" spans="1:7" s="284" customFormat="1" ht="32.25" hidden="1" customHeight="1">
      <c r="A29" s="714" t="str">
        <f>'جمع هزینه'!B19</f>
        <v>اجاره</v>
      </c>
      <c r="B29" s="714"/>
      <c r="C29" s="225">
        <f>G29</f>
        <v>0</v>
      </c>
      <c r="D29" s="225">
        <f>G29</f>
        <v>0</v>
      </c>
      <c r="E29" s="225">
        <f>G29</f>
        <v>0</v>
      </c>
      <c r="F29" s="225">
        <f>F18*G29</f>
        <v>0</v>
      </c>
      <c r="G29" s="225">
        <f>'جمع هزینه'!E19</f>
        <v>0</v>
      </c>
    </row>
    <row r="30" spans="1:7" s="284" customFormat="1" ht="32.25" customHeight="1">
      <c r="A30" s="714" t="str">
        <f>'جمع هزینه'!B20</f>
        <v>توزیع و فروش</v>
      </c>
      <c r="B30" s="714"/>
      <c r="C30" s="225">
        <f>C18*G30</f>
        <v>359100</v>
      </c>
      <c r="D30" s="225">
        <f>D18*G30</f>
        <v>418950</v>
      </c>
      <c r="E30" s="225">
        <f>E18*G30</f>
        <v>478800</v>
      </c>
      <c r="F30" s="225">
        <f>F18*G30</f>
        <v>538650</v>
      </c>
      <c r="G30" s="225">
        <f>'جمع هزینه'!E20</f>
        <v>598500</v>
      </c>
    </row>
    <row r="31" spans="1:7" ht="34.5" customHeight="1">
      <c r="A31" s="720" t="s">
        <v>250</v>
      </c>
      <c r="B31" s="720"/>
      <c r="C31" s="224">
        <f>SUM(C20:C30)</f>
        <v>10552370.204113293</v>
      </c>
      <c r="D31" s="224">
        <f>SUM(D20:D30)</f>
        <v>12280438.571465511</v>
      </c>
      <c r="E31" s="224">
        <f>SUM(E20:E30)</f>
        <v>14008506.938817728</v>
      </c>
      <c r="F31" s="224">
        <f>SUM(F20:F30)</f>
        <v>15718179.306169946</v>
      </c>
      <c r="G31" s="224">
        <f>SUM(G20:G30)</f>
        <v>17464643.673522159</v>
      </c>
    </row>
    <row r="32" spans="1:7" ht="39.75" customHeight="1">
      <c r="A32" s="721" t="s">
        <v>239</v>
      </c>
      <c r="B32" s="721"/>
      <c r="C32" s="721"/>
      <c r="D32" s="721"/>
      <c r="E32" s="721"/>
      <c r="F32" s="721"/>
      <c r="G32" s="721"/>
    </row>
    <row r="33" spans="1:7" ht="39.75" customHeight="1">
      <c r="A33" s="722" t="s">
        <v>225</v>
      </c>
      <c r="B33" s="722"/>
      <c r="C33" s="225">
        <f>C15-C31</f>
        <v>1417629.7958867066</v>
      </c>
      <c r="D33" s="225">
        <f>D15-D31</f>
        <v>1684561.4285344891</v>
      </c>
      <c r="E33" s="225">
        <f>E15-E31</f>
        <v>1951493.0611822717</v>
      </c>
      <c r="F33" s="225">
        <f>F15-F31</f>
        <v>2236820.6938300543</v>
      </c>
      <c r="G33" s="225">
        <f>G15-G31</f>
        <v>2485356.3264778405</v>
      </c>
    </row>
    <row r="34" spans="1:7" ht="35.25" customHeight="1">
      <c r="A34" s="27"/>
      <c r="B34" s="27"/>
      <c r="C34" s="85"/>
      <c r="D34" s="85"/>
      <c r="E34" s="85"/>
      <c r="F34" s="85"/>
      <c r="G34" s="85"/>
    </row>
    <row r="35" spans="1:7" ht="39.75" customHeight="1">
      <c r="A35" s="27"/>
      <c r="B35" s="27"/>
      <c r="C35" s="85"/>
      <c r="D35" s="85"/>
      <c r="E35" s="85"/>
      <c r="F35" s="85"/>
      <c r="G35" s="85"/>
    </row>
    <row r="36" spans="1:7" ht="39.75" customHeight="1">
      <c r="A36" s="27"/>
      <c r="B36" s="27"/>
      <c r="C36" s="85"/>
      <c r="D36" s="85"/>
      <c r="E36" s="85"/>
      <c r="F36" s="85"/>
      <c r="G36" s="226">
        <f>G33/'خلاصه '!E21</f>
        <v>1.0571774648373184</v>
      </c>
    </row>
    <row r="37" spans="1:7" ht="39.75" customHeight="1">
      <c r="A37" s="27"/>
      <c r="B37" s="27"/>
      <c r="C37" s="85"/>
      <c r="D37" s="85"/>
      <c r="E37" s="85"/>
      <c r="F37" s="85"/>
      <c r="G37" s="85"/>
    </row>
    <row r="38" spans="1:7" ht="39.75" customHeight="1">
      <c r="A38" s="27"/>
      <c r="B38" s="27"/>
      <c r="C38" s="85"/>
      <c r="D38" s="85"/>
      <c r="E38" s="85"/>
      <c r="F38" s="85"/>
      <c r="G38" s="85"/>
    </row>
    <row r="41" spans="1:7" customFormat="1">
      <c r="B41" s="153" t="s">
        <v>232</v>
      </c>
      <c r="C41" s="153" t="s">
        <v>233</v>
      </c>
      <c r="D41" s="151">
        <v>850000</v>
      </c>
      <c r="E41" s="152" t="s">
        <v>234</v>
      </c>
      <c r="F41" s="153" t="s">
        <v>235</v>
      </c>
      <c r="G41" s="151">
        <v>6500000</v>
      </c>
    </row>
    <row r="42" spans="1:7" customFormat="1">
      <c r="B42" s="153" t="s">
        <v>236</v>
      </c>
      <c r="C42" s="153"/>
      <c r="D42" s="151">
        <v>970000</v>
      </c>
      <c r="E42" s="152" t="s">
        <v>236</v>
      </c>
      <c r="F42" s="153"/>
      <c r="G42" s="151">
        <v>7350000</v>
      </c>
    </row>
    <row r="43" spans="1:7" customFormat="1" ht="15">
      <c r="B43" s="141"/>
    </row>
    <row r="44" spans="1:7">
      <c r="D44" s="151">
        <f>12*D42</f>
        <v>11640000</v>
      </c>
    </row>
  </sheetData>
  <mergeCells count="30">
    <mergeCell ref="A31:B31"/>
    <mergeCell ref="A32:G32"/>
    <mergeCell ref="A33:B33"/>
    <mergeCell ref="A26:B26"/>
    <mergeCell ref="A27:B27"/>
    <mergeCell ref="A28:B28"/>
    <mergeCell ref="A29:B29"/>
    <mergeCell ref="A30:B30"/>
    <mergeCell ref="A25:B25"/>
    <mergeCell ref="A17:G17"/>
    <mergeCell ref="A23:B23"/>
    <mergeCell ref="A10:B10"/>
    <mergeCell ref="A11:B11"/>
    <mergeCell ref="A12:B12"/>
    <mergeCell ref="A13:B13"/>
    <mergeCell ref="A14:B14"/>
    <mergeCell ref="A15:B15"/>
    <mergeCell ref="A18:B19"/>
    <mergeCell ref="A20:B20"/>
    <mergeCell ref="A21:B21"/>
    <mergeCell ref="A22:B22"/>
    <mergeCell ref="A24:B24"/>
    <mergeCell ref="A9:B9"/>
    <mergeCell ref="C1:E1"/>
    <mergeCell ref="A3:G3"/>
    <mergeCell ref="A4:G4"/>
    <mergeCell ref="A5:B5"/>
    <mergeCell ref="A6:B6"/>
    <mergeCell ref="A7:B7"/>
    <mergeCell ref="A8:B8"/>
  </mergeCells>
  <printOptions horizontalCentered="1"/>
  <pageMargins left="0.23622047244094491" right="0.23622047244094491" top="0.74803149606299213" bottom="0.74803149606299213" header="0.31496062992125984" footer="0.31496062992125984"/>
  <pageSetup paperSize="9" scale="75"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
  <sheetViews>
    <sheetView rightToLeft="1" view="pageBreakPreview" topLeftCell="A10" zoomScale="95" zoomScaleNormal="100" zoomScaleSheetLayoutView="95" workbookViewId="0">
      <selection activeCell="Q42" sqref="Q42"/>
    </sheetView>
  </sheetViews>
  <sheetFormatPr defaultRowHeight="15"/>
  <sheetData>
    <row r="1" spans="1:9" ht="23.25" customHeight="1">
      <c r="C1" s="724" t="str">
        <f>زمین!D1</f>
        <v xml:space="preserve">مطالعات بازار،فنی،مالی و اقتصادی طرح توجیهی
</v>
      </c>
      <c r="D1" s="724"/>
      <c r="E1" s="724"/>
      <c r="F1" s="724"/>
      <c r="G1" s="724"/>
      <c r="H1" s="724"/>
    </row>
    <row r="2" spans="1:9" ht="23.25" customHeight="1">
      <c r="C2" s="220" t="str">
        <f>زمین!D2</f>
        <v>طراحی و تولید دستگاه اندازه گیری سطح مخازن سوخت -شرکت برنا نیروی زاگرس</v>
      </c>
      <c r="D2" s="171"/>
      <c r="E2" s="171"/>
      <c r="F2" s="171"/>
      <c r="G2" s="75"/>
      <c r="H2" s="75"/>
    </row>
    <row r="3" spans="1:9" ht="38.25" customHeight="1">
      <c r="A3" s="723" t="s">
        <v>240</v>
      </c>
      <c r="B3" s="723"/>
      <c r="C3" s="723"/>
      <c r="D3" s="723"/>
      <c r="E3" s="723"/>
      <c r="F3" s="723"/>
      <c r="G3" s="723"/>
      <c r="H3" s="723"/>
      <c r="I3" s="65"/>
    </row>
  </sheetData>
  <mergeCells count="2">
    <mergeCell ref="A3:H3"/>
    <mergeCell ref="C1:H1"/>
  </mergeCells>
  <printOptions horizontalCentered="1"/>
  <pageMargins left="0.70866141732283472" right="0.70866141732283472" top="0.74803149606299213" bottom="0.74803149606299213" header="0.9055118110236221" footer="0.70866141732283472"/>
  <pageSetup paperSize="9" orientation="portrait" r:id="rId1"/>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7"/>
  <sheetViews>
    <sheetView rightToLeft="1" view="pageBreakPreview" zoomScaleNormal="100" zoomScaleSheetLayoutView="100" workbookViewId="0">
      <selection activeCell="F12" sqref="F12"/>
    </sheetView>
  </sheetViews>
  <sheetFormatPr defaultRowHeight="15"/>
  <cols>
    <col min="1" max="1" width="3.7109375" customWidth="1"/>
    <col min="3" max="3" width="14" customWidth="1"/>
    <col min="4" max="4" width="11.5703125" bestFit="1" customWidth="1"/>
    <col min="5" max="5" width="17.5703125" bestFit="1" customWidth="1"/>
    <col min="6" max="6" width="13.7109375" customWidth="1"/>
    <col min="7" max="7" width="13.42578125" customWidth="1"/>
    <col min="8" max="8" width="18.5703125" customWidth="1"/>
  </cols>
  <sheetData>
    <row r="1" spans="2:13" ht="31.5" customHeight="1">
      <c r="D1" s="498" t="s">
        <v>0</v>
      </c>
      <c r="E1" s="498"/>
      <c r="F1" s="498"/>
      <c r="G1" s="498"/>
      <c r="H1" s="498"/>
    </row>
    <row r="2" spans="2:13" ht="23.25" customHeight="1">
      <c r="D2" s="536" t="str">
        <f>'خلاصه '!C2</f>
        <v>طراحی و تولید دستگاه اندازه گیری سطح مخازن سوخت -شرکت برنا نیروی زاگرس</v>
      </c>
      <c r="E2" s="536"/>
      <c r="F2" s="536"/>
      <c r="G2" s="536"/>
      <c r="H2" s="536"/>
    </row>
    <row r="3" spans="2:13" ht="27" customHeight="1">
      <c r="B3" s="530" t="s">
        <v>18</v>
      </c>
      <c r="C3" s="531"/>
      <c r="D3" s="531"/>
      <c r="E3" s="531"/>
      <c r="F3" s="531"/>
      <c r="G3" s="531"/>
      <c r="H3" s="532"/>
      <c r="I3" s="3"/>
      <c r="M3" s="248"/>
    </row>
    <row r="4" spans="2:13" ht="20.25">
      <c r="B4" s="519" t="s">
        <v>19</v>
      </c>
      <c r="C4" s="520"/>
      <c r="D4" s="520"/>
      <c r="E4" s="520"/>
      <c r="F4" s="520"/>
      <c r="G4" s="520"/>
      <c r="H4" s="521"/>
      <c r="I4" s="3"/>
    </row>
    <row r="5" spans="2:13" ht="20.25">
      <c r="B5" s="519" t="s">
        <v>20</v>
      </c>
      <c r="C5" s="520"/>
      <c r="D5" s="520"/>
      <c r="E5" s="520"/>
      <c r="F5" s="520"/>
      <c r="G5" s="520"/>
      <c r="H5" s="521"/>
      <c r="I5" s="3"/>
    </row>
    <row r="6" spans="2:13" ht="21" thickBot="1">
      <c r="B6" s="533" t="s">
        <v>21</v>
      </c>
      <c r="C6" s="534"/>
      <c r="D6" s="534"/>
      <c r="E6" s="534"/>
      <c r="F6" s="534"/>
      <c r="G6" s="534"/>
      <c r="H6" s="535"/>
      <c r="I6" s="3"/>
    </row>
    <row r="7" spans="2:13">
      <c r="B7" s="1"/>
      <c r="C7" s="1"/>
      <c r="D7" s="1"/>
      <c r="E7" s="1"/>
      <c r="F7" s="1"/>
      <c r="G7" s="1"/>
      <c r="H7" s="1"/>
      <c r="I7" s="1"/>
    </row>
    <row r="8" spans="2:13" ht="16.5" thickBot="1">
      <c r="B8" s="1"/>
      <c r="C8" s="1"/>
      <c r="D8" s="1"/>
      <c r="E8" s="1"/>
      <c r="F8" s="1"/>
      <c r="G8" s="1"/>
      <c r="H8" s="176" t="s">
        <v>4</v>
      </c>
      <c r="I8" s="3"/>
    </row>
    <row r="9" spans="2:13" ht="15.75">
      <c r="B9" s="522" t="s">
        <v>6</v>
      </c>
      <c r="C9" s="523"/>
      <c r="D9" s="523" t="s">
        <v>22</v>
      </c>
      <c r="E9" s="526" t="s">
        <v>23</v>
      </c>
      <c r="F9" s="523" t="s">
        <v>24</v>
      </c>
      <c r="G9" s="523"/>
      <c r="H9" s="528" t="s">
        <v>9</v>
      </c>
    </row>
    <row r="10" spans="2:13" ht="16.5" thickBot="1">
      <c r="B10" s="524"/>
      <c r="C10" s="525"/>
      <c r="D10" s="525"/>
      <c r="E10" s="527"/>
      <c r="F10" s="247" t="s">
        <v>7</v>
      </c>
      <c r="G10" s="247" t="s">
        <v>25</v>
      </c>
      <c r="H10" s="529"/>
    </row>
    <row r="11" spans="2:13" ht="30" customHeight="1">
      <c r="B11" s="513" t="s">
        <v>251</v>
      </c>
      <c r="C11" s="514"/>
      <c r="D11" s="363">
        <f>110*94.64</f>
        <v>10410.4</v>
      </c>
      <c r="E11" s="364">
        <v>11000000</v>
      </c>
      <c r="F11" s="365">
        <v>114514</v>
      </c>
      <c r="G11" s="366">
        <f>H11-F11</f>
        <v>0.39999999999417923</v>
      </c>
      <c r="H11" s="367">
        <f>E11*D11/1000000</f>
        <v>114514.4</v>
      </c>
    </row>
    <row r="12" spans="2:13" ht="18.75" thickBot="1">
      <c r="B12" s="515"/>
      <c r="C12" s="516"/>
      <c r="D12" s="423">
        <v>0</v>
      </c>
      <c r="E12" s="369"/>
      <c r="F12" s="368"/>
      <c r="G12" s="366">
        <f>H12-F12</f>
        <v>0</v>
      </c>
      <c r="H12" s="367">
        <f>E12*D12</f>
        <v>0</v>
      </c>
    </row>
    <row r="13" spans="2:13" ht="32.25" customHeight="1" thickBot="1">
      <c r="B13" s="517" t="s">
        <v>26</v>
      </c>
      <c r="C13" s="518"/>
      <c r="D13" s="424">
        <f>SUM(D11:D12)</f>
        <v>10410.4</v>
      </c>
      <c r="E13" s="371" t="s">
        <v>27</v>
      </c>
      <c r="F13" s="370">
        <f>SUM(F11:F12)</f>
        <v>114514</v>
      </c>
      <c r="G13" s="370">
        <f>SUM(G11:G12)</f>
        <v>0.39999999999417923</v>
      </c>
      <c r="H13" s="370">
        <f>SUM(H11:H12)</f>
        <v>114514.4</v>
      </c>
    </row>
    <row r="16" spans="2:13" ht="16.5" thickBot="1">
      <c r="B16" s="512"/>
      <c r="C16" s="512"/>
      <c r="D16" s="512"/>
      <c r="E16" s="512"/>
      <c r="F16" s="512"/>
      <c r="G16" s="512"/>
      <c r="H16" s="512"/>
      <c r="I16" s="3"/>
    </row>
    <row r="17" ht="15.75" thickTop="1"/>
  </sheetData>
  <mergeCells count="15">
    <mergeCell ref="B3:H3"/>
    <mergeCell ref="B5:H5"/>
    <mergeCell ref="B6:H6"/>
    <mergeCell ref="D1:H1"/>
    <mergeCell ref="D2:H2"/>
    <mergeCell ref="B16:H16"/>
    <mergeCell ref="B11:C11"/>
    <mergeCell ref="B12:C12"/>
    <mergeCell ref="B13:C13"/>
    <mergeCell ref="B4:H4"/>
    <mergeCell ref="B9:C10"/>
    <mergeCell ref="D9:D10"/>
    <mergeCell ref="E9:E10"/>
    <mergeCell ref="F9:G9"/>
    <mergeCell ref="H9:H10"/>
  </mergeCells>
  <printOptions horizontalCentered="1"/>
  <pageMargins left="0.70866141732283472" right="0.70866141732283472" top="7.2187500000000002E-2" bottom="0.74803149606299213" header="0.9055118110236221" footer="0.70866141732283472"/>
  <pageSetup paperSize="9" scale="87"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22"/>
  <sheetViews>
    <sheetView rightToLeft="1" view="pageBreakPreview" topLeftCell="A5" zoomScaleNormal="100" zoomScaleSheetLayoutView="100" workbookViewId="0">
      <selection activeCell="D30" sqref="D30"/>
    </sheetView>
  </sheetViews>
  <sheetFormatPr defaultColWidth="16.42578125" defaultRowHeight="15"/>
  <cols>
    <col min="1" max="1" width="36" customWidth="1"/>
    <col min="2" max="2" width="20.140625" customWidth="1"/>
    <col min="3" max="3" width="21.5703125" customWidth="1"/>
    <col min="4" max="4" width="22.140625" customWidth="1"/>
    <col min="5" max="5" width="9.42578125" customWidth="1"/>
  </cols>
  <sheetData>
    <row r="1" spans="1:7" ht="20.25" customHeight="1">
      <c r="B1" s="66" t="str">
        <f>زمین!D1</f>
        <v xml:space="preserve">مطالعات بازار،فنی،مالی و اقتصادی طرح توجیهی
</v>
      </c>
    </row>
    <row r="2" spans="1:7" ht="22.5" customHeight="1">
      <c r="B2" s="171" t="str">
        <f>زمین!D2</f>
        <v>طراحی و تولید دستگاه اندازه گیری سطح مخازن سوخت -شرکت برنا نیروی زاگرس</v>
      </c>
      <c r="C2" s="171"/>
      <c r="D2" s="75"/>
    </row>
    <row r="3" spans="1:7" ht="23.25">
      <c r="A3" s="725" t="s">
        <v>241</v>
      </c>
      <c r="B3" s="725"/>
      <c r="C3" s="725"/>
      <c r="D3" s="725"/>
      <c r="E3" s="3"/>
      <c r="F3" s="3"/>
      <c r="G3" s="3"/>
    </row>
    <row r="4" spans="1:7" ht="15.75" thickBot="1">
      <c r="A4" s="10"/>
      <c r="B4" s="10"/>
      <c r="C4" s="10"/>
      <c r="D4" s="10"/>
    </row>
    <row r="5" spans="1:7" ht="16.5" thickBot="1">
      <c r="A5" s="11" t="s">
        <v>6</v>
      </c>
      <c r="B5" s="12" t="s">
        <v>11</v>
      </c>
      <c r="C5" s="12" t="s">
        <v>25</v>
      </c>
      <c r="D5" s="13" t="s">
        <v>26</v>
      </c>
    </row>
    <row r="6" spans="1:7" ht="15.75">
      <c r="A6" s="344" t="s">
        <v>242</v>
      </c>
      <c r="B6" s="345">
        <f>'جمع سرمایه ثابت'!B23-B8-B9</f>
        <v>398646.6</v>
      </c>
      <c r="C6" s="345">
        <f>D6-B6</f>
        <v>330685.56395999971</v>
      </c>
      <c r="D6" s="346">
        <f>'جمع سرمایه ثابت'!D23-D8-D9</f>
        <v>729332.16395999969</v>
      </c>
    </row>
    <row r="7" spans="1:7" ht="15.75">
      <c r="A7" s="347" t="s">
        <v>243</v>
      </c>
      <c r="B7" s="345">
        <f>'جمع سرمایه ثابت'!B24</f>
        <v>0</v>
      </c>
      <c r="C7" s="345">
        <f>D7-B7</f>
        <v>1200000</v>
      </c>
      <c r="D7" s="348">
        <f>'جمع سرمایه ثابت'!D24</f>
        <v>1200000</v>
      </c>
    </row>
    <row r="8" spans="1:7" ht="15.75">
      <c r="A8" s="347" t="s">
        <v>244</v>
      </c>
      <c r="B8" s="345"/>
      <c r="C8" s="345">
        <f>D8-B8</f>
        <v>0</v>
      </c>
      <c r="D8" s="349">
        <v>0</v>
      </c>
    </row>
    <row r="9" spans="1:7" ht="16.5" thickBot="1">
      <c r="A9" s="350" t="s">
        <v>245</v>
      </c>
      <c r="B9" s="351"/>
      <c r="C9" s="345">
        <f>D9-B9</f>
        <v>0</v>
      </c>
      <c r="D9" s="352"/>
    </row>
    <row r="10" spans="1:7" ht="16.5" thickBot="1">
      <c r="A10" s="11" t="s">
        <v>246</v>
      </c>
      <c r="B10" s="16">
        <f>SUM(B6:B9)</f>
        <v>398646.6</v>
      </c>
      <c r="C10" s="16">
        <f>SUM(C6:C9)</f>
        <v>1530685.5639599997</v>
      </c>
      <c r="D10" s="16">
        <f>SUM(D6:D9)</f>
        <v>1929332.1639599996</v>
      </c>
    </row>
    <row r="11" spans="1:7" ht="15.75">
      <c r="A11" s="344" t="s">
        <v>18</v>
      </c>
      <c r="B11" s="345">
        <f>'جمع سرمایه ثابت'!B8</f>
        <v>114514</v>
      </c>
      <c r="C11" s="345">
        <f>'جمع سرمایه ثابت'!C8</f>
        <v>0.39999999999417923</v>
      </c>
      <c r="D11" s="348">
        <f>'جمع سرمایه ثابت'!D8</f>
        <v>114514.4</v>
      </c>
    </row>
    <row r="12" spans="1:7" ht="15.75">
      <c r="A12" s="347" t="s">
        <v>29</v>
      </c>
      <c r="B12" s="345">
        <f>'جمع سرمایه ثابت'!B9</f>
        <v>9032.6</v>
      </c>
      <c r="C12" s="345">
        <f>'جمع سرمایه ثابت'!C9</f>
        <v>4707.4751999999999</v>
      </c>
      <c r="D12" s="348">
        <f>'جمع سرمایه ثابت'!D9</f>
        <v>13740.075199999999</v>
      </c>
    </row>
    <row r="13" spans="1:7" ht="15.75">
      <c r="A13" s="347" t="s">
        <v>247</v>
      </c>
      <c r="B13" s="345">
        <f>'جمع سرمایه ثابت'!B10</f>
        <v>268740</v>
      </c>
      <c r="C13" s="345">
        <f>'جمع سرمایه ثابت'!C10</f>
        <v>147120</v>
      </c>
      <c r="D13" s="348">
        <f>'جمع سرمایه ثابت'!D10</f>
        <v>415860</v>
      </c>
    </row>
    <row r="14" spans="1:7" ht="15.75">
      <c r="A14" s="347" t="s">
        <v>65</v>
      </c>
      <c r="B14" s="345">
        <f>'جمع سرمایه ثابت'!B11</f>
        <v>0</v>
      </c>
      <c r="C14" s="345">
        <f>'جمع سرمایه ثابت'!C11</f>
        <v>1267081.5</v>
      </c>
      <c r="D14" s="348">
        <f>'جمع سرمایه ثابت'!D11</f>
        <v>1267081.5</v>
      </c>
    </row>
    <row r="15" spans="1:7" ht="15.75">
      <c r="A15" s="347" t="s">
        <v>51</v>
      </c>
      <c r="B15" s="345">
        <f>'جمع سرمایه ثابت'!B12</f>
        <v>2810</v>
      </c>
      <c r="C15" s="345">
        <f>'جمع سرمایه ثابت'!C12</f>
        <v>26700</v>
      </c>
      <c r="D15" s="348">
        <f>'جمع سرمایه ثابت'!D12</f>
        <v>29510</v>
      </c>
    </row>
    <row r="16" spans="1:7" ht="15.75">
      <c r="A16" s="347" t="str">
        <f>'جمع سرمایه ثابت'!A13</f>
        <v>وسائط نقلیه</v>
      </c>
      <c r="B16" s="345">
        <f>'جمع سرمایه ثابت'!B13</f>
        <v>0</v>
      </c>
      <c r="C16" s="345">
        <f>'جمع سرمایه ثابت'!C13</f>
        <v>0</v>
      </c>
      <c r="D16" s="348">
        <f>'جمع سرمایه ثابت'!D13</f>
        <v>0</v>
      </c>
    </row>
    <row r="17" spans="1:4" ht="15.75">
      <c r="A17" s="347" t="str">
        <f>'جمع سرمایه ثابت'!A14</f>
        <v>اثاثه و لوازم اداری</v>
      </c>
      <c r="B17" s="345">
        <f>'جمع سرمایه ثابت'!B14</f>
        <v>0</v>
      </c>
      <c r="C17" s="345">
        <f>'جمع سرمایه ثابت'!C14</f>
        <v>8926.4</v>
      </c>
      <c r="D17" s="348">
        <f>'جمع سرمایه ثابت'!D14</f>
        <v>8926.4</v>
      </c>
    </row>
    <row r="18" spans="1:4" ht="15.75">
      <c r="A18" s="347" t="str">
        <f>'جمع سرمایه ثابت'!A15</f>
        <v>لوازم آزمایشگاهی</v>
      </c>
      <c r="B18" s="345">
        <f>'جمع سرمایه ثابت'!B15</f>
        <v>0</v>
      </c>
      <c r="C18" s="345">
        <f>'جمع سرمایه ثابت'!C15</f>
        <v>0</v>
      </c>
      <c r="D18" s="348">
        <f>'جمع سرمایه ثابت'!D15</f>
        <v>0</v>
      </c>
    </row>
    <row r="19" spans="1:4" ht="15.75">
      <c r="A19" s="347" t="s">
        <v>95</v>
      </c>
      <c r="B19" s="345">
        <f>'جمع سرمایه ثابت'!B16</f>
        <v>3550</v>
      </c>
      <c r="C19" s="345">
        <f>'جمع سرمایه ثابت'!C16</f>
        <v>3260</v>
      </c>
      <c r="D19" s="348">
        <f>'جمع سرمایه ثابت'!D16</f>
        <v>6810</v>
      </c>
    </row>
    <row r="20" spans="1:4" ht="16.5" thickBot="1">
      <c r="A20" s="347" t="s">
        <v>248</v>
      </c>
      <c r="B20" s="345">
        <f>'جمع سرمایه ثابت'!B17</f>
        <v>0</v>
      </c>
      <c r="C20" s="345">
        <f>'جمع سرمایه ثابت'!C17</f>
        <v>72889.788759999996</v>
      </c>
      <c r="D20" s="348">
        <f>'جمع سرمایه ثابت'!D17</f>
        <v>72889.788759999996</v>
      </c>
    </row>
    <row r="21" spans="1:4" ht="15.75" hidden="1" thickBot="1">
      <c r="A21" s="17" t="s">
        <v>14</v>
      </c>
      <c r="B21" s="18">
        <v>0</v>
      </c>
      <c r="C21" s="14">
        <f>D21-B21</f>
        <v>0</v>
      </c>
      <c r="D21" s="15">
        <v>0</v>
      </c>
    </row>
    <row r="22" spans="1:4" ht="16.5" thickBot="1">
      <c r="A22" s="11" t="s">
        <v>249</v>
      </c>
      <c r="B22" s="16">
        <f>SUM(B11:B21)</f>
        <v>398646.6</v>
      </c>
      <c r="C22" s="16">
        <f>SUM(C11:C21)</f>
        <v>1530685.5639599997</v>
      </c>
      <c r="D22" s="16">
        <f>SUM(D11:D21)</f>
        <v>1929332.1639599998</v>
      </c>
    </row>
  </sheetData>
  <mergeCells count="1">
    <mergeCell ref="A3:D3"/>
  </mergeCells>
  <printOptions horizontalCentered="1"/>
  <pageMargins left="0.23622047244094491" right="0.23622047244094491" top="0.74803149606299213" bottom="0.74803149606299213" header="0.31496062992125984" footer="0.31496062992125984"/>
  <pageSetup paperSize="9" scale="9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
  <sheetViews>
    <sheetView rightToLeft="1" view="pageBreakPreview" topLeftCell="B8" zoomScaleNormal="100" zoomScaleSheetLayoutView="100" workbookViewId="0">
      <selection activeCell="G15" sqref="G15"/>
    </sheetView>
  </sheetViews>
  <sheetFormatPr defaultRowHeight="15"/>
  <cols>
    <col min="1" max="1" width="4.7109375" bestFit="1" customWidth="1"/>
    <col min="2" max="2" width="37.7109375" customWidth="1"/>
    <col min="3" max="4" width="9.140625" customWidth="1"/>
    <col min="5" max="5" width="17.5703125" bestFit="1" customWidth="1"/>
    <col min="6" max="6" width="15.28515625" customWidth="1"/>
    <col min="7" max="9" width="12.28515625" customWidth="1"/>
  </cols>
  <sheetData>
    <row r="1" spans="1:9" ht="27.75" customHeight="1">
      <c r="C1" s="498" t="s">
        <v>28</v>
      </c>
      <c r="D1" s="498"/>
      <c r="E1" s="498"/>
      <c r="F1" s="498"/>
    </row>
    <row r="2" spans="1:9" ht="27.75" customHeight="1">
      <c r="C2" s="66" t="str">
        <f>'خلاصه '!C2:E2</f>
        <v>طراحی و تولید دستگاه اندازه گیری سطح مخازن سوخت -شرکت برنا نیروی زاگرس</v>
      </c>
      <c r="D2" s="66"/>
      <c r="E2" s="66"/>
      <c r="F2" s="66"/>
    </row>
    <row r="3" spans="1:9" ht="19.5" customHeight="1" thickBot="1">
      <c r="A3" s="543" t="s">
        <v>29</v>
      </c>
      <c r="B3" s="543"/>
      <c r="C3" s="543"/>
      <c r="D3" s="543"/>
      <c r="E3" s="543"/>
      <c r="F3" s="543"/>
      <c r="G3" s="543"/>
      <c r="H3" s="543"/>
      <c r="I3" s="543"/>
    </row>
    <row r="4" spans="1:9" ht="15.75">
      <c r="A4" s="540" t="s">
        <v>30</v>
      </c>
      <c r="B4" s="541"/>
      <c r="C4" s="541"/>
      <c r="D4" s="541"/>
      <c r="E4" s="541"/>
      <c r="F4" s="541"/>
      <c r="G4" s="541"/>
      <c r="H4" s="541"/>
      <c r="I4" s="542"/>
    </row>
    <row r="5" spans="1:9" ht="16.5" thickBot="1">
      <c r="A5" s="550" t="s">
        <v>31</v>
      </c>
      <c r="B5" s="551"/>
      <c r="C5" s="551"/>
      <c r="D5" s="551"/>
      <c r="E5" s="551"/>
      <c r="F5" s="551"/>
      <c r="G5" s="551"/>
      <c r="H5" s="551"/>
      <c r="I5" s="552"/>
    </row>
    <row r="6" spans="1:9" ht="15.75">
      <c r="A6" s="548" t="s">
        <v>32</v>
      </c>
      <c r="B6" s="548"/>
      <c r="C6" s="548"/>
      <c r="D6" s="548"/>
      <c r="E6" s="548"/>
      <c r="F6" s="548"/>
      <c r="G6" s="548"/>
      <c r="H6" s="548"/>
      <c r="I6" s="548"/>
    </row>
    <row r="7" spans="1:9" ht="193.5" customHeight="1" thickBot="1">
      <c r="A7" s="549"/>
      <c r="B7" s="549"/>
      <c r="C7" s="549"/>
      <c r="D7" s="549"/>
      <c r="E7" s="549"/>
      <c r="F7" s="549"/>
      <c r="G7" s="549"/>
      <c r="H7" s="549"/>
      <c r="I7" s="549"/>
    </row>
    <row r="8" spans="1:9" ht="16.5" thickBot="1">
      <c r="A8" s="558" t="s">
        <v>5</v>
      </c>
      <c r="B8" s="556" t="s">
        <v>33</v>
      </c>
      <c r="C8" s="544" t="s">
        <v>34</v>
      </c>
      <c r="D8" s="544"/>
      <c r="E8" s="544" t="s">
        <v>35</v>
      </c>
      <c r="F8" s="546" t="s">
        <v>36</v>
      </c>
      <c r="G8" s="553" t="s">
        <v>37</v>
      </c>
      <c r="H8" s="554"/>
      <c r="I8" s="555"/>
    </row>
    <row r="9" spans="1:9" ht="16.5" thickBot="1">
      <c r="A9" s="559"/>
      <c r="B9" s="557"/>
      <c r="C9" s="2" t="s">
        <v>7</v>
      </c>
      <c r="D9" s="2" t="s">
        <v>25</v>
      </c>
      <c r="E9" s="545"/>
      <c r="F9" s="547"/>
      <c r="G9" s="2" t="s">
        <v>7</v>
      </c>
      <c r="H9" s="2" t="s">
        <v>25</v>
      </c>
      <c r="I9" s="9" t="s">
        <v>38</v>
      </c>
    </row>
    <row r="10" spans="1:9" ht="15.75" hidden="1">
      <c r="A10" s="34"/>
      <c r="B10" s="32"/>
      <c r="C10" s="33"/>
      <c r="D10" s="31"/>
      <c r="E10" s="31"/>
      <c r="F10" s="31"/>
      <c r="G10" s="31"/>
      <c r="H10" s="31"/>
      <c r="I10" s="36"/>
    </row>
    <row r="11" spans="1:9" hidden="1"/>
    <row r="12" spans="1:9" ht="25.5" customHeight="1">
      <c r="A12" s="235">
        <v>1</v>
      </c>
      <c r="B12" s="251" t="s">
        <v>39</v>
      </c>
      <c r="C12" s="372">
        <f t="shared" ref="C12:C18" si="0">IFERROR(G12/I12,0)</f>
        <v>1</v>
      </c>
      <c r="D12" s="372">
        <f t="shared" ref="D12:D18" si="1">IFERROR(H12/I12,0)</f>
        <v>0</v>
      </c>
      <c r="E12" s="493">
        <v>8044</v>
      </c>
      <c r="F12" s="373">
        <v>0.65</v>
      </c>
      <c r="G12" s="374">
        <v>5228.6000000000004</v>
      </c>
      <c r="H12" s="375">
        <f t="shared" ref="H12:H18" si="2">I12-G12</f>
        <v>0</v>
      </c>
      <c r="I12" s="376">
        <f t="shared" ref="I12:I18" si="3">F12*E12</f>
        <v>5228.6000000000004</v>
      </c>
    </row>
    <row r="13" spans="1:9" ht="25.5" customHeight="1">
      <c r="A13" s="237">
        <v>2</v>
      </c>
      <c r="B13" s="252" t="s">
        <v>256</v>
      </c>
      <c r="C13" s="377">
        <f t="shared" si="0"/>
        <v>0.99992670054730259</v>
      </c>
      <c r="D13" s="377">
        <f t="shared" si="1"/>
        <v>7.32994526973532E-5</v>
      </c>
      <c r="E13" s="378">
        <f>409.28*2.5</f>
        <v>1023.1999999999999</v>
      </c>
      <c r="F13" s="177">
        <v>3.2</v>
      </c>
      <c r="G13" s="265">
        <v>3274</v>
      </c>
      <c r="H13" s="379">
        <f t="shared" si="2"/>
        <v>0.23999999999978172</v>
      </c>
      <c r="I13" s="380">
        <f t="shared" si="3"/>
        <v>3274.24</v>
      </c>
    </row>
    <row r="14" spans="1:9" ht="25.5" customHeight="1">
      <c r="A14" s="237">
        <v>3</v>
      </c>
      <c r="B14" s="253" t="s">
        <v>40</v>
      </c>
      <c r="C14" s="377">
        <f t="shared" si="0"/>
        <v>0.72602739726027399</v>
      </c>
      <c r="D14" s="377">
        <f t="shared" si="1"/>
        <v>0.27397260273972601</v>
      </c>
      <c r="E14" s="378">
        <v>1</v>
      </c>
      <c r="F14" s="177">
        <v>730</v>
      </c>
      <c r="G14" s="265">
        <v>530</v>
      </c>
      <c r="H14" s="379">
        <f t="shared" si="2"/>
        <v>200</v>
      </c>
      <c r="I14" s="380">
        <f>F14*E14</f>
        <v>730</v>
      </c>
    </row>
    <row r="15" spans="1:9" ht="25.5" customHeight="1">
      <c r="A15" s="237">
        <v>4</v>
      </c>
      <c r="B15" s="253" t="s">
        <v>41</v>
      </c>
      <c r="C15" s="377">
        <f t="shared" si="0"/>
        <v>0</v>
      </c>
      <c r="D15" s="377">
        <f t="shared" si="1"/>
        <v>1</v>
      </c>
      <c r="E15" s="378">
        <f>زمین!D13*4%</f>
        <v>416.416</v>
      </c>
      <c r="F15" s="177">
        <v>1.8</v>
      </c>
      <c r="G15" s="265"/>
      <c r="H15" s="379">
        <f t="shared" si="2"/>
        <v>749.54880000000003</v>
      </c>
      <c r="I15" s="380">
        <f>F15*E15</f>
        <v>749.54880000000003</v>
      </c>
    </row>
    <row r="16" spans="1:9" ht="25.5" customHeight="1">
      <c r="A16" s="237">
        <v>5</v>
      </c>
      <c r="B16" s="253" t="s">
        <v>42</v>
      </c>
      <c r="C16" s="377">
        <f t="shared" si="0"/>
        <v>0</v>
      </c>
      <c r="D16" s="377">
        <f t="shared" si="1"/>
        <v>1</v>
      </c>
      <c r="E16" s="378">
        <f>زمین!D13*7%</f>
        <v>728.72800000000007</v>
      </c>
      <c r="F16" s="177">
        <v>2.8</v>
      </c>
      <c r="G16" s="265"/>
      <c r="H16" s="379">
        <f t="shared" si="2"/>
        <v>2040.4384</v>
      </c>
      <c r="I16" s="380">
        <f>F16*E16</f>
        <v>2040.4384</v>
      </c>
    </row>
    <row r="17" spans="1:9" ht="25.5" customHeight="1">
      <c r="A17" s="237">
        <v>6</v>
      </c>
      <c r="B17" s="253" t="s">
        <v>43</v>
      </c>
      <c r="C17" s="377">
        <f t="shared" si="0"/>
        <v>0</v>
      </c>
      <c r="D17" s="377">
        <f t="shared" si="1"/>
        <v>1</v>
      </c>
      <c r="E17" s="378">
        <f>زمین!D13*10%</f>
        <v>1041.04</v>
      </c>
      <c r="F17" s="177">
        <v>1.2</v>
      </c>
      <c r="G17" s="265"/>
      <c r="H17" s="379">
        <f t="shared" si="2"/>
        <v>1249.2479999999998</v>
      </c>
      <c r="I17" s="380">
        <f>F17*E17</f>
        <v>1249.2479999999998</v>
      </c>
    </row>
    <row r="18" spans="1:9" ht="25.5" customHeight="1">
      <c r="A18" s="200">
        <v>7</v>
      </c>
      <c r="B18" s="254" t="s">
        <v>44</v>
      </c>
      <c r="C18" s="381">
        <f t="shared" si="0"/>
        <v>0</v>
      </c>
      <c r="D18" s="381">
        <f t="shared" si="1"/>
        <v>1</v>
      </c>
      <c r="E18" s="382">
        <v>26</v>
      </c>
      <c r="F18" s="199">
        <v>18</v>
      </c>
      <c r="G18" s="383"/>
      <c r="H18" s="384">
        <f t="shared" si="2"/>
        <v>468</v>
      </c>
      <c r="I18" s="385">
        <f t="shared" si="3"/>
        <v>468</v>
      </c>
    </row>
    <row r="19" spans="1:9" ht="24.75" customHeight="1" thickBot="1">
      <c r="A19" s="537" t="s">
        <v>26</v>
      </c>
      <c r="B19" s="538"/>
      <c r="C19" s="538"/>
      <c r="D19" s="538"/>
      <c r="E19" s="538"/>
      <c r="F19" s="539"/>
      <c r="G19" s="249">
        <f>SUM(G12:G18)</f>
        <v>9032.6</v>
      </c>
      <c r="H19" s="249">
        <f>SUM(H12:H18)</f>
        <v>4707.4751999999999</v>
      </c>
      <c r="I19" s="250">
        <f>SUM(I12:I18)</f>
        <v>13740.075199999999</v>
      </c>
    </row>
  </sheetData>
  <mergeCells count="13">
    <mergeCell ref="C1:F1"/>
    <mergeCell ref="A19:F19"/>
    <mergeCell ref="A4:I4"/>
    <mergeCell ref="A3:I3"/>
    <mergeCell ref="C8:D8"/>
    <mergeCell ref="E8:E9"/>
    <mergeCell ref="F8:F9"/>
    <mergeCell ref="A6:I6"/>
    <mergeCell ref="A7:I7"/>
    <mergeCell ref="A5:I5"/>
    <mergeCell ref="G8:I8"/>
    <mergeCell ref="B8:B9"/>
    <mergeCell ref="A8:A9"/>
  </mergeCells>
  <printOptions horizontalCentered="1"/>
  <pageMargins left="0.23622047244094491" right="0.23622047244094491" top="0.74803149606299213" bottom="0.74803149606299213" header="0.31496062992125984" footer="0.31496062992125984"/>
  <pageSetup paperSize="9" scale="87" orientation="landscape" r:id="rId1"/>
  <rowBreaks count="1" manualBreakCount="1">
    <brk id="19" max="8" man="1"/>
  </rowBreaks>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
  <sheetViews>
    <sheetView rightToLeft="1" view="pageBreakPreview" topLeftCell="B4" zoomScale="90" zoomScaleNormal="100" zoomScaleSheetLayoutView="90" workbookViewId="0">
      <selection activeCell="G11" sqref="G11"/>
    </sheetView>
  </sheetViews>
  <sheetFormatPr defaultRowHeight="15"/>
  <cols>
    <col min="1" max="1" width="4.7109375" bestFit="1" customWidth="1"/>
    <col min="2" max="2" width="25.5703125" bestFit="1" customWidth="1"/>
    <col min="3" max="3" width="10.7109375" customWidth="1"/>
    <col min="4" max="4" width="10.140625" customWidth="1"/>
    <col min="5" max="5" width="16" customWidth="1"/>
    <col min="6" max="6" width="18.85546875" bestFit="1" customWidth="1"/>
    <col min="7" max="7" width="14.5703125" customWidth="1"/>
    <col min="8" max="9" width="13.140625" bestFit="1" customWidth="1"/>
    <col min="10" max="10" width="4.7109375" customWidth="1"/>
  </cols>
  <sheetData>
    <row r="1" spans="1:12" ht="21" customHeight="1">
      <c r="C1" s="498" t="s">
        <v>28</v>
      </c>
      <c r="D1" s="498"/>
      <c r="E1" s="498"/>
      <c r="F1" s="498"/>
      <c r="G1" s="498"/>
      <c r="H1" s="498"/>
      <c r="I1" s="498"/>
    </row>
    <row r="2" spans="1:12" ht="20.25" customHeight="1">
      <c r="C2" s="498" t="str">
        <f>محوطه!C2</f>
        <v>طراحی و تولید دستگاه اندازه گیری سطح مخازن سوخت -شرکت برنا نیروی زاگرس</v>
      </c>
      <c r="D2" s="498"/>
      <c r="E2" s="498"/>
      <c r="F2" s="498"/>
      <c r="G2" s="498"/>
      <c r="H2" s="498"/>
      <c r="I2" s="498"/>
    </row>
    <row r="3" spans="1:12" ht="24" thickBot="1">
      <c r="A3" s="567" t="s">
        <v>45</v>
      </c>
      <c r="B3" s="567"/>
      <c r="C3" s="567"/>
      <c r="D3" s="567"/>
      <c r="E3" s="567"/>
      <c r="F3" s="567"/>
      <c r="G3" s="567"/>
      <c r="H3" s="567"/>
      <c r="I3" s="567"/>
    </row>
    <row r="4" spans="1:12" ht="15.75">
      <c r="A4" s="540" t="s">
        <v>46</v>
      </c>
      <c r="B4" s="541"/>
      <c r="C4" s="541"/>
      <c r="D4" s="541"/>
      <c r="E4" s="541"/>
      <c r="F4" s="541"/>
      <c r="G4" s="541"/>
      <c r="H4" s="541"/>
      <c r="I4" s="542"/>
    </row>
    <row r="5" spans="1:12" ht="18.75" thickBot="1">
      <c r="A5" s="568" t="s">
        <v>47</v>
      </c>
      <c r="B5" s="569"/>
      <c r="C5" s="569"/>
      <c r="D5" s="569"/>
      <c r="E5" s="569"/>
      <c r="F5" s="569"/>
      <c r="G5" s="569"/>
      <c r="H5" s="569"/>
      <c r="I5" s="570"/>
    </row>
    <row r="6" spans="1:12" ht="23.25" customHeight="1">
      <c r="A6" s="548" t="s">
        <v>32</v>
      </c>
      <c r="B6" s="548"/>
      <c r="C6" s="548"/>
      <c r="D6" s="548"/>
      <c r="E6" s="548"/>
      <c r="F6" s="548"/>
      <c r="G6" s="548"/>
      <c r="H6" s="548"/>
      <c r="I6" s="548"/>
    </row>
    <row r="7" spans="1:12" ht="90" customHeight="1" thickBot="1">
      <c r="A7" s="4"/>
      <c r="B7" s="4"/>
      <c r="C7" s="4"/>
      <c r="D7" s="4"/>
      <c r="E7" s="4"/>
      <c r="F7" s="4"/>
      <c r="G7" s="4"/>
      <c r="H7" s="3"/>
    </row>
    <row r="8" spans="1:12" ht="18">
      <c r="A8" s="565" t="s">
        <v>5</v>
      </c>
      <c r="B8" s="560" t="s">
        <v>6</v>
      </c>
      <c r="C8" s="560" t="s">
        <v>34</v>
      </c>
      <c r="D8" s="560"/>
      <c r="E8" s="398" t="s">
        <v>48</v>
      </c>
      <c r="F8" s="560" t="s">
        <v>49</v>
      </c>
      <c r="G8" s="560" t="s">
        <v>37</v>
      </c>
      <c r="H8" s="560"/>
      <c r="I8" s="561"/>
    </row>
    <row r="9" spans="1:12" ht="18">
      <c r="A9" s="566"/>
      <c r="B9" s="564"/>
      <c r="C9" s="386" t="s">
        <v>7</v>
      </c>
      <c r="D9" s="386" t="s">
        <v>25</v>
      </c>
      <c r="E9" s="387" t="s">
        <v>50</v>
      </c>
      <c r="F9" s="564"/>
      <c r="G9" s="386" t="s">
        <v>7</v>
      </c>
      <c r="H9" s="386" t="s">
        <v>25</v>
      </c>
      <c r="I9" s="388" t="s">
        <v>38</v>
      </c>
    </row>
    <row r="10" spans="1:12" ht="18">
      <c r="A10" s="389">
        <v>1</v>
      </c>
      <c r="B10" s="390" t="s">
        <v>252</v>
      </c>
      <c r="C10" s="391">
        <f t="shared" ref="C10:C11" si="0">IFERROR(G10/I10,0)</f>
        <v>0.68503937007874016</v>
      </c>
      <c r="D10" s="391">
        <f t="shared" ref="D10:D11" si="1">IFERROR(H10/I10,0)</f>
        <v>0.31496062992125984</v>
      </c>
      <c r="E10" s="392">
        <v>3175</v>
      </c>
      <c r="F10" s="491">
        <v>100000000</v>
      </c>
      <c r="G10" s="491">
        <v>217500</v>
      </c>
      <c r="H10" s="393">
        <f t="shared" ref="H10" si="2">I10-G10</f>
        <v>100000</v>
      </c>
      <c r="I10" s="394">
        <f t="shared" ref="I10:I13" si="3">F10*E10/1000000</f>
        <v>317500</v>
      </c>
    </row>
    <row r="11" spans="1:12" ht="18">
      <c r="A11" s="389">
        <v>2</v>
      </c>
      <c r="B11" s="390" t="s">
        <v>253</v>
      </c>
      <c r="C11" s="391">
        <f t="shared" si="0"/>
        <v>0.5679723502304147</v>
      </c>
      <c r="D11" s="391">
        <f t="shared" si="1"/>
        <v>0.43202764976958524</v>
      </c>
      <c r="E11" s="392">
        <v>434</v>
      </c>
      <c r="F11" s="491">
        <v>160000000</v>
      </c>
      <c r="G11" s="491">
        <v>39440</v>
      </c>
      <c r="H11" s="393">
        <f t="shared" ref="H11" si="4">I11-G11</f>
        <v>30000</v>
      </c>
      <c r="I11" s="394">
        <f t="shared" si="3"/>
        <v>69440</v>
      </c>
    </row>
    <row r="12" spans="1:12" ht="18">
      <c r="A12" s="485">
        <v>3</v>
      </c>
      <c r="B12" s="486" t="s">
        <v>254</v>
      </c>
      <c r="C12" s="487">
        <f>IFERROR(G12/I12,0)</f>
        <v>0.55187637969094927</v>
      </c>
      <c r="D12" s="487">
        <f>IFERROR(H12/I12,0)</f>
        <v>0.44812362030905079</v>
      </c>
      <c r="E12" s="488">
        <v>151</v>
      </c>
      <c r="F12" s="491">
        <v>120000000</v>
      </c>
      <c r="G12" s="492">
        <v>10000</v>
      </c>
      <c r="H12" s="489">
        <f>I12-G12</f>
        <v>8120</v>
      </c>
      <c r="I12" s="394">
        <f t="shared" si="3"/>
        <v>18120</v>
      </c>
      <c r="L12" s="490"/>
    </row>
    <row r="13" spans="1:12" ht="18">
      <c r="A13" s="485">
        <v>4</v>
      </c>
      <c r="B13" s="486" t="s">
        <v>255</v>
      </c>
      <c r="C13" s="487">
        <f>IFERROR(G13/I13,0)</f>
        <v>0.16666666666666666</v>
      </c>
      <c r="D13" s="487">
        <f>IFERROR(H13/I13,0)</f>
        <v>0.83333333333333337</v>
      </c>
      <c r="E13" s="488">
        <v>120</v>
      </c>
      <c r="F13" s="491">
        <v>90000000</v>
      </c>
      <c r="G13" s="492">
        <v>1800</v>
      </c>
      <c r="H13" s="489">
        <f>I13-G13</f>
        <v>9000</v>
      </c>
      <c r="I13" s="394">
        <f t="shared" si="3"/>
        <v>10800</v>
      </c>
    </row>
    <row r="14" spans="1:12" ht="18.75" thickBot="1">
      <c r="A14" s="562" t="s">
        <v>26</v>
      </c>
      <c r="B14" s="563"/>
      <c r="C14" s="395">
        <f>IFERROR(G14/I14,0)</f>
        <v>0.64622709565719227</v>
      </c>
      <c r="D14" s="395">
        <f>IFERROR(H14/I14,0)</f>
        <v>0.35377290434280767</v>
      </c>
      <c r="E14" s="396">
        <f>SUM(E10:E13)</f>
        <v>3880</v>
      </c>
      <c r="F14" s="201" t="s">
        <v>27</v>
      </c>
      <c r="G14" s="396">
        <f>SUM(G10:G13)</f>
        <v>268740</v>
      </c>
      <c r="H14" s="396">
        <f>SUM(H10:H13)</f>
        <v>147120</v>
      </c>
      <c r="I14" s="397">
        <f>SUM(I10:I13)</f>
        <v>415860</v>
      </c>
    </row>
    <row r="15" spans="1:12" ht="180.75" customHeight="1"/>
  </sheetData>
  <mergeCells count="12">
    <mergeCell ref="A3:I3"/>
    <mergeCell ref="A6:I6"/>
    <mergeCell ref="A5:I5"/>
    <mergeCell ref="C1:I1"/>
    <mergeCell ref="C2:I2"/>
    <mergeCell ref="G8:I8"/>
    <mergeCell ref="A14:B14"/>
    <mergeCell ref="F8:F9"/>
    <mergeCell ref="C8:D8"/>
    <mergeCell ref="A4:I4"/>
    <mergeCell ref="A8:A9"/>
    <mergeCell ref="B8:B9"/>
  </mergeCells>
  <printOptions horizontalCentered="1"/>
  <pageMargins left="0.25" right="0.25" top="0.75" bottom="0.75" header="0.3" footer="0.3"/>
  <pageSetup paperSize="9" scale="75"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rightToLeft="1" view="pageBreakPreview" zoomScaleNormal="100" zoomScaleSheetLayoutView="100" workbookViewId="0">
      <selection activeCell="F18" sqref="F18"/>
    </sheetView>
  </sheetViews>
  <sheetFormatPr defaultColWidth="8.7109375" defaultRowHeight="15"/>
  <cols>
    <col min="1" max="1" width="4.7109375" bestFit="1" customWidth="1"/>
    <col min="2" max="2" width="34.28515625" customWidth="1"/>
    <col min="3" max="3" width="10" customWidth="1"/>
    <col min="4" max="4" width="9.42578125" customWidth="1"/>
    <col min="5" max="5" width="5.85546875" bestFit="1" customWidth="1"/>
    <col min="6" max="6" width="8.140625" bestFit="1" customWidth="1"/>
    <col min="7" max="7" width="10.7109375" customWidth="1"/>
    <col min="8" max="8" width="11.5703125" bestFit="1" customWidth="1"/>
    <col min="9" max="9" width="13.28515625" customWidth="1"/>
  </cols>
  <sheetData>
    <row r="1" spans="1:9" ht="21" customHeight="1">
      <c r="C1" s="498" t="str">
        <f>'ماشین آلات'!C1:H1</f>
        <v>مطالعات بازار،فنی،مالی و اقتصادی طرح توجیهی</v>
      </c>
      <c r="D1" s="498"/>
      <c r="E1" s="498"/>
      <c r="F1" s="498"/>
      <c r="G1" s="498"/>
      <c r="H1" s="498"/>
      <c r="I1" s="498"/>
    </row>
    <row r="2" spans="1:9" ht="24.75" customHeight="1" thickBot="1">
      <c r="C2" s="571" t="str">
        <f>'ماشین آلات'!C2:H2</f>
        <v>طراحی و تولید دستگاه اندازه گیری سطح مخازن سوخت -شرکت برنا نیروی زاگرس</v>
      </c>
      <c r="D2" s="571"/>
      <c r="E2" s="571"/>
      <c r="F2" s="571"/>
      <c r="G2" s="571"/>
      <c r="H2" s="571"/>
      <c r="I2" s="571"/>
    </row>
    <row r="3" spans="1:9" ht="15.75">
      <c r="A3" s="574" t="s">
        <v>51</v>
      </c>
      <c r="B3" s="554"/>
      <c r="C3" s="554"/>
      <c r="D3" s="554"/>
      <c r="E3" s="554"/>
      <c r="F3" s="554"/>
      <c r="G3" s="554"/>
      <c r="H3" s="554"/>
      <c r="I3" s="555"/>
    </row>
    <row r="4" spans="1:9" ht="16.5" thickBot="1">
      <c r="A4" s="575" t="s">
        <v>52</v>
      </c>
      <c r="B4" s="576"/>
      <c r="C4" s="576"/>
      <c r="D4" s="576"/>
      <c r="E4" s="576"/>
      <c r="F4" s="576"/>
      <c r="G4" s="576"/>
      <c r="H4" s="576"/>
      <c r="I4" s="577"/>
    </row>
    <row r="5" spans="1:9" ht="15.75">
      <c r="A5" s="578" t="s">
        <v>53</v>
      </c>
      <c r="B5" s="578"/>
      <c r="C5" s="578"/>
      <c r="D5" s="578"/>
      <c r="E5" s="578"/>
      <c r="F5" s="578"/>
      <c r="G5" s="578"/>
      <c r="H5" s="578"/>
      <c r="I5" s="578"/>
    </row>
    <row r="6" spans="1:9" ht="133.5" customHeight="1" thickBot="1"/>
    <row r="7" spans="1:9" ht="16.5" thickBot="1">
      <c r="A7" s="558" t="s">
        <v>5</v>
      </c>
      <c r="B7" s="556" t="s">
        <v>6</v>
      </c>
      <c r="C7" s="581" t="s">
        <v>34</v>
      </c>
      <c r="D7" s="582"/>
      <c r="E7" s="556" t="s">
        <v>54</v>
      </c>
      <c r="F7" s="583" t="s">
        <v>49</v>
      </c>
      <c r="G7" s="553" t="s">
        <v>37</v>
      </c>
      <c r="H7" s="554"/>
      <c r="I7" s="555"/>
    </row>
    <row r="8" spans="1:9" ht="15.75">
      <c r="A8" s="579"/>
      <c r="B8" s="580"/>
      <c r="C8" s="202" t="s">
        <v>7</v>
      </c>
      <c r="D8" s="202" t="s">
        <v>25</v>
      </c>
      <c r="E8" s="580"/>
      <c r="F8" s="584"/>
      <c r="G8" s="202" t="s">
        <v>7</v>
      </c>
      <c r="H8" s="202" t="s">
        <v>25</v>
      </c>
      <c r="I8" s="234" t="s">
        <v>38</v>
      </c>
    </row>
    <row r="9" spans="1:9" ht="35.25" customHeight="1">
      <c r="A9" s="178" t="s">
        <v>55</v>
      </c>
      <c r="B9" s="261" t="s">
        <v>56</v>
      </c>
      <c r="C9" s="238">
        <f>IFERROR(G9/I9,0)</f>
        <v>0.19444444444444445</v>
      </c>
      <c r="D9" s="238">
        <f>IFERROR(H9/I8,0)</f>
        <v>0</v>
      </c>
      <c r="E9" s="179">
        <v>1</v>
      </c>
      <c r="F9" s="239">
        <v>1800</v>
      </c>
      <c r="G9" s="179">
        <v>350</v>
      </c>
      <c r="H9" s="180">
        <f t="shared" ref="H9:H16" si="0">I9-G9</f>
        <v>1450</v>
      </c>
      <c r="I9" s="181">
        <f t="shared" ref="I9:I16" si="1">F9*E9</f>
        <v>1800</v>
      </c>
    </row>
    <row r="10" spans="1:9" ht="35.25" customHeight="1">
      <c r="A10" s="182">
        <v>2</v>
      </c>
      <c r="B10" s="262" t="s">
        <v>57</v>
      </c>
      <c r="C10" s="238">
        <f t="shared" ref="C10:C17" si="2">IFERROR(G10/I10,0)</f>
        <v>0.34375</v>
      </c>
      <c r="D10" s="238">
        <f t="shared" ref="D10:D17" si="3">IFERROR(H10/I9,0)</f>
        <v>2.3333333333333335</v>
      </c>
      <c r="E10" s="183">
        <v>1</v>
      </c>
      <c r="F10" s="240">
        <v>6400</v>
      </c>
      <c r="G10" s="183">
        <v>2200</v>
      </c>
      <c r="H10" s="184">
        <f t="shared" si="0"/>
        <v>4200</v>
      </c>
      <c r="I10" s="185">
        <f t="shared" si="1"/>
        <v>6400</v>
      </c>
    </row>
    <row r="11" spans="1:9" ht="35.25" customHeight="1">
      <c r="A11" s="182">
        <v>3</v>
      </c>
      <c r="B11" s="263" t="s">
        <v>58</v>
      </c>
      <c r="C11" s="238">
        <f t="shared" si="2"/>
        <v>0.30232558139534882</v>
      </c>
      <c r="D11" s="238">
        <f t="shared" si="3"/>
        <v>9.375E-2</v>
      </c>
      <c r="E11" s="183">
        <v>1</v>
      </c>
      <c r="F11" s="240">
        <v>860</v>
      </c>
      <c r="G11" s="183">
        <v>260</v>
      </c>
      <c r="H11" s="184">
        <f t="shared" si="0"/>
        <v>600</v>
      </c>
      <c r="I11" s="185">
        <f t="shared" si="1"/>
        <v>860</v>
      </c>
    </row>
    <row r="12" spans="1:9" ht="35.25" customHeight="1">
      <c r="A12" s="182">
        <v>4</v>
      </c>
      <c r="B12" s="262" t="s">
        <v>59</v>
      </c>
      <c r="C12" s="238">
        <f t="shared" si="2"/>
        <v>0</v>
      </c>
      <c r="D12" s="238">
        <f t="shared" si="3"/>
        <v>1.0465116279069768</v>
      </c>
      <c r="E12" s="183">
        <v>5</v>
      </c>
      <c r="F12" s="240">
        <v>180</v>
      </c>
      <c r="G12" s="183"/>
      <c r="H12" s="184">
        <f t="shared" si="0"/>
        <v>900</v>
      </c>
      <c r="I12" s="185">
        <f t="shared" si="1"/>
        <v>900</v>
      </c>
    </row>
    <row r="13" spans="1:9" ht="35.25" customHeight="1">
      <c r="A13" s="182">
        <v>5</v>
      </c>
      <c r="B13" s="262" t="s">
        <v>60</v>
      </c>
      <c r="C13" s="238">
        <f t="shared" si="2"/>
        <v>0</v>
      </c>
      <c r="D13" s="238">
        <f t="shared" si="3"/>
        <v>11.333333333333334</v>
      </c>
      <c r="E13" s="183">
        <v>6</v>
      </c>
      <c r="F13" s="240">
        <v>1700</v>
      </c>
      <c r="G13" s="183"/>
      <c r="H13" s="184">
        <f t="shared" si="0"/>
        <v>10200</v>
      </c>
      <c r="I13" s="185">
        <f t="shared" si="1"/>
        <v>10200</v>
      </c>
    </row>
    <row r="14" spans="1:9" ht="35.25" customHeight="1">
      <c r="A14" s="182">
        <v>6</v>
      </c>
      <c r="B14" s="262" t="s">
        <v>61</v>
      </c>
      <c r="C14" s="238">
        <f t="shared" si="2"/>
        <v>0</v>
      </c>
      <c r="D14" s="238">
        <f t="shared" si="3"/>
        <v>0.27450980392156865</v>
      </c>
      <c r="E14" s="183">
        <v>1</v>
      </c>
      <c r="F14" s="240">
        <v>2800</v>
      </c>
      <c r="G14" s="183"/>
      <c r="H14" s="184">
        <f t="shared" si="0"/>
        <v>2800</v>
      </c>
      <c r="I14" s="185">
        <f t="shared" si="1"/>
        <v>2800</v>
      </c>
    </row>
    <row r="15" spans="1:9" ht="35.25" customHeight="1">
      <c r="A15" s="182">
        <v>7</v>
      </c>
      <c r="B15" s="262" t="s">
        <v>62</v>
      </c>
      <c r="C15" s="238">
        <f t="shared" si="2"/>
        <v>0</v>
      </c>
      <c r="D15" s="238">
        <f t="shared" si="3"/>
        <v>2.2142857142857144</v>
      </c>
      <c r="E15" s="183">
        <v>1</v>
      </c>
      <c r="F15" s="240">
        <v>6200</v>
      </c>
      <c r="G15" s="183"/>
      <c r="H15" s="184">
        <f t="shared" si="0"/>
        <v>6200</v>
      </c>
      <c r="I15" s="185">
        <f t="shared" si="1"/>
        <v>6200</v>
      </c>
    </row>
    <row r="16" spans="1:9" ht="35.25" customHeight="1">
      <c r="A16" s="182">
        <v>8</v>
      </c>
      <c r="B16" s="262" t="s">
        <v>63</v>
      </c>
      <c r="C16" s="238">
        <f t="shared" si="2"/>
        <v>0</v>
      </c>
      <c r="D16" s="238">
        <f t="shared" si="3"/>
        <v>0</v>
      </c>
      <c r="E16" s="183"/>
      <c r="F16" s="240"/>
      <c r="G16" s="183"/>
      <c r="H16" s="184">
        <f t="shared" si="0"/>
        <v>0</v>
      </c>
      <c r="I16" s="185">
        <f t="shared" si="1"/>
        <v>0</v>
      </c>
    </row>
    <row r="17" spans="1:9" ht="35.25" customHeight="1">
      <c r="A17" s="186">
        <v>9</v>
      </c>
      <c r="B17" s="264" t="s">
        <v>64</v>
      </c>
      <c r="C17" s="238">
        <f t="shared" si="2"/>
        <v>0</v>
      </c>
      <c r="D17" s="238">
        <f t="shared" si="3"/>
        <v>0</v>
      </c>
      <c r="E17" s="187">
        <v>1</v>
      </c>
      <c r="F17" s="241">
        <v>350</v>
      </c>
      <c r="G17" s="187"/>
      <c r="H17" s="188">
        <f t="shared" ref="H17" si="4">I17-G17</f>
        <v>350</v>
      </c>
      <c r="I17" s="189">
        <f t="shared" ref="I17" si="5">F17*E17</f>
        <v>350</v>
      </c>
    </row>
    <row r="18" spans="1:9" ht="18.75" thickBot="1">
      <c r="A18" s="572" t="s">
        <v>26</v>
      </c>
      <c r="B18" s="573"/>
      <c r="C18" s="232">
        <f>IFERROR(G18/I18,0)</f>
        <v>9.5221958658082001E-2</v>
      </c>
      <c r="D18" s="232">
        <f>IFERROR(H18/I18,0)</f>
        <v>0.90477804134191797</v>
      </c>
      <c r="E18" s="166">
        <f>SUM(E9:E17)</f>
        <v>17</v>
      </c>
      <c r="F18" s="233" t="s">
        <v>27</v>
      </c>
      <c r="G18" s="166">
        <f>SUM(G9:G17)</f>
        <v>2810</v>
      </c>
      <c r="H18" s="167">
        <f>SUM(H9:H17)</f>
        <v>26700</v>
      </c>
      <c r="I18" s="168">
        <f>SUM(I9:I17)</f>
        <v>29510</v>
      </c>
    </row>
  </sheetData>
  <mergeCells count="12">
    <mergeCell ref="C1:I1"/>
    <mergeCell ref="C2:I2"/>
    <mergeCell ref="A18:B18"/>
    <mergeCell ref="A3:I3"/>
    <mergeCell ref="A4:I4"/>
    <mergeCell ref="A5:I5"/>
    <mergeCell ref="A7:A8"/>
    <mergeCell ref="B7:B8"/>
    <mergeCell ref="C7:D7"/>
    <mergeCell ref="E7:E8"/>
    <mergeCell ref="F7:F8"/>
    <mergeCell ref="G7:I7"/>
  </mergeCells>
  <printOptions horizontalCentered="1"/>
  <pageMargins left="0.23622047244094491" right="0.23622047244094491" top="0.74803149606299213" bottom="0.74803149606299213" header="0.31496062992125984" footer="0.31496062992125984"/>
  <pageSetup paperSize="9" scale="75" orientation="portrait" r:id="rId1"/>
  <rowBreaks count="1" manualBreakCount="1">
    <brk id="41" max="8" man="1"/>
  </rowBreak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5"/>
  <sheetViews>
    <sheetView rightToLeft="1" view="pageBreakPreview" zoomScaleNormal="100" zoomScaleSheetLayoutView="100" workbookViewId="0">
      <selection activeCell="M18" sqref="M18"/>
    </sheetView>
  </sheetViews>
  <sheetFormatPr defaultColWidth="9" defaultRowHeight="15"/>
  <cols>
    <col min="1" max="1" width="4.7109375" style="205" bestFit="1" customWidth="1"/>
    <col min="2" max="2" width="33.42578125" style="425" customWidth="1"/>
    <col min="3" max="3" width="10" style="205" customWidth="1"/>
    <col min="4" max="4" width="9.7109375" style="205" customWidth="1"/>
    <col min="5" max="5" width="5.85546875" style="205" customWidth="1"/>
    <col min="6" max="6" width="13.5703125" style="205" bestFit="1" customWidth="1"/>
    <col min="7" max="7" width="15.5703125" style="205" customWidth="1"/>
    <col min="8" max="8" width="10.42578125" style="205" customWidth="1"/>
    <col min="9" max="9" width="12.85546875" style="205" bestFit="1" customWidth="1"/>
    <col min="10" max="10" width="16.7109375" style="205" customWidth="1"/>
    <col min="11" max="16384" width="9" style="205"/>
  </cols>
  <sheetData>
    <row r="1" spans="1:10" ht="15.75">
      <c r="C1" s="590" t="str">
        <f>ساختمان!C1</f>
        <v>مطالعات بازار،فنی،مالی و اقتصادی طرح توجیهی</v>
      </c>
      <c r="D1" s="590"/>
      <c r="E1" s="590"/>
      <c r="F1" s="590"/>
      <c r="G1" s="590"/>
      <c r="H1" s="590"/>
    </row>
    <row r="2" spans="1:10" ht="32.25" customHeight="1" thickBot="1">
      <c r="C2" s="258" t="str">
        <f>ساختمان!C2</f>
        <v>طراحی و تولید دستگاه اندازه گیری سطح مخازن سوخت -شرکت برنا نیروی زاگرس</v>
      </c>
      <c r="D2" s="258"/>
      <c r="E2" s="258"/>
      <c r="F2" s="258"/>
      <c r="G2" s="258"/>
      <c r="H2" s="258"/>
      <c r="I2" s="258"/>
    </row>
    <row r="3" spans="1:10" ht="15.75">
      <c r="A3" s="574" t="s">
        <v>65</v>
      </c>
      <c r="B3" s="554"/>
      <c r="C3" s="554"/>
      <c r="D3" s="554"/>
      <c r="E3" s="554"/>
      <c r="F3" s="554"/>
      <c r="G3" s="554"/>
      <c r="H3" s="554"/>
      <c r="I3" s="554"/>
      <c r="J3" s="555"/>
    </row>
    <row r="4" spans="1:10" ht="17.25" customHeight="1">
      <c r="A4" s="575" t="s">
        <v>52</v>
      </c>
      <c r="B4" s="576"/>
      <c r="C4" s="576"/>
      <c r="D4" s="576"/>
      <c r="E4" s="576"/>
      <c r="F4" s="576"/>
      <c r="G4" s="576"/>
      <c r="H4" s="576"/>
      <c r="I4" s="576"/>
      <c r="J4" s="577"/>
    </row>
    <row r="5" spans="1:10" ht="15.75">
      <c r="A5" s="595" t="s">
        <v>66</v>
      </c>
      <c r="B5" s="596"/>
      <c r="C5" s="596"/>
      <c r="D5" s="596"/>
      <c r="E5" s="596"/>
      <c r="F5" s="596"/>
      <c r="G5" s="596"/>
      <c r="H5" s="596"/>
      <c r="I5" s="596"/>
      <c r="J5" s="597"/>
    </row>
    <row r="6" spans="1:10" ht="9.75" customHeight="1"/>
    <row r="7" spans="1:10" ht="15.75">
      <c r="A7" s="598" t="s">
        <v>5</v>
      </c>
      <c r="B7" s="598" t="s">
        <v>6</v>
      </c>
      <c r="C7" s="593" t="s">
        <v>34</v>
      </c>
      <c r="D7" s="594"/>
      <c r="E7" s="598" t="s">
        <v>54</v>
      </c>
      <c r="F7" s="482"/>
      <c r="G7" s="599" t="s">
        <v>67</v>
      </c>
      <c r="H7" s="593" t="s">
        <v>37</v>
      </c>
      <c r="I7" s="594"/>
      <c r="J7" s="591" t="s">
        <v>68</v>
      </c>
    </row>
    <row r="8" spans="1:10" ht="15.75">
      <c r="A8" s="580"/>
      <c r="B8" s="580"/>
      <c r="C8" s="259" t="s">
        <v>7</v>
      </c>
      <c r="D8" s="259" t="s">
        <v>25</v>
      </c>
      <c r="E8" s="580"/>
      <c r="F8" s="480"/>
      <c r="G8" s="600"/>
      <c r="H8" s="259" t="s">
        <v>7</v>
      </c>
      <c r="I8" s="202" t="s">
        <v>25</v>
      </c>
      <c r="J8" s="592"/>
    </row>
    <row r="9" spans="1:10" s="21" customFormat="1" ht="40.5" customHeight="1">
      <c r="A9" s="255">
        <v>1</v>
      </c>
      <c r="B9" s="432" t="s">
        <v>257</v>
      </c>
      <c r="C9" s="433">
        <f t="shared" ref="C9:C18" si="0">H9/J9</f>
        <v>0</v>
      </c>
      <c r="D9" s="433">
        <f t="shared" ref="D9:D19" si="1">I9/J9</f>
        <v>1</v>
      </c>
      <c r="E9" s="256">
        <v>1</v>
      </c>
      <c r="F9" s="256">
        <v>80000</v>
      </c>
      <c r="G9" s="256">
        <f>780000*F9</f>
        <v>62400000000</v>
      </c>
      <c r="H9" s="256">
        <v>0</v>
      </c>
      <c r="I9" s="257">
        <f t="shared" ref="I9:I18" si="2">J9-H9</f>
        <v>62400</v>
      </c>
      <c r="J9" s="218">
        <f t="shared" ref="J9:J18" si="3">G9*E9/1000000</f>
        <v>62400</v>
      </c>
    </row>
    <row r="10" spans="1:10" s="21" customFormat="1" ht="36" customHeight="1">
      <c r="A10" s="255">
        <v>2</v>
      </c>
      <c r="B10" s="432" t="s">
        <v>259</v>
      </c>
      <c r="C10" s="433">
        <f t="shared" si="0"/>
        <v>0</v>
      </c>
      <c r="D10" s="433">
        <f t="shared" si="1"/>
        <v>1</v>
      </c>
      <c r="E10" s="256">
        <v>1</v>
      </c>
      <c r="F10" s="256">
        <v>247000</v>
      </c>
      <c r="G10" s="256">
        <f t="shared" ref="G10:G16" si="4">780000*F10</f>
        <v>192660000000</v>
      </c>
      <c r="H10" s="256">
        <v>0</v>
      </c>
      <c r="I10" s="257">
        <f t="shared" si="2"/>
        <v>192660</v>
      </c>
      <c r="J10" s="218">
        <f t="shared" si="3"/>
        <v>192660</v>
      </c>
    </row>
    <row r="11" spans="1:10" s="21" customFormat="1" ht="34.5" customHeight="1">
      <c r="A11" s="255">
        <v>3</v>
      </c>
      <c r="B11" s="432" t="s">
        <v>260</v>
      </c>
      <c r="C11" s="433">
        <f t="shared" si="0"/>
        <v>0</v>
      </c>
      <c r="D11" s="433">
        <f t="shared" si="1"/>
        <v>1</v>
      </c>
      <c r="E11" s="256">
        <v>1</v>
      </c>
      <c r="F11" s="256">
        <v>15000</v>
      </c>
      <c r="G11" s="256">
        <f t="shared" si="4"/>
        <v>11700000000</v>
      </c>
      <c r="H11" s="256">
        <v>0</v>
      </c>
      <c r="I11" s="257">
        <f t="shared" si="2"/>
        <v>11700</v>
      </c>
      <c r="J11" s="218">
        <f t="shared" si="3"/>
        <v>11700</v>
      </c>
    </row>
    <row r="12" spans="1:10" s="21" customFormat="1" ht="34.5" customHeight="1">
      <c r="A12" s="255">
        <v>4</v>
      </c>
      <c r="B12" s="432" t="s">
        <v>261</v>
      </c>
      <c r="C12" s="433">
        <f t="shared" si="0"/>
        <v>0</v>
      </c>
      <c r="D12" s="433">
        <f t="shared" si="1"/>
        <v>1</v>
      </c>
      <c r="E12" s="256">
        <v>1</v>
      </c>
      <c r="F12" s="256">
        <v>30000</v>
      </c>
      <c r="G12" s="256">
        <f t="shared" si="4"/>
        <v>23400000000</v>
      </c>
      <c r="H12" s="256">
        <v>0</v>
      </c>
      <c r="I12" s="257">
        <f t="shared" si="2"/>
        <v>23400</v>
      </c>
      <c r="J12" s="218">
        <f t="shared" si="3"/>
        <v>23400</v>
      </c>
    </row>
    <row r="13" spans="1:10" s="21" customFormat="1" ht="42.75" customHeight="1">
      <c r="A13" s="255">
        <v>5</v>
      </c>
      <c r="B13" s="432" t="s">
        <v>262</v>
      </c>
      <c r="C13" s="433">
        <f t="shared" si="0"/>
        <v>0</v>
      </c>
      <c r="D13" s="433">
        <f t="shared" si="1"/>
        <v>1</v>
      </c>
      <c r="E13" s="256">
        <v>1</v>
      </c>
      <c r="F13" s="256">
        <v>315000</v>
      </c>
      <c r="G13" s="256">
        <f t="shared" si="4"/>
        <v>245700000000</v>
      </c>
      <c r="H13" s="256">
        <v>0</v>
      </c>
      <c r="I13" s="257">
        <f t="shared" si="2"/>
        <v>245700</v>
      </c>
      <c r="J13" s="218">
        <f t="shared" si="3"/>
        <v>245700</v>
      </c>
    </row>
    <row r="14" spans="1:10" ht="15.75">
      <c r="A14" s="255">
        <v>6</v>
      </c>
      <c r="B14" s="432" t="s">
        <v>263</v>
      </c>
      <c r="C14" s="433">
        <f t="shared" si="0"/>
        <v>0</v>
      </c>
      <c r="D14" s="433">
        <f t="shared" si="1"/>
        <v>1</v>
      </c>
      <c r="E14" s="256">
        <v>1</v>
      </c>
      <c r="F14" s="256">
        <v>275000</v>
      </c>
      <c r="G14" s="256">
        <f t="shared" si="4"/>
        <v>214500000000</v>
      </c>
      <c r="H14" s="256">
        <v>0</v>
      </c>
      <c r="I14" s="257">
        <f t="shared" si="2"/>
        <v>214500</v>
      </c>
      <c r="J14" s="218">
        <f t="shared" si="3"/>
        <v>214500</v>
      </c>
    </row>
    <row r="15" spans="1:10" ht="15.75">
      <c r="A15" s="494"/>
      <c r="B15" s="432" t="s">
        <v>264</v>
      </c>
      <c r="C15" s="433">
        <f t="shared" si="0"/>
        <v>0</v>
      </c>
      <c r="D15" s="433">
        <f t="shared" si="1"/>
        <v>1</v>
      </c>
      <c r="E15" s="256">
        <v>1</v>
      </c>
      <c r="F15" s="256">
        <v>435000</v>
      </c>
      <c r="G15" s="256">
        <f t="shared" si="4"/>
        <v>339300000000</v>
      </c>
      <c r="H15" s="256">
        <v>0</v>
      </c>
      <c r="I15" s="257">
        <f t="shared" si="2"/>
        <v>339300</v>
      </c>
      <c r="J15" s="218">
        <f t="shared" si="3"/>
        <v>339300</v>
      </c>
    </row>
    <row r="16" spans="1:10" ht="15.75">
      <c r="A16" s="494"/>
      <c r="B16" s="432" t="s">
        <v>265</v>
      </c>
      <c r="C16" s="433">
        <f t="shared" si="0"/>
        <v>0</v>
      </c>
      <c r="D16" s="433">
        <f t="shared" si="1"/>
        <v>1</v>
      </c>
      <c r="E16" s="256">
        <v>2</v>
      </c>
      <c r="F16" s="256">
        <v>5000</v>
      </c>
      <c r="G16" s="256">
        <f t="shared" si="4"/>
        <v>3900000000</v>
      </c>
      <c r="H16" s="256">
        <v>0</v>
      </c>
      <c r="I16" s="257">
        <f t="shared" si="2"/>
        <v>7800</v>
      </c>
      <c r="J16" s="218">
        <f t="shared" si="3"/>
        <v>7800</v>
      </c>
    </row>
    <row r="17" spans="1:10" ht="15.75">
      <c r="A17" s="494"/>
      <c r="B17" s="432" t="s">
        <v>266</v>
      </c>
      <c r="C17" s="433">
        <f t="shared" si="0"/>
        <v>0</v>
      </c>
      <c r="D17" s="433">
        <f t="shared" si="1"/>
        <v>1</v>
      </c>
      <c r="E17" s="256">
        <v>30</v>
      </c>
      <c r="F17" s="256"/>
      <c r="G17" s="256">
        <v>80000000</v>
      </c>
      <c r="H17" s="256">
        <v>0</v>
      </c>
      <c r="I17" s="257">
        <f t="shared" si="2"/>
        <v>2400</v>
      </c>
      <c r="J17" s="218">
        <f t="shared" si="3"/>
        <v>2400</v>
      </c>
    </row>
    <row r="18" spans="1:10" ht="15.75">
      <c r="A18" s="494"/>
      <c r="B18" s="432" t="s">
        <v>267</v>
      </c>
      <c r="C18" s="433">
        <f t="shared" si="0"/>
        <v>0</v>
      </c>
      <c r="D18" s="433">
        <f t="shared" si="1"/>
        <v>1</v>
      </c>
      <c r="E18" s="256">
        <v>30</v>
      </c>
      <c r="F18" s="256"/>
      <c r="G18" s="256">
        <v>65000000</v>
      </c>
      <c r="H18" s="256">
        <v>0</v>
      </c>
      <c r="I18" s="257">
        <f t="shared" si="2"/>
        <v>1950</v>
      </c>
      <c r="J18" s="218">
        <f t="shared" si="3"/>
        <v>1950</v>
      </c>
    </row>
    <row r="19" spans="1:10" ht="15.75">
      <c r="A19" s="494"/>
      <c r="B19" s="432" t="s">
        <v>279</v>
      </c>
      <c r="C19" s="433"/>
      <c r="D19" s="433">
        <f t="shared" si="1"/>
        <v>1</v>
      </c>
      <c r="E19" s="256"/>
      <c r="F19" s="256"/>
      <c r="G19" s="256"/>
      <c r="H19" s="256"/>
      <c r="I19" s="257">
        <f>15%*SUM(I9:I18)</f>
        <v>165271.5</v>
      </c>
      <c r="J19" s="260">
        <f>I19</f>
        <v>165271.5</v>
      </c>
    </row>
    <row r="20" spans="1:10" ht="24" customHeight="1">
      <c r="A20" s="585" t="s">
        <v>26</v>
      </c>
      <c r="B20" s="586"/>
      <c r="C20" s="434">
        <f>H20/J20</f>
        <v>0</v>
      </c>
      <c r="D20" s="434">
        <f>I20/J20</f>
        <v>1</v>
      </c>
      <c r="E20" s="435">
        <f>SUM(E9:E19)</f>
        <v>69</v>
      </c>
      <c r="F20" s="435"/>
      <c r="G20" s="435" t="s">
        <v>27</v>
      </c>
      <c r="H20" s="435">
        <f>SUM(H9:H19)</f>
        <v>0</v>
      </c>
      <c r="I20" s="435">
        <f>SUM(I9:I19)</f>
        <v>1267081.5</v>
      </c>
      <c r="J20" s="436">
        <f>SUM(J9:J19)</f>
        <v>1267081.5</v>
      </c>
    </row>
    <row r="21" spans="1:10" ht="24" customHeight="1">
      <c r="A21" s="427"/>
      <c r="B21" s="427"/>
      <c r="C21" s="428"/>
      <c r="D21" s="428"/>
      <c r="E21" s="429"/>
      <c r="F21" s="429"/>
      <c r="G21" s="427"/>
      <c r="H21" s="430"/>
      <c r="I21" s="431"/>
      <c r="J21" s="431"/>
    </row>
    <row r="22" spans="1:10" ht="24" customHeight="1">
      <c r="A22" s="587" t="s">
        <v>70</v>
      </c>
      <c r="B22" s="587"/>
      <c r="C22" s="587"/>
      <c r="D22" s="587"/>
      <c r="E22" s="587"/>
      <c r="F22" s="587"/>
      <c r="G22" s="587"/>
      <c r="H22" s="587"/>
      <c r="I22" s="587"/>
      <c r="J22" s="587"/>
    </row>
    <row r="23" spans="1:10" ht="24" customHeight="1">
      <c r="A23" s="587" t="s">
        <v>5</v>
      </c>
      <c r="B23" s="587" t="s">
        <v>6</v>
      </c>
      <c r="C23" s="587" t="s">
        <v>34</v>
      </c>
      <c r="D23" s="587"/>
      <c r="E23" s="587" t="s">
        <v>54</v>
      </c>
      <c r="F23" s="481"/>
      <c r="G23" s="588" t="s">
        <v>67</v>
      </c>
      <c r="H23" s="587" t="s">
        <v>37</v>
      </c>
      <c r="I23" s="587"/>
      <c r="J23" s="589" t="s">
        <v>68</v>
      </c>
    </row>
    <row r="24" spans="1:10" ht="24" customHeight="1">
      <c r="A24" s="587"/>
      <c r="B24" s="587"/>
      <c r="C24" s="437" t="s">
        <v>7</v>
      </c>
      <c r="D24" s="437" t="s">
        <v>25</v>
      </c>
      <c r="E24" s="587"/>
      <c r="F24" s="481"/>
      <c r="G24" s="588"/>
      <c r="H24" s="437" t="s">
        <v>7</v>
      </c>
      <c r="I24" s="207" t="s">
        <v>25</v>
      </c>
      <c r="J24" s="589"/>
    </row>
    <row r="25" spans="1:10" ht="24" customHeight="1">
      <c r="A25" s="457">
        <v>4</v>
      </c>
      <c r="B25" s="456" t="s">
        <v>268</v>
      </c>
      <c r="C25" s="433">
        <f t="shared" ref="C25" si="5">H25/J25</f>
        <v>0</v>
      </c>
      <c r="D25" s="433">
        <f t="shared" ref="D25" si="6">I25/J25</f>
        <v>1</v>
      </c>
      <c r="E25" s="4">
        <v>4</v>
      </c>
      <c r="F25" s="483"/>
      <c r="G25" s="256">
        <v>550000000</v>
      </c>
      <c r="H25" s="454"/>
      <c r="I25" s="257">
        <f t="shared" ref="I25" si="7">J25-H25</f>
        <v>2200</v>
      </c>
      <c r="J25" s="458">
        <f t="shared" ref="J25" si="8">G25*E25/1000000</f>
        <v>2200</v>
      </c>
    </row>
    <row r="26" spans="1:10" ht="24" customHeight="1">
      <c r="A26" s="457">
        <v>6</v>
      </c>
      <c r="B26" s="456" t="s">
        <v>71</v>
      </c>
      <c r="C26" s="433">
        <f t="shared" ref="C26" si="9">H26/J26</f>
        <v>0</v>
      </c>
      <c r="D26" s="433">
        <f t="shared" ref="D26" si="10">I26/J26</f>
        <v>1</v>
      </c>
      <c r="E26" s="4">
        <v>1</v>
      </c>
      <c r="F26" s="483"/>
      <c r="G26" s="256">
        <v>60000000</v>
      </c>
      <c r="H26" s="454"/>
      <c r="I26" s="257">
        <f t="shared" ref="I26" si="11">J26-H26</f>
        <v>60</v>
      </c>
      <c r="J26" s="458">
        <f t="shared" ref="J26" si="12">G26*E26/1000000</f>
        <v>60</v>
      </c>
    </row>
    <row r="27" spans="1:10" ht="42" customHeight="1">
      <c r="A27" s="457">
        <v>7</v>
      </c>
      <c r="B27" s="456" t="s">
        <v>72</v>
      </c>
      <c r="C27" s="433">
        <f t="shared" ref="C27:C30" si="13">H27/J27</f>
        <v>0</v>
      </c>
      <c r="D27" s="433">
        <f t="shared" ref="D27:D30" si="14">I27/J27</f>
        <v>1</v>
      </c>
      <c r="E27" s="256">
        <v>4</v>
      </c>
      <c r="F27" s="256"/>
      <c r="G27" s="256">
        <v>666600000</v>
      </c>
      <c r="H27" s="256"/>
      <c r="I27" s="257">
        <f t="shared" ref="I27:I30" si="15">J27-H27</f>
        <v>2666.4</v>
      </c>
      <c r="J27" s="458">
        <f t="shared" ref="J27:J30" si="16">G27*E27/1000000</f>
        <v>2666.4</v>
      </c>
    </row>
    <row r="28" spans="1:10" ht="24" customHeight="1">
      <c r="A28" s="457">
        <v>8</v>
      </c>
      <c r="B28" s="456" t="s">
        <v>69</v>
      </c>
      <c r="C28" s="433">
        <f t="shared" si="13"/>
        <v>0</v>
      </c>
      <c r="D28" s="433">
        <f t="shared" si="14"/>
        <v>1</v>
      </c>
      <c r="E28" s="256">
        <v>9</v>
      </c>
      <c r="F28" s="256"/>
      <c r="G28" s="256">
        <v>150000000</v>
      </c>
      <c r="H28" s="256"/>
      <c r="I28" s="257">
        <f t="shared" si="15"/>
        <v>1350</v>
      </c>
      <c r="J28" s="458">
        <f t="shared" si="16"/>
        <v>1350</v>
      </c>
    </row>
    <row r="29" spans="1:10" s="21" customFormat="1" ht="40.5" customHeight="1">
      <c r="A29" s="457">
        <v>9</v>
      </c>
      <c r="B29" s="453" t="s">
        <v>74</v>
      </c>
      <c r="C29" s="433">
        <f t="shared" si="13"/>
        <v>0</v>
      </c>
      <c r="D29" s="433">
        <f t="shared" si="14"/>
        <v>1</v>
      </c>
      <c r="E29" s="256">
        <v>12</v>
      </c>
      <c r="F29" s="256"/>
      <c r="G29" s="256">
        <v>100000000</v>
      </c>
      <c r="H29" s="256"/>
      <c r="I29" s="257">
        <f t="shared" si="15"/>
        <v>1200</v>
      </c>
      <c r="J29" s="458">
        <f t="shared" si="16"/>
        <v>1200</v>
      </c>
    </row>
    <row r="30" spans="1:10" s="21" customFormat="1" ht="24.75" customHeight="1">
      <c r="A30" s="457">
        <v>12</v>
      </c>
      <c r="B30" s="452" t="s">
        <v>75</v>
      </c>
      <c r="C30" s="433">
        <f t="shared" si="13"/>
        <v>0</v>
      </c>
      <c r="D30" s="433">
        <f t="shared" si="14"/>
        <v>1</v>
      </c>
      <c r="E30" s="256">
        <v>3</v>
      </c>
      <c r="F30" s="256"/>
      <c r="G30" s="256">
        <v>350000000</v>
      </c>
      <c r="H30" s="256"/>
      <c r="I30" s="257">
        <f t="shared" si="15"/>
        <v>1050</v>
      </c>
      <c r="J30" s="458">
        <f t="shared" si="16"/>
        <v>1050</v>
      </c>
    </row>
    <row r="31" spans="1:10" s="21" customFormat="1" ht="24.75" customHeight="1">
      <c r="A31" s="457">
        <v>13</v>
      </c>
      <c r="B31" s="456" t="s">
        <v>73</v>
      </c>
      <c r="C31" s="433">
        <f t="shared" ref="C31" si="17">H31/J31</f>
        <v>0</v>
      </c>
      <c r="D31" s="433">
        <f t="shared" ref="D31" si="18">I31/J31</f>
        <v>1</v>
      </c>
      <c r="E31" s="256">
        <v>8</v>
      </c>
      <c r="F31" s="256"/>
      <c r="G31" s="256">
        <v>50000000</v>
      </c>
      <c r="H31" s="256"/>
      <c r="I31" s="257">
        <f t="shared" ref="I31" si="19">J31-H31</f>
        <v>400</v>
      </c>
      <c r="J31" s="458">
        <f t="shared" ref="J31" si="20">G31*E31/1000000</f>
        <v>400</v>
      </c>
    </row>
    <row r="32" spans="1:10" s="21" customFormat="1" ht="24.75" customHeight="1">
      <c r="A32" s="585" t="s">
        <v>26</v>
      </c>
      <c r="B32" s="586"/>
      <c r="C32" s="434">
        <f>H32/J32</f>
        <v>0</v>
      </c>
      <c r="D32" s="434">
        <f>I32/J32</f>
        <v>1</v>
      </c>
      <c r="E32" s="435">
        <f>SUM(E25:E31)</f>
        <v>41</v>
      </c>
      <c r="F32" s="435"/>
      <c r="G32" s="435" t="s">
        <v>27</v>
      </c>
      <c r="H32" s="435">
        <f>SUM(H25:H31)</f>
        <v>0</v>
      </c>
      <c r="I32" s="435">
        <f>SUM(I25:I31)</f>
        <v>8926.4</v>
      </c>
      <c r="J32" s="436">
        <f>SUM(J25:J31)</f>
        <v>8926.4</v>
      </c>
    </row>
    <row r="33" spans="1:10" s="21" customFormat="1" ht="18" customHeight="1">
      <c r="A33" s="438"/>
      <c r="B33" s="439"/>
      <c r="C33" s="440"/>
      <c r="D33" s="440"/>
      <c r="E33" s="441"/>
      <c r="F33" s="441"/>
      <c r="G33" s="441"/>
      <c r="H33" s="441"/>
      <c r="I33" s="441"/>
      <c r="J33" s="442"/>
    </row>
    <row r="34" spans="1:10" s="21" customFormat="1" ht="24.75" customHeight="1">
      <c r="A34" s="587" t="s">
        <v>76</v>
      </c>
      <c r="B34" s="587"/>
      <c r="C34" s="587"/>
      <c r="D34" s="587"/>
      <c r="E34" s="587"/>
      <c r="F34" s="587"/>
      <c r="G34" s="587"/>
      <c r="H34" s="587"/>
      <c r="I34" s="587"/>
      <c r="J34" s="587"/>
    </row>
    <row r="35" spans="1:10" s="21" customFormat="1" ht="24.75" customHeight="1">
      <c r="A35" s="587" t="s">
        <v>5</v>
      </c>
      <c r="B35" s="587" t="s">
        <v>6</v>
      </c>
      <c r="C35" s="587" t="s">
        <v>34</v>
      </c>
      <c r="D35" s="587"/>
      <c r="E35" s="587" t="s">
        <v>54</v>
      </c>
      <c r="F35" s="588" t="s">
        <v>258</v>
      </c>
      <c r="G35" s="588" t="s">
        <v>67</v>
      </c>
      <c r="H35" s="587" t="s">
        <v>37</v>
      </c>
      <c r="I35" s="587"/>
      <c r="J35" s="589" t="s">
        <v>68</v>
      </c>
    </row>
    <row r="36" spans="1:10" s="21" customFormat="1" ht="24.75" customHeight="1">
      <c r="A36" s="587"/>
      <c r="B36" s="587"/>
      <c r="C36" s="437" t="s">
        <v>7</v>
      </c>
      <c r="D36" s="437" t="s">
        <v>25</v>
      </c>
      <c r="E36" s="587"/>
      <c r="F36" s="588"/>
      <c r="G36" s="588"/>
      <c r="H36" s="437" t="s">
        <v>7</v>
      </c>
      <c r="I36" s="207" t="s">
        <v>25</v>
      </c>
      <c r="J36" s="589"/>
    </row>
    <row r="37" spans="1:10" s="21" customFormat="1" ht="40.5" customHeight="1">
      <c r="A37" s="255">
        <v>1</v>
      </c>
      <c r="B37" s="432"/>
      <c r="C37" s="433"/>
      <c r="D37" s="433"/>
      <c r="E37" s="256"/>
      <c r="F37" s="256"/>
      <c r="G37" s="256"/>
      <c r="H37" s="256">
        <v>0</v>
      </c>
      <c r="I37" s="257">
        <f t="shared" ref="I37:I39" si="21">J37-H37</f>
        <v>0</v>
      </c>
      <c r="J37" s="218">
        <f t="shared" ref="J37:J39" si="22">G37*E37/1000000</f>
        <v>0</v>
      </c>
    </row>
    <row r="38" spans="1:10" s="21" customFormat="1" ht="36" customHeight="1">
      <c r="A38" s="255">
        <v>2</v>
      </c>
      <c r="B38" s="432"/>
      <c r="C38" s="433"/>
      <c r="D38" s="433"/>
      <c r="E38" s="256"/>
      <c r="F38" s="256"/>
      <c r="G38" s="256"/>
      <c r="H38" s="256">
        <v>0</v>
      </c>
      <c r="I38" s="257">
        <f t="shared" si="21"/>
        <v>0</v>
      </c>
      <c r="J38" s="218">
        <f t="shared" si="22"/>
        <v>0</v>
      </c>
    </row>
    <row r="39" spans="1:10" s="21" customFormat="1" ht="34.5" customHeight="1">
      <c r="A39" s="255">
        <v>3</v>
      </c>
      <c r="B39" s="432"/>
      <c r="C39" s="433"/>
      <c r="D39" s="433"/>
      <c r="E39" s="256"/>
      <c r="F39" s="256"/>
      <c r="G39" s="256"/>
      <c r="H39" s="256">
        <v>0</v>
      </c>
      <c r="I39" s="257">
        <f t="shared" si="21"/>
        <v>0</v>
      </c>
      <c r="J39" s="218">
        <f t="shared" si="22"/>
        <v>0</v>
      </c>
    </row>
    <row r="40" spans="1:10" ht="18">
      <c r="A40" s="585" t="s">
        <v>26</v>
      </c>
      <c r="B40" s="586"/>
      <c r="C40" s="434" t="e">
        <f>H40/J40</f>
        <v>#DIV/0!</v>
      </c>
      <c r="D40" s="434" t="e">
        <f>I40/J40</f>
        <v>#DIV/0!</v>
      </c>
      <c r="E40" s="455">
        <f>SUM(E37:E39)</f>
        <v>0</v>
      </c>
      <c r="F40" s="455"/>
      <c r="G40" s="435" t="s">
        <v>27</v>
      </c>
      <c r="H40" s="435">
        <f>SUM(H37:H39)</f>
        <v>0</v>
      </c>
      <c r="I40" s="435">
        <f>SUM(I37:I39)</f>
        <v>0</v>
      </c>
      <c r="J40" s="436">
        <f>SUM(J37:J39)</f>
        <v>0</v>
      </c>
    </row>
    <row r="41" spans="1:10" ht="15" customHeight="1"/>
    <row r="42" spans="1:10" ht="36.75" customHeight="1"/>
    <row r="45" spans="1:10" ht="49.5" customHeight="1"/>
  </sheetData>
  <protectedRanges>
    <protectedRange sqref="B9:B19 B37:B39 B25:B31" name="Range1_6"/>
    <protectedRange sqref="E9:F19 E37:F39 E27:F31" name="Range1_7"/>
    <protectedRange sqref="G9:H19 G37:H39 G27:H31" name="Range1_8"/>
  </protectedRanges>
  <mergeCells count="31">
    <mergeCell ref="H35:I35"/>
    <mergeCell ref="J35:J36"/>
    <mergeCell ref="A34:J34"/>
    <mergeCell ref="A40:B40"/>
    <mergeCell ref="A35:A36"/>
    <mergeCell ref="B35:B36"/>
    <mergeCell ref="C35:D35"/>
    <mergeCell ref="E35:E36"/>
    <mergeCell ref="G35:G36"/>
    <mergeCell ref="F35:F36"/>
    <mergeCell ref="A20:B20"/>
    <mergeCell ref="C1:H1"/>
    <mergeCell ref="J7:J8"/>
    <mergeCell ref="H7:I7"/>
    <mergeCell ref="A3:J3"/>
    <mergeCell ref="A4:J4"/>
    <mergeCell ref="A5:J5"/>
    <mergeCell ref="A7:A8"/>
    <mergeCell ref="B7:B8"/>
    <mergeCell ref="C7:D7"/>
    <mergeCell ref="E7:E8"/>
    <mergeCell ref="G7:G8"/>
    <mergeCell ref="A32:B32"/>
    <mergeCell ref="A22:J22"/>
    <mergeCell ref="A23:A24"/>
    <mergeCell ref="B23:B24"/>
    <mergeCell ref="C23:D23"/>
    <mergeCell ref="E23:E24"/>
    <mergeCell ref="G23:G24"/>
    <mergeCell ref="H23:I23"/>
    <mergeCell ref="J23:J24"/>
  </mergeCells>
  <dataValidations count="1">
    <dataValidation type="whole" operator="greaterThanOrEqual" allowBlank="1" showInputMessage="1" showErrorMessage="1" errorTitle="خطا در تکمیل اطلاعات" error="این خانه تنها با عدد تکمیل می شود" sqref="E37:H39 E9:H19 E27:H31" xr:uid="{00000000-0002-0000-0500-000000000000}">
      <formula1>0</formula1>
    </dataValidation>
  </dataValidations>
  <printOptions horizontalCentered="1"/>
  <pageMargins left="0.23622047244094491" right="0.23622047244094491" top="0.74803149606299213" bottom="0.74803149606299213" header="0.31496062992125984" footer="0.31496062992125984"/>
  <pageSetup paperSize="9" scale="67"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K11"/>
  <sheetViews>
    <sheetView rightToLeft="1" view="pageBreakPreview" topLeftCell="B1" zoomScaleNormal="100" zoomScaleSheetLayoutView="100" workbookViewId="0">
      <selection activeCell="E28" sqref="E28"/>
    </sheetView>
  </sheetViews>
  <sheetFormatPr defaultColWidth="8.7109375" defaultRowHeight="15"/>
  <cols>
    <col min="1" max="1" width="0" hidden="1" customWidth="1"/>
    <col min="2" max="2" width="4" customWidth="1"/>
    <col min="3" max="3" width="7.42578125" customWidth="1"/>
    <col min="4" max="4" width="29.140625" bestFit="1" customWidth="1"/>
    <col min="5" max="5" width="10.42578125" customWidth="1"/>
    <col min="6" max="6" width="10.28515625" customWidth="1"/>
    <col min="7" max="7" width="9.85546875" customWidth="1"/>
    <col min="8" max="8" width="16.42578125" customWidth="1"/>
    <col min="9" max="11" width="14" customWidth="1"/>
    <col min="12" max="12" width="5" customWidth="1"/>
  </cols>
  <sheetData>
    <row r="1" spans="3:11" ht="21" customHeight="1">
      <c r="E1" s="498" t="str">
        <f>ساختمان!C1</f>
        <v>مطالعات بازار،فنی،مالی و اقتصادی طرح توجیهی</v>
      </c>
      <c r="F1" s="498"/>
      <c r="G1" s="498"/>
      <c r="H1" s="498"/>
    </row>
    <row r="2" spans="3:11" ht="24.75" customHeight="1">
      <c r="E2" s="601" t="str">
        <f>ساختمان!C2</f>
        <v>طراحی و تولید دستگاه اندازه گیری سطح مخازن سوخت -شرکت برنا نیروی زاگرس</v>
      </c>
      <c r="F2" s="601"/>
      <c r="G2" s="601"/>
      <c r="H2" s="601"/>
    </row>
    <row r="3" spans="3:11" ht="15.75" customHeight="1">
      <c r="F3" s="66"/>
      <c r="G3" s="66"/>
      <c r="H3" s="66"/>
    </row>
    <row r="4" spans="3:11" ht="15.75" customHeight="1">
      <c r="F4" s="66"/>
      <c r="G4" s="66"/>
      <c r="H4" s="66"/>
    </row>
    <row r="5" spans="3:11" ht="42.75" customHeight="1">
      <c r="C5" s="587" t="s">
        <v>77</v>
      </c>
      <c r="D5" s="587"/>
      <c r="E5" s="587"/>
      <c r="F5" s="587"/>
      <c r="G5" s="587"/>
      <c r="H5" s="587"/>
      <c r="I5" s="587"/>
      <c r="J5" s="587"/>
      <c r="K5" s="587"/>
    </row>
    <row r="6" spans="3:11" ht="42.75" customHeight="1">
      <c r="C6" s="587" t="s">
        <v>5</v>
      </c>
      <c r="D6" s="587" t="s">
        <v>6</v>
      </c>
      <c r="E6" s="587" t="s">
        <v>34</v>
      </c>
      <c r="F6" s="587"/>
      <c r="G6" s="587" t="s">
        <v>54</v>
      </c>
      <c r="H6" s="588" t="s">
        <v>67</v>
      </c>
      <c r="I6" s="587" t="s">
        <v>37</v>
      </c>
      <c r="J6" s="587"/>
      <c r="K6" s="589" t="s">
        <v>68</v>
      </c>
    </row>
    <row r="7" spans="3:11" ht="42.75" customHeight="1">
      <c r="C7" s="587"/>
      <c r="D7" s="587"/>
      <c r="E7" s="437" t="s">
        <v>7</v>
      </c>
      <c r="F7" s="437" t="s">
        <v>25</v>
      </c>
      <c r="G7" s="587"/>
      <c r="H7" s="588"/>
      <c r="I7" s="437" t="s">
        <v>7</v>
      </c>
      <c r="J7" s="207" t="s">
        <v>25</v>
      </c>
      <c r="K7" s="589"/>
    </row>
    <row r="8" spans="3:11" ht="42.75" customHeight="1">
      <c r="C8" s="255">
        <v>1</v>
      </c>
      <c r="D8" s="432" t="s">
        <v>27</v>
      </c>
      <c r="E8" s="433">
        <f>IFERROR(I8/K8,0)</f>
        <v>0</v>
      </c>
      <c r="F8" s="433">
        <f>IFERROR(J8/K8,0)</f>
        <v>0</v>
      </c>
      <c r="G8" s="256">
        <v>0</v>
      </c>
      <c r="H8" s="256">
        <v>0</v>
      </c>
      <c r="I8" s="256">
        <v>0</v>
      </c>
      <c r="J8" s="257">
        <f t="shared" ref="J8:J10" si="0">K8-I8</f>
        <v>0</v>
      </c>
      <c r="K8" s="218">
        <f t="shared" ref="K8:K10" si="1">H8*G8/1000000</f>
        <v>0</v>
      </c>
    </row>
    <row r="9" spans="3:11" ht="42.75" customHeight="1">
      <c r="C9" s="255">
        <v>2</v>
      </c>
      <c r="D9" s="432"/>
      <c r="E9" s="433">
        <f t="shared" ref="E9:E11" si="2">IFERROR(I9/K9,0)</f>
        <v>0</v>
      </c>
      <c r="F9" s="433">
        <f t="shared" ref="F9:F11" si="3">IFERROR(J9/K9,0)</f>
        <v>0</v>
      </c>
      <c r="G9" s="256">
        <v>0</v>
      </c>
      <c r="H9" s="256">
        <v>0</v>
      </c>
      <c r="I9" s="256">
        <v>0</v>
      </c>
      <c r="J9" s="257">
        <f t="shared" si="0"/>
        <v>0</v>
      </c>
      <c r="K9" s="218">
        <f t="shared" si="1"/>
        <v>0</v>
      </c>
    </row>
    <row r="10" spans="3:11" ht="46.5" customHeight="1">
      <c r="C10" s="255">
        <v>3</v>
      </c>
      <c r="D10" s="432"/>
      <c r="E10" s="433">
        <f t="shared" si="2"/>
        <v>0</v>
      </c>
      <c r="F10" s="433">
        <f t="shared" si="3"/>
        <v>0</v>
      </c>
      <c r="G10" s="256">
        <v>0</v>
      </c>
      <c r="H10" s="256">
        <v>0</v>
      </c>
      <c r="I10" s="256">
        <v>0</v>
      </c>
      <c r="J10" s="257">
        <f t="shared" si="0"/>
        <v>0</v>
      </c>
      <c r="K10" s="218">
        <f t="shared" si="1"/>
        <v>0</v>
      </c>
    </row>
    <row r="11" spans="3:11" ht="40.5" customHeight="1">
      <c r="C11" s="585" t="s">
        <v>26</v>
      </c>
      <c r="D11" s="586"/>
      <c r="E11" s="443">
        <f t="shared" si="2"/>
        <v>0</v>
      </c>
      <c r="F11" s="443">
        <f t="shared" si="3"/>
        <v>0</v>
      </c>
      <c r="G11" s="435">
        <f>SUM(G8:G10)</f>
        <v>0</v>
      </c>
      <c r="H11" s="435" t="s">
        <v>27</v>
      </c>
      <c r="I11" s="435">
        <f>SUM(I8:I10)</f>
        <v>0</v>
      </c>
      <c r="J11" s="435">
        <f>SUM(J8:J10)</f>
        <v>0</v>
      </c>
      <c r="K11" s="436">
        <f>SUM(K8:K10)</f>
        <v>0</v>
      </c>
    </row>
  </sheetData>
  <protectedRanges>
    <protectedRange sqref="D8:D10" name="Range1_6"/>
    <protectedRange sqref="G8:G10" name="Range1_7"/>
    <protectedRange sqref="H8:I10" name="Range1_8"/>
  </protectedRanges>
  <mergeCells count="11">
    <mergeCell ref="C11:D11"/>
    <mergeCell ref="E1:H1"/>
    <mergeCell ref="E2:H2"/>
    <mergeCell ref="C5:K5"/>
    <mergeCell ref="E6:F6"/>
    <mergeCell ref="G6:G7"/>
    <mergeCell ref="H6:H7"/>
    <mergeCell ref="I6:J6"/>
    <mergeCell ref="K6:K7"/>
    <mergeCell ref="C6:C7"/>
    <mergeCell ref="D6:D7"/>
  </mergeCells>
  <dataValidations count="1">
    <dataValidation type="whole" operator="greaterThanOrEqual" allowBlank="1" showInputMessage="1" showErrorMessage="1" errorTitle="خطا در تکمیل اطلاعات" error="این خانه تنها با عدد تکمیل می شود" sqref="G8:I10" xr:uid="{00000000-0002-0000-0600-000000000000}">
      <formula1>0</formula1>
    </dataValidation>
  </dataValidations>
  <printOptions horizontalCentered="1"/>
  <pageMargins left="0.23622047244094491" right="0.23622047244094491" top="0.74803149606299213" bottom="0.74803149606299213" header="0.31496062992125984" footer="0.31496062992125984"/>
  <pageSetup paperSize="9" scale="7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5"/>
  <sheetViews>
    <sheetView rightToLeft="1" view="pageBreakPreview" topLeftCell="A4" zoomScale="96" zoomScaleNormal="100" zoomScaleSheetLayoutView="96" workbookViewId="0">
      <selection activeCell="I15" sqref="I15"/>
    </sheetView>
  </sheetViews>
  <sheetFormatPr defaultRowHeight="15"/>
  <cols>
    <col min="1" max="1" width="4.7109375" bestFit="1" customWidth="1"/>
    <col min="2" max="2" width="40.140625" customWidth="1"/>
    <col min="3" max="4" width="10.28515625" customWidth="1"/>
    <col min="5" max="5" width="14.5703125" bestFit="1" customWidth="1"/>
    <col min="6" max="6" width="10.28515625" customWidth="1"/>
    <col min="7" max="7" width="15.7109375" bestFit="1" customWidth="1"/>
  </cols>
  <sheetData>
    <row r="1" spans="1:9" ht="21.75" customHeight="1">
      <c r="C1" s="498" t="str">
        <f>تاسیسات!C1</f>
        <v>مطالعات بازار،فنی،مالی و اقتصادی طرح توجیهی</v>
      </c>
      <c r="D1" s="498"/>
      <c r="E1" s="498"/>
      <c r="F1" s="498"/>
      <c r="G1" s="498"/>
    </row>
    <row r="2" spans="1:9" ht="21.75" customHeight="1" thickBot="1">
      <c r="C2" s="602" t="str">
        <f>تاسیسات!C2</f>
        <v>طراحی و تولید دستگاه اندازه گیری سطح مخازن سوخت -شرکت برنا نیروی زاگرس</v>
      </c>
      <c r="D2" s="602"/>
      <c r="E2" s="602"/>
      <c r="F2" s="602"/>
      <c r="G2" s="602"/>
    </row>
    <row r="3" spans="1:9" ht="23.25">
      <c r="A3" s="607" t="s">
        <v>78</v>
      </c>
      <c r="B3" s="608"/>
      <c r="C3" s="608"/>
      <c r="D3" s="608"/>
      <c r="E3" s="608"/>
      <c r="F3" s="608"/>
      <c r="G3" s="608"/>
      <c r="H3" s="40"/>
      <c r="I3" s="3"/>
    </row>
    <row r="4" spans="1:9" ht="207.75" customHeight="1" thickBot="1"/>
    <row r="5" spans="1:9" ht="15.75">
      <c r="A5" s="558" t="s">
        <v>5</v>
      </c>
      <c r="B5" s="556" t="s">
        <v>79</v>
      </c>
      <c r="C5" s="581" t="s">
        <v>34</v>
      </c>
      <c r="D5" s="582"/>
      <c r="E5" s="30" t="s">
        <v>80</v>
      </c>
      <c r="F5" s="30"/>
      <c r="G5" s="603" t="s">
        <v>81</v>
      </c>
    </row>
    <row r="6" spans="1:9" ht="16.5" thickBot="1">
      <c r="A6" s="559"/>
      <c r="B6" s="557"/>
      <c r="C6" s="2" t="s">
        <v>7</v>
      </c>
      <c r="D6" s="2" t="s">
        <v>25</v>
      </c>
      <c r="E6" s="2" t="s">
        <v>11</v>
      </c>
      <c r="F6" s="2" t="s">
        <v>25</v>
      </c>
      <c r="G6" s="604"/>
    </row>
    <row r="7" spans="1:9" ht="22.5" customHeight="1">
      <c r="A7" s="4">
        <v>1</v>
      </c>
      <c r="B7" s="37" t="s">
        <v>82</v>
      </c>
      <c r="C7" s="38">
        <f t="shared" ref="C7:C15" si="0">E7/G7</f>
        <v>0.33333333333333331</v>
      </c>
      <c r="D7" s="38">
        <f t="shared" ref="D7:D15" si="1">F7/G7</f>
        <v>0.66666666666666663</v>
      </c>
      <c r="E7" s="266">
        <v>250</v>
      </c>
      <c r="F7" s="267">
        <v>500</v>
      </c>
      <c r="G7" s="266">
        <v>750</v>
      </c>
    </row>
    <row r="8" spans="1:9" ht="22.5" customHeight="1">
      <c r="A8" s="4">
        <v>2</v>
      </c>
      <c r="B8" s="37" t="s">
        <v>83</v>
      </c>
      <c r="C8" s="38">
        <f t="shared" si="0"/>
        <v>1</v>
      </c>
      <c r="D8" s="38">
        <f t="shared" si="1"/>
        <v>0</v>
      </c>
      <c r="E8" s="266">
        <v>1500</v>
      </c>
      <c r="F8" s="267">
        <f t="shared" ref="F8:F11" si="2">G8-E8</f>
        <v>0</v>
      </c>
      <c r="G8" s="266">
        <v>1500</v>
      </c>
    </row>
    <row r="9" spans="1:9" ht="22.5" customHeight="1">
      <c r="A9" s="4">
        <v>3</v>
      </c>
      <c r="B9" s="37" t="s">
        <v>84</v>
      </c>
      <c r="C9" s="38">
        <f t="shared" si="0"/>
        <v>1</v>
      </c>
      <c r="D9" s="38">
        <f t="shared" si="1"/>
        <v>0</v>
      </c>
      <c r="E9" s="266">
        <v>300</v>
      </c>
      <c r="F9" s="267">
        <f t="shared" si="2"/>
        <v>0</v>
      </c>
      <c r="G9" s="266">
        <v>300</v>
      </c>
    </row>
    <row r="10" spans="1:9" ht="22.5" customHeight="1">
      <c r="A10" s="4">
        <v>4</v>
      </c>
      <c r="B10" s="37" t="s">
        <v>85</v>
      </c>
      <c r="C10" s="38">
        <f t="shared" si="0"/>
        <v>0.6</v>
      </c>
      <c r="D10" s="38">
        <f t="shared" si="1"/>
        <v>0.4</v>
      </c>
      <c r="E10" s="266">
        <v>1500</v>
      </c>
      <c r="F10" s="267">
        <f>G10-E10</f>
        <v>1000</v>
      </c>
      <c r="G10" s="266">
        <v>2500</v>
      </c>
    </row>
    <row r="11" spans="1:9" ht="22.5" customHeight="1">
      <c r="A11" s="4">
        <v>5</v>
      </c>
      <c r="B11" s="37" t="s">
        <v>86</v>
      </c>
      <c r="C11" s="38" t="e">
        <f t="shared" si="0"/>
        <v>#DIV/0!</v>
      </c>
      <c r="D11" s="38" t="e">
        <f t="shared" si="1"/>
        <v>#DIV/0!</v>
      </c>
      <c r="E11" s="266">
        <v>0</v>
      </c>
      <c r="F11" s="267">
        <f t="shared" si="2"/>
        <v>0</v>
      </c>
      <c r="G11" s="266">
        <v>0</v>
      </c>
    </row>
    <row r="12" spans="1:9" ht="22.5" customHeight="1">
      <c r="A12" s="4">
        <v>6</v>
      </c>
      <c r="B12" s="37" t="s">
        <v>87</v>
      </c>
      <c r="C12" s="38">
        <f>IFERROR(E12/G12,0)</f>
        <v>0</v>
      </c>
      <c r="D12" s="38">
        <f>IFERROR(F12/G12,0)</f>
        <v>0</v>
      </c>
      <c r="E12" s="266">
        <v>0</v>
      </c>
      <c r="F12" s="267">
        <f>G12-E12</f>
        <v>0</v>
      </c>
      <c r="G12" s="266">
        <v>0</v>
      </c>
    </row>
    <row r="13" spans="1:9" ht="22.5" customHeight="1">
      <c r="A13" s="4">
        <v>7</v>
      </c>
      <c r="B13" s="37" t="s">
        <v>88</v>
      </c>
      <c r="C13" s="38">
        <f t="shared" si="0"/>
        <v>0</v>
      </c>
      <c r="D13" s="38">
        <f t="shared" si="1"/>
        <v>1</v>
      </c>
      <c r="E13" s="266">
        <v>0</v>
      </c>
      <c r="F13" s="267">
        <f>G13-E13</f>
        <v>900</v>
      </c>
      <c r="G13" s="266">
        <v>900</v>
      </c>
    </row>
    <row r="14" spans="1:9" ht="43.5" customHeight="1" thickBot="1">
      <c r="A14" s="4">
        <v>8</v>
      </c>
      <c r="B14" s="39" t="s">
        <v>89</v>
      </c>
      <c r="C14" s="38">
        <f t="shared" si="0"/>
        <v>0</v>
      </c>
      <c r="D14" s="38">
        <f t="shared" si="1"/>
        <v>1</v>
      </c>
      <c r="E14" s="266"/>
      <c r="F14" s="267">
        <f>G14-E14</f>
        <v>860</v>
      </c>
      <c r="G14" s="266">
        <v>860</v>
      </c>
    </row>
    <row r="15" spans="1:9" ht="30.75" customHeight="1" thickBot="1">
      <c r="A15" s="605" t="s">
        <v>26</v>
      </c>
      <c r="B15" s="606"/>
      <c r="C15" s="41">
        <f t="shared" si="0"/>
        <v>0.52129221732745967</v>
      </c>
      <c r="D15" s="42">
        <f t="shared" si="1"/>
        <v>0.47870778267254038</v>
      </c>
      <c r="E15" s="43">
        <f>SUM(E7:E14)</f>
        <v>3550</v>
      </c>
      <c r="F15" s="43">
        <f>SUM(F7:F14)</f>
        <v>3260</v>
      </c>
      <c r="G15" s="268">
        <f>SUM(G7:G14)</f>
        <v>6810</v>
      </c>
    </row>
  </sheetData>
  <mergeCells count="8">
    <mergeCell ref="C1:G1"/>
    <mergeCell ref="C2:G2"/>
    <mergeCell ref="G5:G6"/>
    <mergeCell ref="A15:B15"/>
    <mergeCell ref="B5:B6"/>
    <mergeCell ref="C5:D5"/>
    <mergeCell ref="A3:G3"/>
    <mergeCell ref="A5:A6"/>
  </mergeCells>
  <printOptions horizontalCentered="1"/>
  <pageMargins left="0.23622047244094491" right="0.23622047244094491" top="0.74803149606299213" bottom="0.74803149606299213" header="0.31496062992125984" footer="0.31496062992125984"/>
  <pageSetup paperSize="9" scale="74" orientation="portrait" r:id="rId1"/>
  <rowBreaks count="2" manualBreakCount="2">
    <brk id="43" max="6" man="1"/>
    <brk id="46" max="6" man="1"/>
  </rowBreaks>
  <colBreaks count="1" manualBreakCount="1">
    <brk id="7" max="1048575" man="1"/>
  </colBreaks>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7"/>
  <sheetViews>
    <sheetView rightToLeft="1" view="pageBreakPreview" topLeftCell="A7" zoomScaleNormal="100" zoomScaleSheetLayoutView="100" workbookViewId="0">
      <selection activeCell="K25" sqref="K25"/>
    </sheetView>
  </sheetViews>
  <sheetFormatPr defaultRowHeight="15"/>
  <cols>
    <col min="1" max="1" width="29.140625" customWidth="1"/>
    <col min="2" max="2" width="15.85546875" customWidth="1"/>
    <col min="3" max="3" width="14.5703125" bestFit="1" customWidth="1"/>
    <col min="4" max="4" width="16.85546875" customWidth="1"/>
    <col min="5" max="5" width="13.7109375" customWidth="1"/>
    <col min="6" max="6" width="15.28515625" customWidth="1"/>
    <col min="8" max="8" width="11" bestFit="1" customWidth="1"/>
    <col min="9" max="9" width="13.28515625" bestFit="1" customWidth="1"/>
  </cols>
  <sheetData>
    <row r="1" spans="1:8" ht="21.75" customHeight="1">
      <c r="B1" s="498" t="str">
        <f>ساختمان!C1</f>
        <v>مطالعات بازار،فنی،مالی و اقتصادی طرح توجیهی</v>
      </c>
      <c r="C1" s="498"/>
      <c r="D1" s="498"/>
      <c r="E1" s="498"/>
      <c r="F1" s="498"/>
    </row>
    <row r="2" spans="1:8" ht="27.75" customHeight="1">
      <c r="B2" s="171" t="str">
        <f>ساختمان!C2</f>
        <v>طراحی و تولید دستگاه اندازه گیری سطح مخازن سوخت -شرکت برنا نیروی زاگرس</v>
      </c>
      <c r="C2" s="66"/>
      <c r="D2" s="66"/>
      <c r="E2" s="66"/>
    </row>
    <row r="3" spans="1:8" ht="31.5" customHeight="1">
      <c r="A3" s="611" t="s">
        <v>90</v>
      </c>
      <c r="B3" s="611"/>
      <c r="C3" s="611"/>
      <c r="D3" s="611"/>
      <c r="E3" s="611"/>
      <c r="F3" s="611"/>
      <c r="G3" s="3"/>
    </row>
    <row r="4" spans="1:8" ht="12" customHeight="1">
      <c r="A4" s="1"/>
      <c r="B4" s="1"/>
      <c r="C4" s="1"/>
      <c r="D4" s="1"/>
      <c r="E4" s="1"/>
      <c r="F4" s="1"/>
      <c r="G4" s="1"/>
    </row>
    <row r="5" spans="1:8" ht="16.5" thickBot="1">
      <c r="A5" s="1"/>
      <c r="B5" s="1"/>
      <c r="C5" s="612"/>
      <c r="D5" s="612"/>
      <c r="E5" s="613" t="s">
        <v>4</v>
      </c>
      <c r="F5" s="613"/>
    </row>
    <row r="6" spans="1:8" ht="16.5" thickBot="1">
      <c r="A6" s="558" t="s">
        <v>6</v>
      </c>
      <c r="B6" s="544" t="s">
        <v>91</v>
      </c>
      <c r="C6" s="544"/>
      <c r="D6" s="603" t="s">
        <v>9</v>
      </c>
      <c r="E6" s="574" t="s">
        <v>10</v>
      </c>
      <c r="F6" s="555"/>
    </row>
    <row r="7" spans="1:8" ht="16.5" thickBot="1">
      <c r="A7" s="559"/>
      <c r="B7" s="2" t="s">
        <v>7</v>
      </c>
      <c r="C7" s="2" t="s">
        <v>25</v>
      </c>
      <c r="D7" s="604"/>
      <c r="E7" s="208" t="s">
        <v>11</v>
      </c>
      <c r="F7" s="191" t="s">
        <v>12</v>
      </c>
    </row>
    <row r="8" spans="1:8" ht="24" customHeight="1">
      <c r="A8" s="273" t="s">
        <v>18</v>
      </c>
      <c r="B8" s="444">
        <f>زمین!F13</f>
        <v>114514</v>
      </c>
      <c r="C8" s="375">
        <f>زمین!G13</f>
        <v>0.39999999999417923</v>
      </c>
      <c r="D8" s="269">
        <f>زمین!H13</f>
        <v>114514.4</v>
      </c>
      <c r="E8" s="236">
        <f>IFERROR(B8/D8,0)</f>
        <v>0.99999650698951403</v>
      </c>
      <c r="F8" s="236">
        <f>IFERROR(C8/D8,0)</f>
        <v>3.4930104859666493E-6</v>
      </c>
    </row>
    <row r="9" spans="1:8" ht="24" customHeight="1">
      <c r="A9" s="274" t="s">
        <v>29</v>
      </c>
      <c r="B9" s="270">
        <f>محوطه!G19</f>
        <v>9032.6</v>
      </c>
      <c r="C9" s="270">
        <f>محوطه!H19</f>
        <v>4707.4751999999999</v>
      </c>
      <c r="D9" s="270">
        <f>محوطه!I19</f>
        <v>13740.075199999999</v>
      </c>
      <c r="E9" s="236">
        <f t="shared" ref="E9:E17" si="0">IFERROR(B9/D9,0)</f>
        <v>0.65739087075738867</v>
      </c>
      <c r="F9" s="236">
        <f t="shared" ref="F9:F17" si="1">IFERROR(C9/D9,0)</f>
        <v>0.34260912924261144</v>
      </c>
    </row>
    <row r="10" spans="1:8" ht="24" customHeight="1">
      <c r="A10" s="274" t="s">
        <v>45</v>
      </c>
      <c r="B10" s="270">
        <f>ساختمان!G14</f>
        <v>268740</v>
      </c>
      <c r="C10" s="270">
        <f>ساختمان!H14</f>
        <v>147120</v>
      </c>
      <c r="D10" s="270">
        <f>ساختمان!I14</f>
        <v>415860</v>
      </c>
      <c r="E10" s="236">
        <f t="shared" si="0"/>
        <v>0.64622709565719227</v>
      </c>
      <c r="F10" s="236">
        <f t="shared" si="1"/>
        <v>0.35377290434280767</v>
      </c>
    </row>
    <row r="11" spans="1:8" ht="24" customHeight="1">
      <c r="A11" s="274" t="s">
        <v>65</v>
      </c>
      <c r="B11" s="270">
        <f>'ماشین آلات'!H20</f>
        <v>0</v>
      </c>
      <c r="C11" s="271">
        <f>'ماشین آلات'!I20</f>
        <v>1267081.5</v>
      </c>
      <c r="D11" s="270">
        <f>'ماشین آلات'!J20</f>
        <v>1267081.5</v>
      </c>
      <c r="E11" s="236">
        <f t="shared" si="0"/>
        <v>0</v>
      </c>
      <c r="F11" s="236">
        <f t="shared" si="1"/>
        <v>1</v>
      </c>
      <c r="H11">
        <f>C11*80%</f>
        <v>1013665.2000000001</v>
      </c>
    </row>
    <row r="12" spans="1:8" ht="24" customHeight="1">
      <c r="A12" s="274" t="s">
        <v>92</v>
      </c>
      <c r="B12" s="271">
        <f>تاسیسات!G18</f>
        <v>2810</v>
      </c>
      <c r="C12" s="271">
        <f>تاسیسات!H18</f>
        <v>26700</v>
      </c>
      <c r="D12" s="271">
        <f>تاسیسات!I18</f>
        <v>29510</v>
      </c>
      <c r="E12" s="236">
        <f t="shared" si="0"/>
        <v>9.5221958658082001E-2</v>
      </c>
      <c r="F12" s="236">
        <f t="shared" si="1"/>
        <v>0.90477804134191797</v>
      </c>
      <c r="H12">
        <f>C12*80%</f>
        <v>21360</v>
      </c>
    </row>
    <row r="13" spans="1:8" ht="24" customHeight="1">
      <c r="A13" s="274" t="s">
        <v>77</v>
      </c>
      <c r="B13" s="271">
        <f>'-نقلیه'!I11</f>
        <v>0</v>
      </c>
      <c r="C13" s="271">
        <f>'-نقلیه'!J11</f>
        <v>0</v>
      </c>
      <c r="D13" s="271">
        <f>'-نقلیه'!K11</f>
        <v>0</v>
      </c>
      <c r="E13" s="236">
        <f t="shared" si="0"/>
        <v>0</v>
      </c>
      <c r="F13" s="236">
        <f t="shared" si="1"/>
        <v>0</v>
      </c>
      <c r="H13">
        <f t="shared" ref="H13" si="2">C13*80%</f>
        <v>0</v>
      </c>
    </row>
    <row r="14" spans="1:8" ht="24" customHeight="1">
      <c r="A14" s="274" t="s">
        <v>93</v>
      </c>
      <c r="B14" s="271">
        <f>'ماشین آلات'!H32</f>
        <v>0</v>
      </c>
      <c r="C14" s="271">
        <f>'ماشین آلات'!I32</f>
        <v>8926.4</v>
      </c>
      <c r="D14" s="271">
        <f>'ماشین آلات'!J32</f>
        <v>8926.4</v>
      </c>
      <c r="E14" s="236">
        <f t="shared" si="0"/>
        <v>0</v>
      </c>
      <c r="F14" s="236">
        <f t="shared" si="1"/>
        <v>1</v>
      </c>
      <c r="H14">
        <f>C14*80%</f>
        <v>7141.12</v>
      </c>
    </row>
    <row r="15" spans="1:8" ht="24" customHeight="1">
      <c r="A15" s="274" t="s">
        <v>94</v>
      </c>
      <c r="B15" s="271">
        <f>'ماشین آلات'!H40</f>
        <v>0</v>
      </c>
      <c r="C15" s="271">
        <f>'ماشین آلات'!I40</f>
        <v>0</v>
      </c>
      <c r="D15" s="271">
        <f>'ماشین آلات'!J40</f>
        <v>0</v>
      </c>
      <c r="E15" s="236">
        <f t="shared" si="0"/>
        <v>0</v>
      </c>
      <c r="F15" s="236">
        <f t="shared" si="1"/>
        <v>0</v>
      </c>
      <c r="H15">
        <f>C15*80%</f>
        <v>0</v>
      </c>
    </row>
    <row r="16" spans="1:8" ht="24" customHeight="1">
      <c r="A16" s="274" t="s">
        <v>95</v>
      </c>
      <c r="B16" s="271">
        <f>'قبل از'!E15</f>
        <v>3550</v>
      </c>
      <c r="C16" s="271">
        <f>'قبل از'!F15</f>
        <v>3260</v>
      </c>
      <c r="D16" s="271">
        <f>'قبل از'!G15</f>
        <v>6810</v>
      </c>
      <c r="E16" s="236">
        <f t="shared" si="0"/>
        <v>0.52129221732745967</v>
      </c>
      <c r="F16" s="236">
        <f t="shared" si="1"/>
        <v>0.47870778267254038</v>
      </c>
    </row>
    <row r="17" spans="1:9" ht="24" customHeight="1" thickBot="1">
      <c r="A17" s="275" t="s">
        <v>96</v>
      </c>
      <c r="B17" s="445">
        <v>0</v>
      </c>
      <c r="C17" s="446">
        <f>C20*SUM(C8:C16)</f>
        <v>72889.788759999996</v>
      </c>
      <c r="D17" s="272">
        <f>B17+C17</f>
        <v>72889.788759999996</v>
      </c>
      <c r="E17" s="236">
        <f t="shared" si="0"/>
        <v>0</v>
      </c>
      <c r="F17" s="236">
        <f t="shared" si="1"/>
        <v>1</v>
      </c>
    </row>
    <row r="18" spans="1:9" ht="33" customHeight="1" thickBot="1">
      <c r="A18" s="54" t="s">
        <v>26</v>
      </c>
      <c r="B18" s="447">
        <f>SUM(B8:B17)</f>
        <v>398646.6</v>
      </c>
      <c r="C18" s="448">
        <f>SUM(C8:C17)</f>
        <v>1530685.5639599997</v>
      </c>
      <c r="D18" s="448">
        <f>SUM(D8:D17)</f>
        <v>1929332.1639599998</v>
      </c>
      <c r="E18" s="55">
        <f t="shared" ref="E18" si="3">B18/D18</f>
        <v>0.20662414043923283</v>
      </c>
      <c r="F18" s="56">
        <f t="shared" ref="F18" si="4">C18/D18</f>
        <v>0.79337585956076706</v>
      </c>
      <c r="H18">
        <f>SUM(H11:H17)</f>
        <v>1042166.3200000001</v>
      </c>
    </row>
    <row r="19" spans="1:9" ht="15.75" thickBot="1">
      <c r="A19" s="6"/>
      <c r="B19" s="6"/>
      <c r="C19" s="6"/>
      <c r="D19" s="6"/>
      <c r="E19" s="6"/>
      <c r="F19" s="6"/>
    </row>
    <row r="20" spans="1:9" ht="19.5" customHeight="1" thickBot="1">
      <c r="A20" s="609" t="s">
        <v>97</v>
      </c>
      <c r="B20" s="610"/>
      <c r="C20" s="7">
        <v>0.05</v>
      </c>
      <c r="D20" s="6"/>
      <c r="E20" s="6"/>
      <c r="F20" s="6"/>
      <c r="G20" s="6"/>
    </row>
    <row r="21" spans="1:9" ht="15.75" thickBot="1">
      <c r="A21" s="6"/>
      <c r="B21" s="6"/>
      <c r="C21" s="6"/>
      <c r="D21" s="8"/>
      <c r="E21" s="6"/>
      <c r="F21" s="6"/>
      <c r="G21" s="6"/>
    </row>
    <row r="22" spans="1:9" ht="16.5" thickBot="1">
      <c r="A22" s="449" t="s">
        <v>98</v>
      </c>
      <c r="B22" s="44" t="s">
        <v>7</v>
      </c>
      <c r="C22" s="44" t="s">
        <v>25</v>
      </c>
      <c r="D22" s="44" t="s">
        <v>99</v>
      </c>
      <c r="E22" s="192" t="s">
        <v>100</v>
      </c>
      <c r="F22" s="193" t="s">
        <v>101</v>
      </c>
      <c r="G22" s="6"/>
    </row>
    <row r="23" spans="1:9" ht="15.75">
      <c r="A23" s="450" t="s">
        <v>102</v>
      </c>
      <c r="B23" s="276">
        <f>B18</f>
        <v>398646.6</v>
      </c>
      <c r="C23" s="276">
        <f>C18-C24</f>
        <v>330685.56395999971</v>
      </c>
      <c r="D23" s="276">
        <f>C23+B23</f>
        <v>729332.16395999969</v>
      </c>
      <c r="E23" s="277">
        <f>C23/C18</f>
        <v>0.21603755320229914</v>
      </c>
      <c r="F23" s="278">
        <f>D23/D18</f>
        <v>0.3780231199085119</v>
      </c>
      <c r="G23" s="6"/>
      <c r="I23" s="495">
        <v>1942685.34</v>
      </c>
    </row>
    <row r="24" spans="1:9" ht="16.5" thickBot="1">
      <c r="A24" s="451" t="s">
        <v>103</v>
      </c>
      <c r="B24" s="279"/>
      <c r="C24" s="279">
        <v>1200000</v>
      </c>
      <c r="D24" s="279">
        <f>C24+B24</f>
        <v>1200000</v>
      </c>
      <c r="E24" s="280">
        <f>C24/C18</f>
        <v>0.78396244679770088</v>
      </c>
      <c r="F24" s="281">
        <f>D24/D18</f>
        <v>0.6219768800914881</v>
      </c>
      <c r="G24" s="6"/>
      <c r="I24" s="496">
        <f>I23-C24</f>
        <v>742685.34000000008</v>
      </c>
    </row>
    <row r="25" spans="1:9">
      <c r="A25" s="6"/>
      <c r="B25" s="6"/>
      <c r="C25" s="45">
        <v>0.18</v>
      </c>
      <c r="D25" s="6"/>
      <c r="E25" s="6"/>
      <c r="F25" s="6"/>
      <c r="G25" s="6"/>
    </row>
    <row r="26" spans="1:9">
      <c r="A26" s="6"/>
      <c r="B26" s="6"/>
      <c r="C26" s="6"/>
      <c r="D26" s="6"/>
      <c r="E26" s="6"/>
      <c r="F26" s="6"/>
      <c r="G26" s="6"/>
    </row>
    <row r="27" spans="1:9">
      <c r="A27" s="6"/>
      <c r="B27" s="6"/>
      <c r="C27" s="6"/>
      <c r="D27" s="8"/>
      <c r="E27" s="6"/>
      <c r="F27" s="6"/>
      <c r="G27" s="6"/>
    </row>
  </sheetData>
  <mergeCells count="9">
    <mergeCell ref="B1:F1"/>
    <mergeCell ref="A20:B20"/>
    <mergeCell ref="A6:A7"/>
    <mergeCell ref="A3:F3"/>
    <mergeCell ref="C5:D5"/>
    <mergeCell ref="E6:F6"/>
    <mergeCell ref="E5:F5"/>
    <mergeCell ref="B6:C6"/>
    <mergeCell ref="D6:D7"/>
  </mergeCells>
  <printOptions horizontalCentered="1"/>
  <pageMargins left="0.70866141732283472" right="0.70866141732283472" top="0.74803149606299213" bottom="0.74803149606299213" header="0.9055118110236221" footer="0.70866141732283472"/>
  <pageSetup paperSize="9" scale="8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39</vt:i4>
      </vt:variant>
    </vt:vector>
  </HeadingPairs>
  <TitlesOfParts>
    <vt:vector size="59" baseType="lpstr">
      <vt:lpstr>خلاصه </vt:lpstr>
      <vt:lpstr>زمین</vt:lpstr>
      <vt:lpstr>محوطه</vt:lpstr>
      <vt:lpstr>ساختمان</vt:lpstr>
      <vt:lpstr>تاسیسات</vt:lpstr>
      <vt:lpstr>ماشین آلات</vt:lpstr>
      <vt:lpstr>-نقلیه</vt:lpstr>
      <vt:lpstr>قبل از</vt:lpstr>
      <vt:lpstr>جمع سرمایه ثابت</vt:lpstr>
      <vt:lpstr>جمع هزینه</vt:lpstr>
      <vt:lpstr>سرمایه در گردش</vt:lpstr>
      <vt:lpstr>مواد اولیه</vt:lpstr>
      <vt:lpstr>انرژی</vt:lpstr>
      <vt:lpstr>حقوق</vt:lpstr>
      <vt:lpstr>استهلاک</vt:lpstr>
      <vt:lpstr>نت</vt:lpstr>
      <vt:lpstr>فروش</vt:lpstr>
      <vt:lpstr>سود</vt:lpstr>
      <vt:lpstr>مالیات</vt:lpstr>
      <vt:lpstr>منابع و مصارف</vt:lpstr>
      <vt:lpstr>'جمع هزینه'!_Toc54132025</vt:lpstr>
      <vt:lpstr>'خلاصه '!_Toc54588573</vt:lpstr>
      <vt:lpstr>'-نقلیه'!Print_Area</vt:lpstr>
      <vt:lpstr>استهلاک!Print_Area</vt:lpstr>
      <vt:lpstr>انرژی!Print_Area</vt:lpstr>
      <vt:lpstr>تاسیسات!Print_Area</vt:lpstr>
      <vt:lpstr>'جمع سرمایه ثابت'!Print_Area</vt:lpstr>
      <vt:lpstr>'جمع هزینه'!Print_Area</vt:lpstr>
      <vt:lpstr>حقوق!Print_Area</vt:lpstr>
      <vt:lpstr>'خلاصه '!Print_Area</vt:lpstr>
      <vt:lpstr>زمین!Print_Area</vt:lpstr>
      <vt:lpstr>ساختمان!Print_Area</vt:lpstr>
      <vt:lpstr>'سرمایه در گردش'!Print_Area</vt:lpstr>
      <vt:lpstr>سود!Print_Area</vt:lpstr>
      <vt:lpstr>فروش!Print_Area</vt:lpstr>
      <vt:lpstr>'قبل از'!Print_Area</vt:lpstr>
      <vt:lpstr>'ماشین آلات'!Print_Area</vt:lpstr>
      <vt:lpstr>مالیات!Print_Area</vt:lpstr>
      <vt:lpstr>محوطه!Print_Area</vt:lpstr>
      <vt:lpstr>'مواد اولیه'!Print_Area</vt:lpstr>
      <vt:lpstr>نت!Print_Area</vt:lpstr>
      <vt:lpstr>'-نقلیه'!Print_Titles</vt:lpstr>
      <vt:lpstr>استهلاک!Print_Titles</vt:lpstr>
      <vt:lpstr>انرژی!Print_Titles</vt:lpstr>
      <vt:lpstr>تاسیسات!Print_Titles</vt:lpstr>
      <vt:lpstr>'جمع سرمایه ثابت'!Print_Titles</vt:lpstr>
      <vt:lpstr>'جمع هزینه'!Print_Titles</vt:lpstr>
      <vt:lpstr>حقوق!Print_Titles</vt:lpstr>
      <vt:lpstr>'خلاصه '!Print_Titles</vt:lpstr>
      <vt:lpstr>زمین!Print_Titles</vt:lpstr>
      <vt:lpstr>ساختمان!Print_Titles</vt:lpstr>
      <vt:lpstr>'سرمایه در گردش'!Print_Titles</vt:lpstr>
      <vt:lpstr>'قبل از'!Print_Titles</vt:lpstr>
      <vt:lpstr>'ماشین آلات'!Print_Titles</vt:lpstr>
      <vt:lpstr>مالیات!Print_Titles</vt:lpstr>
      <vt:lpstr>محوطه!Print_Titles</vt:lpstr>
      <vt:lpstr>'منابع و مصارف'!Print_Titles</vt:lpstr>
      <vt:lpstr>'مواد اولیه'!Print_Titles</vt:lpstr>
      <vt:lpstr>نت!Print_Titles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sadra</dc:creator>
  <cp:keywords/>
  <dc:description/>
  <cp:lastModifiedBy>kaveh faramarzi</cp:lastModifiedBy>
  <cp:revision/>
  <dcterms:created xsi:type="dcterms:W3CDTF">2022-06-29T15:45:17Z</dcterms:created>
  <dcterms:modified xsi:type="dcterms:W3CDTF">2024-12-26T10:19:42Z</dcterms:modified>
  <cp:category/>
  <cp:contentStatus/>
</cp:coreProperties>
</file>