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kavidey/Sync/Mudd/FA24/E157/dp_02/receiver/"/>
    </mc:Choice>
  </mc:AlternateContent>
  <xr:revisionPtr revIDLastSave="0" documentId="13_ncr:1_{8842BB46-890D-044F-ABA5-5265EA2E21F7}" xr6:coauthVersionLast="47" xr6:coauthVersionMax="47" xr10:uidLastSave="{00000000-0000-0000-0000-000000000000}"/>
  <bookViews>
    <workbookView xWindow="0" yWindow="760" windowWidth="34560" windowHeight="21580" xr2:uid="{581E1F2A-D3C0-42B8-B17D-E235E0C30F20}"/>
  </bookViews>
  <sheets>
    <sheet name="Link Budget" sheetId="1" r:id="rId1"/>
    <sheet name="Noise Budge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" i="2" l="1"/>
  <c r="L5" i="2"/>
  <c r="K5" i="2"/>
  <c r="J5" i="2"/>
  <c r="I5" i="2"/>
  <c r="H5" i="2"/>
  <c r="G5" i="2"/>
  <c r="F5" i="2"/>
  <c r="E5" i="2"/>
  <c r="D30" i="1"/>
  <c r="D28" i="1"/>
  <c r="N36" i="1"/>
  <c r="M36" i="1"/>
  <c r="L36" i="1"/>
  <c r="K36" i="1"/>
  <c r="J36" i="1"/>
  <c r="I36" i="1"/>
  <c r="H36" i="1"/>
  <c r="G36" i="1"/>
  <c r="F36" i="1"/>
  <c r="E36" i="1"/>
  <c r="D4" i="2"/>
  <c r="C4" i="2"/>
  <c r="M3" i="2"/>
  <c r="L3" i="2"/>
  <c r="K3" i="2"/>
  <c r="J3" i="2"/>
  <c r="I3" i="2"/>
  <c r="H3" i="2"/>
  <c r="D8" i="2"/>
  <c r="C8" i="2"/>
  <c r="M7" i="2"/>
  <c r="L7" i="2"/>
  <c r="K7" i="2"/>
  <c r="J7" i="2"/>
  <c r="I7" i="2"/>
  <c r="H7" i="2"/>
  <c r="F44" i="1"/>
  <c r="G44" i="1" s="1"/>
  <c r="H44" i="1" s="1"/>
  <c r="I44" i="1" s="1"/>
  <c r="J44" i="1" s="1"/>
  <c r="K44" i="1" s="1"/>
  <c r="L44" i="1" s="1"/>
  <c r="M44" i="1" s="1"/>
  <c r="N44" i="1" s="1"/>
  <c r="F43" i="1"/>
  <c r="G43" i="1" s="1"/>
  <c r="H43" i="1" s="1"/>
  <c r="I43" i="1" s="1"/>
  <c r="J43" i="1" s="1"/>
  <c r="K43" i="1" s="1"/>
  <c r="L43" i="1" s="1"/>
  <c r="M43" i="1" s="1"/>
  <c r="N43" i="1" s="1"/>
  <c r="F42" i="1"/>
  <c r="G42" i="1" s="1"/>
  <c r="H42" i="1" s="1"/>
  <c r="I42" i="1" s="1"/>
  <c r="J42" i="1" s="1"/>
  <c r="K42" i="1" s="1"/>
  <c r="L42" i="1" s="1"/>
  <c r="M42" i="1" s="1"/>
  <c r="N42" i="1" s="1"/>
  <c r="F41" i="1"/>
  <c r="G41" i="1" s="1"/>
  <c r="H41" i="1" s="1"/>
  <c r="I41" i="1" s="1"/>
  <c r="J41" i="1" s="1"/>
  <c r="K41" i="1" s="1"/>
  <c r="L41" i="1" s="1"/>
  <c r="M41" i="1" s="1"/>
  <c r="N41" i="1" s="1"/>
  <c r="D40" i="1"/>
  <c r="E40" i="1" s="1"/>
  <c r="F40" i="1" s="1"/>
  <c r="G40" i="1" s="1"/>
  <c r="H40" i="1" s="1"/>
  <c r="I40" i="1" s="1"/>
  <c r="J40" i="1" s="1"/>
  <c r="K40" i="1" s="1"/>
  <c r="L40" i="1" s="1"/>
  <c r="M40" i="1" s="1"/>
  <c r="N40" i="1" s="1"/>
  <c r="D39" i="1"/>
  <c r="D38" i="1"/>
  <c r="E38" i="1" s="1"/>
  <c r="F38" i="1" s="1"/>
  <c r="G38" i="1" s="1"/>
  <c r="H38" i="1" s="1"/>
  <c r="I38" i="1" s="1"/>
  <c r="J38" i="1" s="1"/>
  <c r="K38" i="1" s="1"/>
  <c r="L38" i="1" s="1"/>
  <c r="M38" i="1" s="1"/>
  <c r="N38" i="1" s="1"/>
  <c r="D37" i="1"/>
  <c r="D21" i="1"/>
  <c r="D22" i="1"/>
  <c r="E22" i="1" s="1"/>
  <c r="D20" i="1"/>
  <c r="E20" i="1" s="1"/>
  <c r="D19" i="1"/>
  <c r="E39" i="1" l="1"/>
  <c r="E19" i="1"/>
  <c r="F19" i="1" s="1"/>
  <c r="E21" i="1"/>
  <c r="E37" i="1"/>
  <c r="F39" i="1"/>
  <c r="G39" i="1" s="1"/>
  <c r="H39" i="1" s="1"/>
  <c r="I39" i="1" s="1"/>
  <c r="J39" i="1" s="1"/>
  <c r="K39" i="1" s="1"/>
  <c r="L39" i="1" s="1"/>
  <c r="M39" i="1" s="1"/>
  <c r="N39" i="1" s="1"/>
  <c r="F37" i="1"/>
  <c r="G37" i="1" s="1"/>
  <c r="H37" i="1" s="1"/>
  <c r="I37" i="1" s="1"/>
  <c r="J37" i="1" s="1"/>
  <c r="K37" i="1" s="1"/>
  <c r="L37" i="1" s="1"/>
  <c r="M37" i="1" s="1"/>
  <c r="N37" i="1" s="1"/>
  <c r="F35" i="1" l="1"/>
  <c r="G35" i="1" s="1"/>
  <c r="F24" i="1"/>
  <c r="G24" i="1" s="1"/>
  <c r="H24" i="1" s="1"/>
  <c r="I24" i="1" s="1"/>
  <c r="J24" i="1" s="1"/>
  <c r="K24" i="1" s="1"/>
  <c r="L24" i="1" s="1"/>
  <c r="M24" i="1" s="1"/>
  <c r="N24" i="1" s="1"/>
  <c r="F26" i="1"/>
  <c r="G26" i="1" s="1"/>
  <c r="H26" i="1" s="1"/>
  <c r="I26" i="1" s="1"/>
  <c r="J26" i="1" s="1"/>
  <c r="K26" i="1" s="1"/>
  <c r="L26" i="1" s="1"/>
  <c r="M26" i="1" s="1"/>
  <c r="N26" i="1" s="1"/>
  <c r="F22" i="1"/>
  <c r="G22" i="1" s="1"/>
  <c r="H22" i="1" s="1"/>
  <c r="I22" i="1" s="1"/>
  <c r="J22" i="1" s="1"/>
  <c r="K22" i="1" s="1"/>
  <c r="L22" i="1" s="1"/>
  <c r="M22" i="1" s="1"/>
  <c r="N22" i="1" s="1"/>
  <c r="F21" i="1"/>
  <c r="G21" i="1" s="1"/>
  <c r="H21" i="1" s="1"/>
  <c r="I21" i="1" s="1"/>
  <c r="J21" i="1" s="1"/>
  <c r="K21" i="1" s="1"/>
  <c r="L21" i="1" s="1"/>
  <c r="M21" i="1" s="1"/>
  <c r="N21" i="1" s="1"/>
  <c r="F20" i="1"/>
  <c r="G20" i="1" s="1"/>
  <c r="H20" i="1" s="1"/>
  <c r="I20" i="1" s="1"/>
  <c r="J20" i="1" s="1"/>
  <c r="K20" i="1" s="1"/>
  <c r="L20" i="1" s="1"/>
  <c r="M20" i="1" s="1"/>
  <c r="N20" i="1" s="1"/>
  <c r="G19" i="1"/>
  <c r="H19" i="1" s="1"/>
  <c r="I19" i="1" s="1"/>
  <c r="J19" i="1" s="1"/>
  <c r="K19" i="1" s="1"/>
  <c r="L19" i="1" s="1"/>
  <c r="M19" i="1" s="1"/>
  <c r="N19" i="1" s="1"/>
  <c r="F6" i="1"/>
  <c r="F4" i="1"/>
  <c r="G4" i="1" s="1"/>
  <c r="H4" i="1" s="1"/>
  <c r="I4" i="1" s="1"/>
  <c r="F5" i="1"/>
  <c r="G5" i="1" s="1"/>
  <c r="H5" i="1" s="1"/>
  <c r="I5" i="1" s="1"/>
  <c r="J5" i="1" s="1"/>
  <c r="K5" i="1" s="1"/>
  <c r="L5" i="1" s="1"/>
  <c r="M5" i="1" s="1"/>
  <c r="N5" i="1" s="1"/>
  <c r="F3" i="1"/>
  <c r="G7" i="1" s="1"/>
  <c r="H7" i="1" s="1"/>
  <c r="I7" i="1" s="1"/>
  <c r="F25" i="1"/>
  <c r="G25" i="1" s="1"/>
  <c r="H25" i="1" s="1"/>
  <c r="I25" i="1" s="1"/>
  <c r="J25" i="1" s="1"/>
  <c r="K25" i="1" s="1"/>
  <c r="L25" i="1" s="1"/>
  <c r="M25" i="1" s="1"/>
  <c r="N25" i="1" s="1"/>
  <c r="F23" i="1"/>
  <c r="G23" i="1" s="1"/>
  <c r="H23" i="1" s="1"/>
  <c r="I23" i="1" s="1"/>
  <c r="J23" i="1" s="1"/>
  <c r="K23" i="1" s="1"/>
  <c r="L23" i="1" s="1"/>
  <c r="M23" i="1" s="1"/>
  <c r="N23" i="1" s="1"/>
  <c r="S51" i="1"/>
  <c r="S48" i="1"/>
  <c r="S45" i="1"/>
  <c r="S38" i="1"/>
  <c r="S35" i="1"/>
  <c r="S32" i="1"/>
  <c r="S29" i="1"/>
  <c r="S28" i="1"/>
  <c r="S23" i="1"/>
  <c r="R9" i="1"/>
  <c r="G9" i="1" l="1"/>
  <c r="H9" i="1" s="1"/>
  <c r="I9" i="1" s="1"/>
  <c r="G6" i="1"/>
  <c r="H6" i="1" s="1"/>
  <c r="I6" i="1" s="1"/>
  <c r="J6" i="1" s="1"/>
  <c r="K6" i="1" s="1"/>
  <c r="L6" i="1" s="1"/>
  <c r="M6" i="1" s="1"/>
  <c r="N6" i="1" s="1"/>
  <c r="J4" i="1"/>
  <c r="K4" i="1" s="1"/>
  <c r="J9" i="1"/>
  <c r="K9" i="1" s="1"/>
  <c r="E3" i="2"/>
  <c r="E4" i="2" s="1"/>
  <c r="E7" i="2"/>
  <c r="E8" i="2" s="1"/>
  <c r="F3" i="2"/>
  <c r="F7" i="2"/>
  <c r="G8" i="1"/>
  <c r="H8" i="1" s="1"/>
  <c r="I8" i="1" s="1"/>
  <c r="G3" i="2"/>
  <c r="G7" i="2"/>
  <c r="M14" i="2"/>
  <c r="K14" i="2"/>
  <c r="K12" i="2"/>
  <c r="L14" i="2"/>
  <c r="J14" i="2"/>
  <c r="J12" i="2"/>
  <c r="I14" i="2"/>
  <c r="I12" i="2"/>
  <c r="H14" i="2"/>
  <c r="H12" i="2"/>
  <c r="M12" i="2"/>
  <c r="G14" i="2"/>
  <c r="G12" i="2"/>
  <c r="F14" i="2"/>
  <c r="F12" i="2"/>
  <c r="D14" i="2"/>
  <c r="E14" i="2"/>
  <c r="E12" i="2"/>
  <c r="L12" i="2"/>
  <c r="D12" i="2"/>
  <c r="D9" i="2"/>
  <c r="G3" i="1"/>
  <c r="H3" i="1" s="1"/>
  <c r="I3" i="1" s="1"/>
  <c r="L9" i="1" l="1"/>
  <c r="M9" i="1" s="1"/>
  <c r="N9" i="1" s="1"/>
  <c r="J8" i="1"/>
  <c r="K8" i="1" s="1"/>
  <c r="F10" i="1"/>
  <c r="F4" i="2"/>
  <c r="G10" i="1" s="1"/>
  <c r="F8" i="2"/>
  <c r="E9" i="2"/>
  <c r="E27" i="1"/>
  <c r="E45" i="1"/>
  <c r="L4" i="1"/>
  <c r="M4" i="1" s="1"/>
  <c r="N4" i="1" s="1"/>
  <c r="L8" i="1"/>
  <c r="M8" i="1" s="1"/>
  <c r="N8" i="1" s="1"/>
  <c r="J7" i="1"/>
  <c r="K7" i="1" s="1"/>
  <c r="J3" i="1"/>
  <c r="K3" i="1" s="1"/>
  <c r="L3" i="1" s="1"/>
  <c r="F45" i="1" l="1"/>
  <c r="F27" i="1"/>
  <c r="G4" i="2"/>
  <c r="F9" i="2"/>
  <c r="G8" i="2"/>
  <c r="M3" i="1"/>
  <c r="N3" i="1" s="1"/>
  <c r="L7" i="1"/>
  <c r="M7" i="1" s="1"/>
  <c r="N7" i="1" s="1"/>
  <c r="H4" i="2" l="1"/>
  <c r="H10" i="1"/>
  <c r="G45" i="1"/>
  <c r="G27" i="1"/>
  <c r="H8" i="2"/>
  <c r="G9" i="2"/>
  <c r="H45" i="1" l="1"/>
  <c r="H27" i="1"/>
  <c r="H9" i="2"/>
  <c r="I8" i="2"/>
  <c r="I10" i="1"/>
  <c r="I4" i="2"/>
  <c r="J8" i="2" l="1"/>
  <c r="I9" i="2"/>
  <c r="J4" i="2"/>
  <c r="J10" i="1"/>
  <c r="I45" i="1"/>
  <c r="I27" i="1"/>
  <c r="K4" i="2" l="1"/>
  <c r="K10" i="1"/>
  <c r="J45" i="1"/>
  <c r="J27" i="1"/>
  <c r="J9" i="2"/>
  <c r="K8" i="2"/>
  <c r="L10" i="1" l="1"/>
  <c r="L4" i="2"/>
  <c r="K9" i="2"/>
  <c r="L8" i="2"/>
  <c r="K45" i="1"/>
  <c r="K27" i="1"/>
  <c r="L45" i="1" l="1"/>
  <c r="L27" i="1"/>
  <c r="M4" i="2"/>
  <c r="N10" i="1" s="1"/>
  <c r="M10" i="1"/>
  <c r="M8" i="2"/>
  <c r="M9" i="2" s="1"/>
  <c r="L9" i="2"/>
  <c r="M45" i="1" l="1"/>
  <c r="M27" i="1"/>
  <c r="N45" i="1"/>
  <c r="N27" i="1"/>
</calcChain>
</file>

<file path=xl/sharedStrings.xml><?xml version="1.0" encoding="utf-8"?>
<sst xmlns="http://schemas.openxmlformats.org/spreadsheetml/2006/main" count="276" uniqueCount="93">
  <si>
    <t>Stage 1</t>
  </si>
  <si>
    <t>Stage 2</t>
  </si>
  <si>
    <t>Stage 3</t>
  </si>
  <si>
    <t>Stage 4</t>
  </si>
  <si>
    <t>Stage 5</t>
  </si>
  <si>
    <t>TX source</t>
  </si>
  <si>
    <t>TX antenna</t>
  </si>
  <si>
    <t>RX antenna</t>
  </si>
  <si>
    <t>Receiver characterization measurement</t>
  </si>
  <si>
    <t>3m Range Test Theory</t>
  </si>
  <si>
    <t>Max Range Test Theory</t>
  </si>
  <si>
    <t>3m Range Test Measurement</t>
  </si>
  <si>
    <t>Receiver characterization theory</t>
  </si>
  <si>
    <t>NA</t>
  </si>
  <si>
    <t>Notes</t>
  </si>
  <si>
    <t>Signal "1" Power</t>
  </si>
  <si>
    <t>Signal "1" Frequency</t>
  </si>
  <si>
    <t>Signal "0" Power</t>
  </si>
  <si>
    <t>Signal "0" Frequency</t>
  </si>
  <si>
    <t>Blocker 1 Power</t>
  </si>
  <si>
    <t>Blocker 1 Frequency</t>
  </si>
  <si>
    <t>Blocker 2 Power</t>
  </si>
  <si>
    <t>Blocker 2 Frequency</t>
  </si>
  <si>
    <t>DANL</t>
  </si>
  <si>
    <t>Max Range Measurement</t>
  </si>
  <si>
    <t>Tone 1 power</t>
  </si>
  <si>
    <t>Tone 2 power</t>
  </si>
  <si>
    <t>IM3 power</t>
  </si>
  <si>
    <t>Tone 1 frequency</t>
  </si>
  <si>
    <t>Tone 2 frequency</t>
  </si>
  <si>
    <t>Stage Name</t>
  </si>
  <si>
    <t>Stage 6</t>
  </si>
  <si>
    <t>Stage 7</t>
  </si>
  <si>
    <t>Stage 8</t>
  </si>
  <si>
    <t>Stage 9</t>
  </si>
  <si>
    <t>Wide BPF</t>
  </si>
  <si>
    <t>Amplifier</t>
  </si>
  <si>
    <t>Mixer</t>
  </si>
  <si>
    <t>Narrow BPF</t>
  </si>
  <si>
    <t>Attenuator</t>
  </si>
  <si>
    <t>LPF</t>
  </si>
  <si>
    <t>Useful Information</t>
  </si>
  <si>
    <t>Physical Temperature [K]</t>
  </si>
  <si>
    <t>Boltzmann's Constant</t>
  </si>
  <si>
    <t>Spectrum Analyzer</t>
  </si>
  <si>
    <t>Noise Temperature [K]</t>
  </si>
  <si>
    <t>Transmit Antenna</t>
  </si>
  <si>
    <t>Antenna Return Loss [dB]</t>
  </si>
  <si>
    <t>Antenna Directionality [dBi]</t>
  </si>
  <si>
    <t>Receive Antenna</t>
  </si>
  <si>
    <t>Physical Parameters</t>
  </si>
  <si>
    <t>Distance [m]</t>
  </si>
  <si>
    <t>VBFZ-2340-S+ BPF</t>
  </si>
  <si>
    <t>Insertion Loss [dB]</t>
  </si>
  <si>
    <t>Band Start [MHz]</t>
  </si>
  <si>
    <t>Band Stop [MHz]</t>
  </si>
  <si>
    <t>ZX60-2531MA+ Amplifier</t>
  </si>
  <si>
    <t>Gain @ 2200 MHz [dB]</t>
  </si>
  <si>
    <t>Gain @ 300 MHz [dB]</t>
  </si>
  <si>
    <t>IIP3 [dB]</t>
  </si>
  <si>
    <t>OIP3 [dB]</t>
  </si>
  <si>
    <t>NF [dB]</t>
  </si>
  <si>
    <t>ZX05-C24+ Mixer</t>
  </si>
  <si>
    <t>Conversion Loss [dB]</t>
  </si>
  <si>
    <t>Custom BPF</t>
  </si>
  <si>
    <t>226 MHz Attenuation [dB]</t>
  </si>
  <si>
    <t>386 MHz Attenuation [dB]</t>
  </si>
  <si>
    <t>200 MHz Attenuation [dB]</t>
  </si>
  <si>
    <t>450 MHz Attenuation [dB]</t>
  </si>
  <si>
    <t>ZFL-1000LN Amplifier</t>
  </si>
  <si>
    <t>Gain [dB]</t>
  </si>
  <si>
    <t>ZX75LP-40-S+ LPF</t>
  </si>
  <si>
    <t>75 MHz Attenuation [dB]</t>
  </si>
  <si>
    <t>100 MHz Attenuation [dB]</t>
  </si>
  <si>
    <t>150 MHz Attenuation [dB]</t>
  </si>
  <si>
    <t>IM3 lower frequency</t>
  </si>
  <si>
    <t>IM3 upper frequency</t>
  </si>
  <si>
    <t>Mixer LO</t>
  </si>
  <si>
    <t>LO1</t>
  </si>
  <si>
    <t>LO2</t>
  </si>
  <si>
    <t>&lt;DANL</t>
  </si>
  <si>
    <t>Receiver Noise Measurement [K]</t>
  </si>
  <si>
    <t>Receiver Noise Measurement [dB]</t>
  </si>
  <si>
    <t>Spectrum Analyzer Measurement DANL [dB]</t>
  </si>
  <si>
    <t>Spectrum Analyzer RBW [Hz]</t>
  </si>
  <si>
    <t>Stage Noise Contribution Theory [K]</t>
  </si>
  <si>
    <t>RX Noise</t>
  </si>
  <si>
    <t>TX Noise</t>
  </si>
  <si>
    <t>System Noise Temperature Theory [K]</t>
  </si>
  <si>
    <t>System Noise Temperature Theory [dB]</t>
  </si>
  <si>
    <t>Theory without antenna</t>
  </si>
  <si>
    <t>Theory with antenna</t>
  </si>
  <si>
    <t>Measured with antenna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</si>
</sst>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0"/>
      <color rgb="FF000000"/>
      <name val="Aptos Narrow"/>
      <family val="2"/>
      <scheme val="minor"/>
    </font>
    <font>
      <b/>
      <sz val="11"/>
      <color theme="1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1" fillId="0" borderId="0" xfId="0" applyFont="1"/>
    <xf numFmtId="11" fontId="0" fillId="0" borderId="0" xfId="0" applyNumberFormat="1"/>
    <xf numFmtId="0" fontId="2" fillId="0" borderId="0" xfId="0" applyFont="1"/>
    <xf numFmtId="2" fontId="0" fillId="0" borderId="0" xfId="0" applyNumberFormat="1"/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D5A7F-7DFF-4477-AB1E-F70D5D9D3D5D}">
  <sheetPr>
    <pageSetUpPr fitToPage="1"/>
  </sheetPr>
  <dimension ref="A1:AI54"/>
  <sheetViews>
    <sheetView tabSelected="1" zoomScale="133" zoomScaleNormal="93" workbookViewId="0">
      <selection activeCell="N22" sqref="N22"/>
    </sheetView>
  </sheetViews>
  <sheetFormatPr baseColWidth="10" defaultColWidth="8.83203125" defaultRowHeight="15" x14ac:dyDescent="0.2"/>
  <cols>
    <col min="1" max="1" width="34.83203125" bestFit="1" customWidth="1"/>
    <col min="2" max="2" width="18.1640625" bestFit="1" customWidth="1"/>
    <col min="3" max="3" width="9.33203125" bestFit="1" customWidth="1"/>
    <col min="4" max="5" width="12.33203125" bestFit="1" customWidth="1"/>
    <col min="6" max="7" width="9.1640625" bestFit="1" customWidth="1"/>
    <col min="8" max="8" width="9" bestFit="1" customWidth="1"/>
    <col min="9" max="9" width="9.6640625" customWidth="1"/>
    <col min="10" max="14" width="9" bestFit="1" customWidth="1"/>
    <col min="17" max="17" width="19.83203125" customWidth="1"/>
    <col min="18" max="18" width="10.33203125" bestFit="1" customWidth="1"/>
    <col min="19" max="19" width="9.1640625" bestFit="1" customWidth="1"/>
    <col min="27" max="27" width="19" customWidth="1"/>
    <col min="28" max="28" width="10.1640625" bestFit="1" customWidth="1"/>
    <col min="29" max="29" width="20.5" customWidth="1"/>
    <col min="31" max="31" width="17.1640625" customWidth="1"/>
    <col min="33" max="33" width="18.83203125" customWidth="1"/>
    <col min="35" max="35" width="18.83203125" customWidth="1"/>
  </cols>
  <sheetData>
    <row r="1" spans="1:35" x14ac:dyDescent="0.2">
      <c r="C1" t="s">
        <v>5</v>
      </c>
      <c r="D1" t="s">
        <v>6</v>
      </c>
      <c r="E1" t="s">
        <v>7</v>
      </c>
      <c r="F1" s="2" t="s">
        <v>0</v>
      </c>
      <c r="G1" s="2" t="s">
        <v>1</v>
      </c>
      <c r="H1" s="2" t="s">
        <v>2</v>
      </c>
      <c r="I1" s="2" t="s">
        <v>3</v>
      </c>
      <c r="J1" s="2" t="s">
        <v>4</v>
      </c>
      <c r="K1" s="2" t="s">
        <v>31</v>
      </c>
      <c r="L1" s="2" t="s">
        <v>32</v>
      </c>
      <c r="M1" s="2" t="s">
        <v>33</v>
      </c>
      <c r="N1" s="2" t="s">
        <v>34</v>
      </c>
      <c r="O1" s="2" t="s">
        <v>14</v>
      </c>
      <c r="Q1" s="4" t="s">
        <v>41</v>
      </c>
      <c r="AA1" s="4"/>
    </row>
    <row r="2" spans="1:35" x14ac:dyDescent="0.2">
      <c r="B2" t="s">
        <v>30</v>
      </c>
      <c r="F2" t="s">
        <v>35</v>
      </c>
      <c r="G2" t="s">
        <v>36</v>
      </c>
      <c r="H2" t="s">
        <v>37</v>
      </c>
      <c r="I2" t="s">
        <v>38</v>
      </c>
      <c r="J2" t="s">
        <v>36</v>
      </c>
      <c r="K2" t="s">
        <v>39</v>
      </c>
      <c r="L2" t="s">
        <v>36</v>
      </c>
      <c r="M2" t="s">
        <v>37</v>
      </c>
      <c r="N2" t="s">
        <v>40</v>
      </c>
      <c r="Q2" s="4" t="s">
        <v>77</v>
      </c>
      <c r="AA2" s="4"/>
      <c r="AC2" s="4"/>
      <c r="AE2" s="4"/>
      <c r="AG2" s="4"/>
      <c r="AI2" s="4"/>
    </row>
    <row r="3" spans="1:35" x14ac:dyDescent="0.2">
      <c r="A3" t="s">
        <v>12</v>
      </c>
      <c r="B3" t="s">
        <v>25</v>
      </c>
      <c r="C3" t="s">
        <v>13</v>
      </c>
      <c r="D3" t="s">
        <v>13</v>
      </c>
      <c r="E3">
        <v>-40</v>
      </c>
      <c r="F3">
        <f>E3-$R$23</f>
        <v>-41.4</v>
      </c>
      <c r="G3">
        <f>F3+$R$28</f>
        <v>-4.3999999999999986</v>
      </c>
      <c r="H3">
        <f>G3-$R$35</f>
        <v>-10.399999999999999</v>
      </c>
      <c r="I3">
        <f>H3-$R$38</f>
        <v>-15.899999999999999</v>
      </c>
      <c r="J3">
        <f>I3+$R$29</f>
        <v>19.100000000000001</v>
      </c>
      <c r="K3">
        <f>J3-3</f>
        <v>16.100000000000001</v>
      </c>
      <c r="L3">
        <f>K3+$R$45</f>
        <v>39.1</v>
      </c>
      <c r="M3">
        <f>L3-$R$35</f>
        <v>33.1</v>
      </c>
      <c r="N3">
        <f>M3-$R$51</f>
        <v>32.1</v>
      </c>
      <c r="Q3" t="s">
        <v>78</v>
      </c>
      <c r="R3">
        <v>1950</v>
      </c>
    </row>
    <row r="4" spans="1:35" x14ac:dyDescent="0.2">
      <c r="B4" t="s">
        <v>28</v>
      </c>
      <c r="C4" t="s">
        <v>13</v>
      </c>
      <c r="D4" t="s">
        <v>13</v>
      </c>
      <c r="E4">
        <v>2256</v>
      </c>
      <c r="F4">
        <f>E4</f>
        <v>2256</v>
      </c>
      <c r="G4">
        <f>F4</f>
        <v>2256</v>
      </c>
      <c r="H4">
        <f>G4-$R$3</f>
        <v>306</v>
      </c>
      <c r="I4">
        <f>H4</f>
        <v>306</v>
      </c>
      <c r="J4">
        <f>I4</f>
        <v>306</v>
      </c>
      <c r="K4">
        <f>J4</f>
        <v>306</v>
      </c>
      <c r="L4">
        <f>K4</f>
        <v>306</v>
      </c>
      <c r="M4">
        <f>L4-$R$4</f>
        <v>1</v>
      </c>
      <c r="N4">
        <f>M4</f>
        <v>1</v>
      </c>
      <c r="Q4" t="s">
        <v>79</v>
      </c>
      <c r="R4">
        <v>305</v>
      </c>
    </row>
    <row r="5" spans="1:35" x14ac:dyDescent="0.2">
      <c r="B5" t="s">
        <v>26</v>
      </c>
      <c r="C5" t="s">
        <v>13</v>
      </c>
      <c r="D5" t="s">
        <v>13</v>
      </c>
      <c r="E5">
        <v>-40</v>
      </c>
      <c r="F5">
        <f>E5-$R$23</f>
        <v>-41.4</v>
      </c>
      <c r="G5">
        <f>F5+$R$28</f>
        <v>-4.3999999999999986</v>
      </c>
      <c r="H5">
        <f>G5-$R$35</f>
        <v>-10.399999999999999</v>
      </c>
      <c r="I5">
        <f>H5-$R$38</f>
        <v>-15.899999999999999</v>
      </c>
      <c r="J5">
        <f>I5+$R$29</f>
        <v>19.100000000000001</v>
      </c>
      <c r="K5">
        <f>J5-3</f>
        <v>16.100000000000001</v>
      </c>
      <c r="L5">
        <f>K5+$R$45</f>
        <v>39.1</v>
      </c>
      <c r="M5">
        <f>L5-$R$35</f>
        <v>33.1</v>
      </c>
      <c r="N5">
        <f>M5-$R$51</f>
        <v>32.1</v>
      </c>
    </row>
    <row r="6" spans="1:35" x14ac:dyDescent="0.2">
      <c r="B6" t="s">
        <v>29</v>
      </c>
      <c r="C6" t="s">
        <v>13</v>
      </c>
      <c r="D6" t="s">
        <v>13</v>
      </c>
      <c r="E6">
        <v>2296</v>
      </c>
      <c r="F6">
        <f>E6</f>
        <v>2296</v>
      </c>
      <c r="G6">
        <f>F6</f>
        <v>2296</v>
      </c>
      <c r="H6">
        <f>G6-$R$3</f>
        <v>346</v>
      </c>
      <c r="I6">
        <f>H6</f>
        <v>346</v>
      </c>
      <c r="J6">
        <f>I6</f>
        <v>346</v>
      </c>
      <c r="K6">
        <f>J6</f>
        <v>346</v>
      </c>
      <c r="L6">
        <f>K6</f>
        <v>346</v>
      </c>
      <c r="M6">
        <f>L6-$R$4</f>
        <v>41</v>
      </c>
      <c r="N6">
        <f>M6</f>
        <v>41</v>
      </c>
      <c r="Q6" s="4" t="s">
        <v>50</v>
      </c>
      <c r="AA6" s="4"/>
      <c r="AC6" s="4"/>
    </row>
    <row r="7" spans="1:35" x14ac:dyDescent="0.2">
      <c r="B7" t="s">
        <v>27</v>
      </c>
      <c r="C7" t="s">
        <v>13</v>
      </c>
      <c r="D7" t="s">
        <v>13</v>
      </c>
      <c r="E7" t="s">
        <v>13</v>
      </c>
      <c r="F7" t="s">
        <v>13</v>
      </c>
      <c r="G7">
        <f>$R$31 - 3*($R$30 - F3)</f>
        <v>-90</v>
      </c>
      <c r="H7">
        <f>G7-$R$35</f>
        <v>-96</v>
      </c>
      <c r="I7">
        <f>H7-$R$38</f>
        <v>-101.5</v>
      </c>
      <c r="J7">
        <f>$R$31 - 3*($R$30 - I3)</f>
        <v>-13.499999999999993</v>
      </c>
      <c r="K7">
        <f>J7-3</f>
        <v>-16.499999999999993</v>
      </c>
      <c r="L7">
        <f>$R$47 - 3*($R$46 - K3)</f>
        <v>80.300000000000011</v>
      </c>
      <c r="M7">
        <f>L7-$R$35</f>
        <v>74.300000000000011</v>
      </c>
      <c r="N7">
        <f>M7-$R$51</f>
        <v>73.300000000000011</v>
      </c>
      <c r="Q7" t="s">
        <v>51</v>
      </c>
      <c r="R7">
        <v>3</v>
      </c>
    </row>
    <row r="8" spans="1:35" x14ac:dyDescent="0.2">
      <c r="B8" t="s">
        <v>75</v>
      </c>
      <c r="C8" t="s">
        <v>13</v>
      </c>
      <c r="D8" t="s">
        <v>13</v>
      </c>
      <c r="E8" t="s">
        <v>13</v>
      </c>
      <c r="F8" t="s">
        <v>13</v>
      </c>
      <c r="G8">
        <f>2*F4-F6</f>
        <v>2216</v>
      </c>
      <c r="H8">
        <f>G8-$R$3</f>
        <v>266</v>
      </c>
      <c r="I8">
        <f>H8</f>
        <v>266</v>
      </c>
      <c r="J8">
        <f>2*I4-I6</f>
        <v>266</v>
      </c>
      <c r="K8">
        <f>J8</f>
        <v>266</v>
      </c>
      <c r="L8">
        <f>2*K4-K6</f>
        <v>266</v>
      </c>
      <c r="M8">
        <f>ABS(L8-$R$4)</f>
        <v>39</v>
      </c>
      <c r="N8">
        <f>M8</f>
        <v>39</v>
      </c>
      <c r="Q8" t="s">
        <v>42</v>
      </c>
      <c r="R8">
        <v>290</v>
      </c>
    </row>
    <row r="9" spans="1:35" x14ac:dyDescent="0.2">
      <c r="B9" t="s">
        <v>76</v>
      </c>
      <c r="C9" t="s">
        <v>13</v>
      </c>
      <c r="D9" t="s">
        <v>13</v>
      </c>
      <c r="E9" t="s">
        <v>13</v>
      </c>
      <c r="F9" t="s">
        <v>13</v>
      </c>
      <c r="G9">
        <f>2*F6-F4</f>
        <v>2336</v>
      </c>
      <c r="H9">
        <f>G9-$R$3</f>
        <v>386</v>
      </c>
      <c r="I9">
        <f>H9</f>
        <v>386</v>
      </c>
      <c r="J9">
        <f>2*I6-I4</f>
        <v>386</v>
      </c>
      <c r="K9">
        <f>J9</f>
        <v>386</v>
      </c>
      <c r="L9">
        <f>2*K6-K4</f>
        <v>386</v>
      </c>
      <c r="M9">
        <f>L9-$R$4</f>
        <v>81</v>
      </c>
      <c r="N9">
        <f>M9</f>
        <v>81</v>
      </c>
      <c r="Q9" t="s">
        <v>43</v>
      </c>
      <c r="R9">
        <f>1.380649E-23</f>
        <v>1.3806490000000001E-23</v>
      </c>
      <c r="AE9" s="4"/>
      <c r="AG9" s="4"/>
    </row>
    <row r="10" spans="1:35" x14ac:dyDescent="0.2">
      <c r="B10" t="s">
        <v>23</v>
      </c>
      <c r="C10" t="s">
        <v>13</v>
      </c>
      <c r="D10" t="s">
        <v>13</v>
      </c>
      <c r="E10" t="s">
        <v>13</v>
      </c>
      <c r="F10" s="5">
        <f>'Noise Budget'!E5</f>
        <v>-139.57296176292775</v>
      </c>
      <c r="G10" s="5">
        <f>'Noise Budget'!F5</f>
        <v>-95.934325066055166</v>
      </c>
      <c r="H10" s="5">
        <f>'Noise Budget'!G5</f>
        <v>-88.92199289790689</v>
      </c>
      <c r="I10" s="5">
        <f>'Noise Budget'!H5</f>
        <v>-99.647324823332241</v>
      </c>
      <c r="J10" s="5">
        <f>'Noise Budget'!I5</f>
        <v>-62.64254053161487</v>
      </c>
      <c r="K10" s="5">
        <f>'Noise Budget'!J5</f>
        <v>-65.642539577548888</v>
      </c>
      <c r="L10" s="5">
        <f>'Noise Budget'!K5</f>
        <v>-42.642537760806825</v>
      </c>
      <c r="M10" s="5">
        <f>'Noise Budget'!L5</f>
        <v>-50.403450322786867</v>
      </c>
      <c r="N10" s="5">
        <f>'Noise Budget'!M5</f>
        <v>-46.632237770649581</v>
      </c>
      <c r="AC10" s="4"/>
    </row>
    <row r="11" spans="1:35" x14ac:dyDescent="0.2">
      <c r="A11" t="s">
        <v>8</v>
      </c>
      <c r="B11" t="s">
        <v>25</v>
      </c>
      <c r="C11" t="s">
        <v>13</v>
      </c>
      <c r="D11" t="s">
        <v>13</v>
      </c>
      <c r="E11" t="s">
        <v>13</v>
      </c>
      <c r="F11" s="1"/>
      <c r="G11" s="1"/>
      <c r="H11" s="1"/>
      <c r="I11" s="1"/>
      <c r="J11" s="1"/>
      <c r="K11" s="1"/>
      <c r="L11" s="1"/>
      <c r="M11" s="1"/>
      <c r="N11">
        <v>-56.6</v>
      </c>
      <c r="Q11" s="4" t="s">
        <v>44</v>
      </c>
      <c r="AA11" s="4"/>
    </row>
    <row r="12" spans="1:35" x14ac:dyDescent="0.2">
      <c r="B12" t="s">
        <v>28</v>
      </c>
      <c r="C12" t="s">
        <v>13</v>
      </c>
      <c r="D12" t="s">
        <v>13</v>
      </c>
      <c r="E12" t="s">
        <v>13</v>
      </c>
      <c r="F12" s="1"/>
      <c r="G12" s="1"/>
      <c r="H12" s="1"/>
      <c r="I12" s="1"/>
      <c r="J12" s="1"/>
      <c r="K12" s="1"/>
      <c r="L12" s="1"/>
      <c r="M12" s="1"/>
      <c r="N12">
        <v>1</v>
      </c>
      <c r="Q12" t="s">
        <v>45</v>
      </c>
      <c r="R12">
        <v>724000000</v>
      </c>
    </row>
    <row r="13" spans="1:35" x14ac:dyDescent="0.2">
      <c r="B13" t="s">
        <v>26</v>
      </c>
      <c r="C13" t="s">
        <v>13</v>
      </c>
      <c r="D13" t="s">
        <v>13</v>
      </c>
      <c r="E13" t="s">
        <v>13</v>
      </c>
      <c r="F13" s="1"/>
      <c r="G13" s="1"/>
      <c r="H13" s="1"/>
      <c r="I13" s="1"/>
      <c r="J13" s="1"/>
      <c r="K13" s="1"/>
      <c r="L13" s="1"/>
      <c r="M13" s="1"/>
      <c r="N13">
        <v>-28.5</v>
      </c>
    </row>
    <row r="14" spans="1:35" x14ac:dyDescent="0.2">
      <c r="B14" t="s">
        <v>29</v>
      </c>
      <c r="C14" t="s">
        <v>13</v>
      </c>
      <c r="D14" t="s">
        <v>13</v>
      </c>
      <c r="E14" t="s">
        <v>13</v>
      </c>
      <c r="F14" s="1"/>
      <c r="G14" s="1"/>
      <c r="H14" s="1"/>
      <c r="I14" s="1"/>
      <c r="J14" s="1"/>
      <c r="K14" s="1"/>
      <c r="L14" s="1"/>
      <c r="M14" s="1"/>
      <c r="N14">
        <v>41</v>
      </c>
      <c r="Q14" s="4" t="s">
        <v>46</v>
      </c>
    </row>
    <row r="15" spans="1:35" x14ac:dyDescent="0.2">
      <c r="B15" t="s">
        <v>27</v>
      </c>
      <c r="C15" t="s">
        <v>13</v>
      </c>
      <c r="D15" t="s">
        <v>13</v>
      </c>
      <c r="E15" t="s">
        <v>13</v>
      </c>
      <c r="F15" s="1"/>
      <c r="G15" s="1"/>
      <c r="H15" s="1"/>
      <c r="I15" s="1"/>
      <c r="J15" s="1"/>
      <c r="K15" s="1"/>
      <c r="L15" s="1"/>
      <c r="M15" s="1"/>
      <c r="N15">
        <v>-75.3</v>
      </c>
      <c r="Q15" t="s">
        <v>47</v>
      </c>
      <c r="R15">
        <v>-10</v>
      </c>
    </row>
    <row r="16" spans="1:35" x14ac:dyDescent="0.2">
      <c r="B16" t="s">
        <v>75</v>
      </c>
      <c r="C16" t="s">
        <v>13</v>
      </c>
      <c r="D16" t="s">
        <v>13</v>
      </c>
      <c r="E16" t="s">
        <v>13</v>
      </c>
      <c r="F16" s="1"/>
      <c r="G16" s="1"/>
      <c r="H16" s="1"/>
      <c r="I16" s="1"/>
      <c r="J16" s="1"/>
      <c r="K16" s="1"/>
      <c r="L16" s="1"/>
      <c r="M16" s="1"/>
      <c r="N16">
        <v>39</v>
      </c>
      <c r="Q16" t="s">
        <v>48</v>
      </c>
      <c r="R16">
        <v>4</v>
      </c>
    </row>
    <row r="17" spans="1:19" x14ac:dyDescent="0.2">
      <c r="B17" t="s">
        <v>76</v>
      </c>
      <c r="C17" t="s">
        <v>13</v>
      </c>
      <c r="D17" t="s">
        <v>13</v>
      </c>
      <c r="E17" t="s">
        <v>13</v>
      </c>
      <c r="F17" s="1"/>
      <c r="G17" s="1"/>
      <c r="H17" s="1"/>
      <c r="I17" s="1"/>
      <c r="J17" s="1"/>
      <c r="K17" s="1"/>
      <c r="L17" s="1"/>
      <c r="M17" s="1"/>
      <c r="N17">
        <v>81</v>
      </c>
    </row>
    <row r="18" spans="1:19" x14ac:dyDescent="0.2">
      <c r="B18" t="s">
        <v>23</v>
      </c>
      <c r="C18" t="s">
        <v>13</v>
      </c>
      <c r="D18" t="s">
        <v>13</v>
      </c>
      <c r="E18" t="s">
        <v>13</v>
      </c>
      <c r="F18" s="1"/>
      <c r="G18" s="1"/>
      <c r="H18" s="1"/>
      <c r="I18" s="1"/>
      <c r="J18" s="1"/>
      <c r="K18" s="1"/>
      <c r="L18" s="1"/>
      <c r="M18" s="1"/>
      <c r="N18">
        <v>-71</v>
      </c>
      <c r="Q18" s="4" t="s">
        <v>49</v>
      </c>
    </row>
    <row r="19" spans="1:19" x14ac:dyDescent="0.2">
      <c r="A19" t="s">
        <v>9</v>
      </c>
      <c r="B19" t="s">
        <v>17</v>
      </c>
      <c r="C19">
        <v>-29</v>
      </c>
      <c r="D19" s="5">
        <f>10*LOG10(POWER(10,C19/10) * (1-POWER(10, $R$15/10)))</f>
        <v>-29.457574905606755</v>
      </c>
      <c r="E19" s="5">
        <f>D19+20*LOG10(300000000/(E20*1000000) / (4 * PI() * $A$20))</f>
        <v>-78.508554092274778</v>
      </c>
      <c r="F19" s="5">
        <f>E19-$R$23</f>
        <v>-79.908554092274784</v>
      </c>
      <c r="G19" s="5">
        <f>F19+$R$28</f>
        <v>-42.908554092274784</v>
      </c>
      <c r="H19" s="5">
        <f>G19-$R$35</f>
        <v>-48.908554092274784</v>
      </c>
      <c r="I19" s="5">
        <f>H19-$R$38</f>
        <v>-54.408554092274784</v>
      </c>
      <c r="J19" s="5">
        <f>I19+$R$29</f>
        <v>-19.408554092274784</v>
      </c>
      <c r="K19" s="5">
        <f>J19-3</f>
        <v>-22.408554092274784</v>
      </c>
      <c r="L19" s="5">
        <f>K19+$R$45</f>
        <v>0.5914459077252161</v>
      </c>
      <c r="M19" s="5">
        <f>L19-$R$35</f>
        <v>-5.4085540922747839</v>
      </c>
      <c r="N19" s="5">
        <f>M19-$R$51</f>
        <v>-6.4085540922747839</v>
      </c>
      <c r="Q19" t="s">
        <v>47</v>
      </c>
      <c r="R19">
        <v>-10</v>
      </c>
    </row>
    <row r="20" spans="1:19" x14ac:dyDescent="0.2">
      <c r="A20">
        <v>3</v>
      </c>
      <c r="B20" t="s">
        <v>18</v>
      </c>
      <c r="C20">
        <v>2256</v>
      </c>
      <c r="D20">
        <f>C20</f>
        <v>2256</v>
      </c>
      <c r="E20">
        <f>D20</f>
        <v>2256</v>
      </c>
      <c r="F20">
        <f>E20</f>
        <v>2256</v>
      </c>
      <c r="G20">
        <f>F20</f>
        <v>2256</v>
      </c>
      <c r="H20">
        <f>G20-$R$3</f>
        <v>306</v>
      </c>
      <c r="I20">
        <f>H20</f>
        <v>306</v>
      </c>
      <c r="J20">
        <f>I20</f>
        <v>306</v>
      </c>
      <c r="K20">
        <f>J20</f>
        <v>306</v>
      </c>
      <c r="L20">
        <f>K20</f>
        <v>306</v>
      </c>
      <c r="M20">
        <f>L20-$R$4</f>
        <v>1</v>
      </c>
      <c r="N20">
        <f>M20</f>
        <v>1</v>
      </c>
      <c r="Q20" t="s">
        <v>48</v>
      </c>
      <c r="R20">
        <v>4</v>
      </c>
    </row>
    <row r="21" spans="1:19" x14ac:dyDescent="0.2">
      <c r="B21" t="s">
        <v>15</v>
      </c>
      <c r="C21">
        <v>-29</v>
      </c>
      <c r="D21" s="5">
        <f>10*LOG10(POWER(10,C21/10) * (1-POWER(10, $R$15/10)))</f>
        <v>-29.457574905606755</v>
      </c>
      <c r="E21" s="5">
        <f>D21+20*LOG10(300000000/(E22*1000000) / (4 * PI() * $A$20))</f>
        <v>-78.661209860567396</v>
      </c>
      <c r="F21" s="5">
        <f>E21-$R$23</f>
        <v>-80.061209860567402</v>
      </c>
      <c r="G21" s="5">
        <f>F21+$R$28</f>
        <v>-43.061209860567402</v>
      </c>
      <c r="H21" s="5">
        <f>G21-$R$35</f>
        <v>-49.061209860567402</v>
      </c>
      <c r="I21" s="5">
        <f>H21-$R$38</f>
        <v>-54.561209860567402</v>
      </c>
      <c r="J21" s="5">
        <f>I21+$R$29</f>
        <v>-19.561209860567402</v>
      </c>
      <c r="K21" s="5">
        <f>J21-3</f>
        <v>-22.561209860567402</v>
      </c>
      <c r="L21" s="5">
        <f>K21+$R$45</f>
        <v>0.43879013943259793</v>
      </c>
      <c r="M21" s="5">
        <f>L21-$R$35</f>
        <v>-5.5612098605674021</v>
      </c>
      <c r="N21" s="5">
        <f>M21-$R$51</f>
        <v>-6.5612098605674021</v>
      </c>
    </row>
    <row r="22" spans="1:19" x14ac:dyDescent="0.2">
      <c r="B22" t="s">
        <v>16</v>
      </c>
      <c r="C22">
        <v>2296</v>
      </c>
      <c r="D22">
        <f>C22</f>
        <v>2296</v>
      </c>
      <c r="E22">
        <f>D22</f>
        <v>2296</v>
      </c>
      <c r="F22">
        <f>E22</f>
        <v>2296</v>
      </c>
      <c r="G22">
        <f>F22</f>
        <v>2296</v>
      </c>
      <c r="H22">
        <f>G22-$R$3</f>
        <v>346</v>
      </c>
      <c r="I22">
        <f>H22</f>
        <v>346</v>
      </c>
      <c r="J22">
        <f>I22</f>
        <v>346</v>
      </c>
      <c r="K22">
        <f>J22</f>
        <v>346</v>
      </c>
      <c r="L22">
        <f>K22</f>
        <v>346</v>
      </c>
      <c r="M22">
        <f>L22-$R$4</f>
        <v>41</v>
      </c>
      <c r="N22">
        <f>M22</f>
        <v>41</v>
      </c>
      <c r="Q22" s="4" t="s">
        <v>52</v>
      </c>
    </row>
    <row r="23" spans="1:19" x14ac:dyDescent="0.2">
      <c r="B23" t="s">
        <v>19</v>
      </c>
      <c r="C23" t="s">
        <v>13</v>
      </c>
      <c r="D23" t="s">
        <v>13</v>
      </c>
      <c r="E23">
        <v>-80</v>
      </c>
      <c r="F23">
        <f>E23-$R$23</f>
        <v>-81.400000000000006</v>
      </c>
      <c r="G23">
        <f>F23+$R$28</f>
        <v>-44.400000000000006</v>
      </c>
      <c r="H23">
        <f>G23-$R$35</f>
        <v>-50.400000000000006</v>
      </c>
      <c r="I23">
        <f>H23-$R$41</f>
        <v>-74.400000000000006</v>
      </c>
      <c r="J23">
        <f>I23+$R$29</f>
        <v>-39.400000000000006</v>
      </c>
      <c r="K23">
        <f>J23-3</f>
        <v>-42.400000000000006</v>
      </c>
      <c r="L23">
        <f>K23+$R$45</f>
        <v>-19.400000000000006</v>
      </c>
      <c r="M23">
        <f>L23-$R$35</f>
        <v>-25.400000000000006</v>
      </c>
      <c r="N23">
        <f>M23-$R$53</f>
        <v>-85.4</v>
      </c>
      <c r="Q23" t="s">
        <v>53</v>
      </c>
      <c r="R23">
        <v>1.4</v>
      </c>
      <c r="S23">
        <f>POWER(10,-R23/10)</f>
        <v>0.72443596007499012</v>
      </c>
    </row>
    <row r="24" spans="1:19" x14ac:dyDescent="0.2">
      <c r="B24" t="s">
        <v>20</v>
      </c>
      <c r="C24" t="s">
        <v>13</v>
      </c>
      <c r="D24" t="s">
        <v>13</v>
      </c>
      <c r="E24">
        <v>2150</v>
      </c>
      <c r="F24">
        <f>E24</f>
        <v>2150</v>
      </c>
      <c r="G24">
        <f>F24</f>
        <v>2150</v>
      </c>
      <c r="H24">
        <f>G24-$R$3</f>
        <v>200</v>
      </c>
      <c r="I24">
        <f>H24</f>
        <v>200</v>
      </c>
      <c r="J24">
        <f>I24</f>
        <v>200</v>
      </c>
      <c r="K24">
        <f>J24</f>
        <v>200</v>
      </c>
      <c r="L24">
        <f>K24</f>
        <v>200</v>
      </c>
      <c r="M24">
        <f>ABS(L24-$R$4)</f>
        <v>105</v>
      </c>
      <c r="N24">
        <f>M24</f>
        <v>105</v>
      </c>
      <c r="Q24" t="s">
        <v>54</v>
      </c>
      <c r="R24">
        <v>2020</v>
      </c>
    </row>
    <row r="25" spans="1:19" x14ac:dyDescent="0.2">
      <c r="B25" t="s">
        <v>21</v>
      </c>
      <c r="C25" t="s">
        <v>13</v>
      </c>
      <c r="D25" t="s">
        <v>13</v>
      </c>
      <c r="E25">
        <v>-55</v>
      </c>
      <c r="F25">
        <f>E25-$R$23</f>
        <v>-56.4</v>
      </c>
      <c r="G25">
        <f>F25+$R$28</f>
        <v>-19.399999999999999</v>
      </c>
      <c r="H25">
        <f>G25-$R$35</f>
        <v>-25.4</v>
      </c>
      <c r="I25">
        <f>H25-$R$42</f>
        <v>-45.4</v>
      </c>
      <c r="J25">
        <f>I25+$R$29</f>
        <v>-10.399999999999999</v>
      </c>
      <c r="K25">
        <f>J25-3</f>
        <v>-13.399999999999999</v>
      </c>
      <c r="L25">
        <f>K25+$R$45</f>
        <v>9.6000000000000014</v>
      </c>
      <c r="M25">
        <f>L25-$R$35</f>
        <v>3.6000000000000014</v>
      </c>
      <c r="N25">
        <f>M25-$R$54</f>
        <v>-53.4</v>
      </c>
      <c r="Q25" t="s">
        <v>55</v>
      </c>
      <c r="R25">
        <v>2660</v>
      </c>
    </row>
    <row r="26" spans="1:19" x14ac:dyDescent="0.2">
      <c r="B26" t="s">
        <v>22</v>
      </c>
      <c r="C26" t="s">
        <v>13</v>
      </c>
      <c r="D26" t="s">
        <v>13</v>
      </c>
      <c r="E26">
        <v>2400</v>
      </c>
      <c r="F26">
        <f>E26</f>
        <v>2400</v>
      </c>
      <c r="G26">
        <f>F26</f>
        <v>2400</v>
      </c>
      <c r="H26">
        <f>G26-$R$3</f>
        <v>450</v>
      </c>
      <c r="I26">
        <f>H26</f>
        <v>450</v>
      </c>
      <c r="J26">
        <f>I26</f>
        <v>450</v>
      </c>
      <c r="K26">
        <f>J26</f>
        <v>450</v>
      </c>
      <c r="L26">
        <f>K26</f>
        <v>450</v>
      </c>
      <c r="M26">
        <f>L26-$R$4</f>
        <v>145</v>
      </c>
      <c r="N26">
        <f>M26</f>
        <v>145</v>
      </c>
    </row>
    <row r="27" spans="1:19" x14ac:dyDescent="0.2">
      <c r="B27" t="s">
        <v>23</v>
      </c>
      <c r="C27" t="s">
        <v>13</v>
      </c>
      <c r="D27" t="s">
        <v>13</v>
      </c>
      <c r="E27" s="5">
        <f>'Noise Budget'!D9</f>
        <v>-133.97518719422811</v>
      </c>
      <c r="F27" s="5">
        <f>'Noise Budget'!E9</f>
        <v>-133.97518719422811</v>
      </c>
      <c r="G27" s="5">
        <f>'Noise Budget'!F9</f>
        <v>-93.975187194228084</v>
      </c>
      <c r="H27" s="5">
        <f>'Noise Budget'!G9</f>
        <v>-86.963592767532219</v>
      </c>
      <c r="I27" s="5">
        <f>'Noise Budget'!H9</f>
        <v>-97.690178627371097</v>
      </c>
      <c r="J27" s="5">
        <f>'Noise Budget'!I9</f>
        <v>-60.687129400073005</v>
      </c>
      <c r="K27" s="5">
        <f>'Noise Budget'!J9</f>
        <v>-63.687128791885748</v>
      </c>
      <c r="L27" s="5">
        <f>'Noise Budget'!K9</f>
        <v>-40.687127633769308</v>
      </c>
      <c r="M27" s="5">
        <f>'Noise Budget'!L9</f>
        <v>-48.448040206109326</v>
      </c>
      <c r="N27" s="5">
        <f>'Noise Budget'!M9</f>
        <v>-44.676827655763176</v>
      </c>
      <c r="Q27" s="4" t="s">
        <v>56</v>
      </c>
    </row>
    <row r="28" spans="1:19" x14ac:dyDescent="0.2">
      <c r="A28" t="s">
        <v>11</v>
      </c>
      <c r="B28" t="s">
        <v>17</v>
      </c>
      <c r="C28">
        <v>-29</v>
      </c>
      <c r="D28" s="5">
        <f>10*LOG10(POWER(10,C28/10) * (1-POWER(10, $R$15/10)))</f>
        <v>-29.457574905606755</v>
      </c>
      <c r="E28" t="s">
        <v>80</v>
      </c>
      <c r="F28" t="s">
        <v>80</v>
      </c>
      <c r="G28">
        <v>-53.9</v>
      </c>
      <c r="H28">
        <v>-45.26</v>
      </c>
      <c r="I28">
        <v>-60</v>
      </c>
      <c r="J28">
        <v>-30.1</v>
      </c>
      <c r="K28">
        <v>-35.340000000000003</v>
      </c>
      <c r="L28">
        <v>-13.9</v>
      </c>
      <c r="M28">
        <v>-65.400000000000006</v>
      </c>
      <c r="N28">
        <v>-57.6</v>
      </c>
      <c r="Q28" t="s">
        <v>57</v>
      </c>
      <c r="R28">
        <v>37</v>
      </c>
      <c r="S28">
        <f>POWER(10,R28/10)</f>
        <v>5011.8723362727324</v>
      </c>
    </row>
    <row r="29" spans="1:19" x14ac:dyDescent="0.2">
      <c r="B29" t="s">
        <v>18</v>
      </c>
      <c r="C29">
        <v>2258.6999999999998</v>
      </c>
      <c r="D29">
        <v>2258.6999999999998</v>
      </c>
      <c r="E29">
        <v>2258.6999999999998</v>
      </c>
      <c r="F29">
        <v>2258.6999999999998</v>
      </c>
      <c r="G29">
        <v>2258.6999999999998</v>
      </c>
      <c r="H29">
        <v>311.3</v>
      </c>
      <c r="I29">
        <v>311.3</v>
      </c>
      <c r="J29">
        <v>311.3</v>
      </c>
      <c r="K29">
        <v>311.3</v>
      </c>
      <c r="L29">
        <v>311.3</v>
      </c>
      <c r="M29">
        <v>6.4</v>
      </c>
      <c r="N29">
        <v>6.4</v>
      </c>
      <c r="Q29" t="s">
        <v>58</v>
      </c>
      <c r="R29">
        <v>35</v>
      </c>
      <c r="S29">
        <f>POWER(10,R29/10)</f>
        <v>3162.2776601683804</v>
      </c>
    </row>
    <row r="30" spans="1:19" x14ac:dyDescent="0.2">
      <c r="B30" t="s">
        <v>15</v>
      </c>
      <c r="C30">
        <v>-29</v>
      </c>
      <c r="D30" s="5">
        <f>10*LOG10(POWER(10,C30/10) * (1-POWER(10, $R$15/10)))</f>
        <v>-29.457574905606755</v>
      </c>
      <c r="E30" t="s">
        <v>80</v>
      </c>
      <c r="F30" t="s">
        <v>80</v>
      </c>
      <c r="G30">
        <v>-50.8</v>
      </c>
      <c r="H30">
        <v>-43.79</v>
      </c>
      <c r="I30">
        <v>-54.4</v>
      </c>
      <c r="J30">
        <v>-27.58</v>
      </c>
      <c r="K30">
        <v>-34.1</v>
      </c>
      <c r="L30">
        <v>-9.5</v>
      </c>
      <c r="M30">
        <v>-48.1</v>
      </c>
      <c r="N30">
        <v>-40</v>
      </c>
      <c r="Q30" t="s">
        <v>59</v>
      </c>
      <c r="R30">
        <v>-2.4</v>
      </c>
    </row>
    <row r="31" spans="1:19" x14ac:dyDescent="0.2">
      <c r="B31" t="s">
        <v>16</v>
      </c>
      <c r="C31">
        <v>2298.9</v>
      </c>
      <c r="D31">
        <v>2298.9</v>
      </c>
      <c r="E31">
        <v>2298.9</v>
      </c>
      <c r="F31">
        <v>2298.9</v>
      </c>
      <c r="G31">
        <v>2298.9</v>
      </c>
      <c r="H31">
        <v>347.1</v>
      </c>
      <c r="I31">
        <v>347.1</v>
      </c>
      <c r="J31">
        <v>347.1</v>
      </c>
      <c r="K31">
        <v>347.1</v>
      </c>
      <c r="L31">
        <v>347.1</v>
      </c>
      <c r="M31">
        <v>42</v>
      </c>
      <c r="N31">
        <v>42</v>
      </c>
      <c r="Q31" t="s">
        <v>60</v>
      </c>
      <c r="R31">
        <v>27</v>
      </c>
    </row>
    <row r="32" spans="1:19" x14ac:dyDescent="0.2">
      <c r="B32" t="s">
        <v>19</v>
      </c>
      <c r="C32" t="s">
        <v>13</v>
      </c>
      <c r="D32" t="s">
        <v>13</v>
      </c>
      <c r="E32" t="s">
        <v>80</v>
      </c>
      <c r="F32" t="s">
        <v>80</v>
      </c>
      <c r="G32">
        <v>-45</v>
      </c>
      <c r="H32">
        <v>-35</v>
      </c>
      <c r="I32" t="s">
        <v>80</v>
      </c>
      <c r="J32">
        <v>-27.6</v>
      </c>
      <c r="K32">
        <v>-37.200000000000003</v>
      </c>
      <c r="L32">
        <v>-18.3</v>
      </c>
      <c r="M32" t="s">
        <v>80</v>
      </c>
      <c r="N32" t="s">
        <v>80</v>
      </c>
      <c r="Q32" t="s">
        <v>61</v>
      </c>
      <c r="R32">
        <v>3</v>
      </c>
      <c r="S32">
        <f>POWER(10,R32/10)</f>
        <v>1.9952623149688797</v>
      </c>
    </row>
    <row r="33" spans="1:19" x14ac:dyDescent="0.2">
      <c r="B33" t="s">
        <v>20</v>
      </c>
      <c r="C33" t="s">
        <v>13</v>
      </c>
      <c r="D33" t="s">
        <v>13</v>
      </c>
      <c r="E33">
        <v>2402</v>
      </c>
      <c r="F33">
        <v>2402</v>
      </c>
      <c r="G33">
        <v>2402</v>
      </c>
      <c r="H33">
        <v>452</v>
      </c>
      <c r="I33">
        <v>452</v>
      </c>
      <c r="J33">
        <v>452</v>
      </c>
      <c r="K33">
        <v>451</v>
      </c>
      <c r="L33">
        <v>452</v>
      </c>
      <c r="M33">
        <v>452</v>
      </c>
      <c r="N33">
        <v>452</v>
      </c>
    </row>
    <row r="34" spans="1:19" x14ac:dyDescent="0.2">
      <c r="B34" t="s">
        <v>21</v>
      </c>
      <c r="C34" t="s">
        <v>13</v>
      </c>
      <c r="D34" t="s">
        <v>13</v>
      </c>
      <c r="E34" t="s">
        <v>80</v>
      </c>
      <c r="F34" t="s">
        <v>80</v>
      </c>
      <c r="G34">
        <v>-63</v>
      </c>
      <c r="H34">
        <v>-62</v>
      </c>
      <c r="I34" t="s">
        <v>80</v>
      </c>
      <c r="J34" t="s">
        <v>80</v>
      </c>
      <c r="K34" t="s">
        <v>80</v>
      </c>
      <c r="L34" t="s">
        <v>80</v>
      </c>
      <c r="M34" t="s">
        <v>80</v>
      </c>
      <c r="N34" t="s">
        <v>80</v>
      </c>
      <c r="Q34" s="4" t="s">
        <v>62</v>
      </c>
    </row>
    <row r="35" spans="1:19" x14ac:dyDescent="0.2">
      <c r="B35" t="s">
        <v>22</v>
      </c>
      <c r="C35" t="s">
        <v>13</v>
      </c>
      <c r="D35" t="s">
        <v>13</v>
      </c>
      <c r="E35">
        <v>2150</v>
      </c>
      <c r="F35">
        <f>E35</f>
        <v>2150</v>
      </c>
      <c r="G35">
        <f>F35</f>
        <v>2150</v>
      </c>
      <c r="H35">
        <v>200</v>
      </c>
      <c r="I35">
        <v>200</v>
      </c>
      <c r="J35">
        <v>200</v>
      </c>
      <c r="K35">
        <v>200</v>
      </c>
      <c r="L35">
        <v>200</v>
      </c>
      <c r="M35">
        <v>200</v>
      </c>
      <c r="N35">
        <v>200</v>
      </c>
      <c r="Q35" t="s">
        <v>63</v>
      </c>
      <c r="R35">
        <v>6</v>
      </c>
      <c r="S35">
        <f>POWER(10,-R35/10)</f>
        <v>0.25118864315095801</v>
      </c>
    </row>
    <row r="36" spans="1:19" x14ac:dyDescent="0.2">
      <c r="B36" t="s">
        <v>23</v>
      </c>
      <c r="C36" t="s">
        <v>13</v>
      </c>
      <c r="D36" t="s">
        <v>13</v>
      </c>
      <c r="E36">
        <f>'Noise Budget'!D13</f>
        <v>-71.099999999999994</v>
      </c>
      <c r="F36">
        <f>'Noise Budget'!E13</f>
        <v>-69.5</v>
      </c>
      <c r="G36">
        <f>'Noise Budget'!F13</f>
        <v>-69.8</v>
      </c>
      <c r="H36">
        <f>'Noise Budget'!G13</f>
        <v>-61.9</v>
      </c>
      <c r="I36">
        <f>'Noise Budget'!H13</f>
        <v>-75.099999999999994</v>
      </c>
      <c r="J36">
        <f>'Noise Budget'!I13</f>
        <v>-68.2</v>
      </c>
      <c r="K36">
        <f>'Noise Budget'!J13</f>
        <v>-70.3</v>
      </c>
      <c r="L36">
        <f>'Noise Budget'!K13</f>
        <v>-51.5</v>
      </c>
      <c r="M36">
        <f>'Noise Budget'!L13</f>
        <v>-74.8</v>
      </c>
      <c r="N36">
        <f>'Noise Budget'!M13</f>
        <v>-75.3</v>
      </c>
    </row>
    <row r="37" spans="1:19" x14ac:dyDescent="0.2">
      <c r="A37" t="s">
        <v>10</v>
      </c>
      <c r="B37" t="s">
        <v>17</v>
      </c>
      <c r="C37">
        <v>-29</v>
      </c>
      <c r="D37" s="5">
        <f>10*LOG10(POWER(10,C37/10) * (1-POWER(10, $R$15/10)))</f>
        <v>-29.457574905606755</v>
      </c>
      <c r="E37" s="5">
        <f>D37+20*LOG10(300000000/(E38*1000000) / (4 * PI() * $A$38))</f>
        <v>-116.92492917132228</v>
      </c>
      <c r="F37" s="5">
        <f>E37-$R$23</f>
        <v>-118.32492917132228</v>
      </c>
      <c r="G37" s="5">
        <f>F37+$R$28</f>
        <v>-81.324929171322282</v>
      </c>
      <c r="H37" s="5">
        <f>G37-$R$35</f>
        <v>-87.324929171322282</v>
      </c>
      <c r="I37" s="5">
        <f>H37-$R$38</f>
        <v>-92.824929171322282</v>
      </c>
      <c r="J37" s="5">
        <f>I37+$R$29</f>
        <v>-57.824929171322282</v>
      </c>
      <c r="K37" s="5">
        <f>J37-3</f>
        <v>-60.824929171322282</v>
      </c>
      <c r="L37" s="5">
        <f>K37+$R$45</f>
        <v>-37.824929171322282</v>
      </c>
      <c r="M37" s="5">
        <f>L37-$R$35</f>
        <v>-43.824929171322282</v>
      </c>
      <c r="N37" s="5">
        <f>M37-$R$51</f>
        <v>-44.824929171322282</v>
      </c>
      <c r="Q37" s="4" t="s">
        <v>64</v>
      </c>
    </row>
    <row r="38" spans="1:19" x14ac:dyDescent="0.2">
      <c r="A38">
        <v>250</v>
      </c>
      <c r="B38" t="s">
        <v>18</v>
      </c>
      <c r="C38">
        <v>2256</v>
      </c>
      <c r="D38">
        <f>C38</f>
        <v>2256</v>
      </c>
      <c r="E38">
        <f>D38</f>
        <v>2256</v>
      </c>
      <c r="F38">
        <f>E38</f>
        <v>2256</v>
      </c>
      <c r="G38">
        <f>F38</f>
        <v>2256</v>
      </c>
      <c r="H38">
        <f>G38-$R$3</f>
        <v>306</v>
      </c>
      <c r="I38">
        <f>H38</f>
        <v>306</v>
      </c>
      <c r="J38">
        <f>I38</f>
        <v>306</v>
      </c>
      <c r="K38">
        <f>J38</f>
        <v>306</v>
      </c>
      <c r="L38">
        <f>K38</f>
        <v>306</v>
      </c>
      <c r="M38">
        <f>L38-$R$4</f>
        <v>1</v>
      </c>
      <c r="N38">
        <f>M38</f>
        <v>1</v>
      </c>
      <c r="Q38" t="s">
        <v>53</v>
      </c>
      <c r="R38">
        <v>5.5</v>
      </c>
      <c r="S38">
        <f>POWER(10,-R38/10)</f>
        <v>0.28183829312644532</v>
      </c>
    </row>
    <row r="39" spans="1:19" x14ac:dyDescent="0.2">
      <c r="B39" t="s">
        <v>15</v>
      </c>
      <c r="C39">
        <v>-29</v>
      </c>
      <c r="D39" s="5">
        <f>10*LOG10(POWER(10,C39/10) * (1-POWER(10, $R$15/10)))</f>
        <v>-29.457574905606755</v>
      </c>
      <c r="E39" s="5">
        <f>D39+20*LOG10(300000000/(E40*1000000) / (4 * PI() * $A$38))</f>
        <v>-117.07758493961489</v>
      </c>
      <c r="F39" s="5">
        <f>E39-$R$23</f>
        <v>-118.4775849396149</v>
      </c>
      <c r="G39" s="5">
        <f>F39+$R$28</f>
        <v>-81.4775849396149</v>
      </c>
      <c r="H39" s="5">
        <f>G39-$R$35</f>
        <v>-87.4775849396149</v>
      </c>
      <c r="I39" s="5">
        <f>H39-$R$38</f>
        <v>-92.9775849396149</v>
      </c>
      <c r="J39" s="5">
        <f>I39+$R$29</f>
        <v>-57.9775849396149</v>
      </c>
      <c r="K39" s="5">
        <f>J39-3</f>
        <v>-60.9775849396149</v>
      </c>
      <c r="L39" s="5">
        <f>K39+$R$45</f>
        <v>-37.9775849396149</v>
      </c>
      <c r="M39" s="5">
        <f>L39-$R$35</f>
        <v>-43.9775849396149</v>
      </c>
      <c r="N39" s="5">
        <f>M39-$R$51</f>
        <v>-44.9775849396149</v>
      </c>
      <c r="Q39" t="s">
        <v>65</v>
      </c>
      <c r="R39">
        <v>20</v>
      </c>
    </row>
    <row r="40" spans="1:19" x14ac:dyDescent="0.2">
      <c r="B40" t="s">
        <v>16</v>
      </c>
      <c r="C40">
        <v>2296</v>
      </c>
      <c r="D40">
        <f>C40</f>
        <v>2296</v>
      </c>
      <c r="E40">
        <f>D40</f>
        <v>2296</v>
      </c>
      <c r="F40">
        <f>E40</f>
        <v>2296</v>
      </c>
      <c r="G40">
        <f>F40</f>
        <v>2296</v>
      </c>
      <c r="H40">
        <f>G40-$R$3</f>
        <v>346</v>
      </c>
      <c r="I40">
        <f>H40</f>
        <v>346</v>
      </c>
      <c r="J40">
        <f>I40</f>
        <v>346</v>
      </c>
      <c r="K40">
        <f>J40</f>
        <v>346</v>
      </c>
      <c r="L40">
        <f>K40</f>
        <v>346</v>
      </c>
      <c r="M40">
        <f>L40-$R$4</f>
        <v>41</v>
      </c>
      <c r="N40">
        <f>M40</f>
        <v>41</v>
      </c>
      <c r="Q40" t="s">
        <v>66</v>
      </c>
      <c r="R40">
        <v>10</v>
      </c>
    </row>
    <row r="41" spans="1:19" x14ac:dyDescent="0.2">
      <c r="B41" t="s">
        <v>19</v>
      </c>
      <c r="C41" t="s">
        <v>13</v>
      </c>
      <c r="D41" t="s">
        <v>13</v>
      </c>
      <c r="E41">
        <v>-80</v>
      </c>
      <c r="F41">
        <f>E41-$R$23</f>
        <v>-81.400000000000006</v>
      </c>
      <c r="G41">
        <f>F41+$R$28</f>
        <v>-44.400000000000006</v>
      </c>
      <c r="H41">
        <f>G41-$R$35</f>
        <v>-50.400000000000006</v>
      </c>
      <c r="I41">
        <f>H41-$R$41</f>
        <v>-74.400000000000006</v>
      </c>
      <c r="J41">
        <f>I41+$R$29</f>
        <v>-39.400000000000006</v>
      </c>
      <c r="K41">
        <f>J41-3</f>
        <v>-42.400000000000006</v>
      </c>
      <c r="L41">
        <f>K41+$R$45</f>
        <v>-19.400000000000006</v>
      </c>
      <c r="M41">
        <f>L41-$R$35</f>
        <v>-25.400000000000006</v>
      </c>
      <c r="N41">
        <f>M41-$R$53</f>
        <v>-85.4</v>
      </c>
      <c r="Q41" t="s">
        <v>67</v>
      </c>
      <c r="R41">
        <v>24</v>
      </c>
    </row>
    <row r="42" spans="1:19" x14ac:dyDescent="0.2">
      <c r="B42" t="s">
        <v>20</v>
      </c>
      <c r="C42" t="s">
        <v>13</v>
      </c>
      <c r="D42" t="s">
        <v>13</v>
      </c>
      <c r="E42">
        <v>2150</v>
      </c>
      <c r="F42">
        <f>E42</f>
        <v>2150</v>
      </c>
      <c r="G42">
        <f>F42</f>
        <v>2150</v>
      </c>
      <c r="H42">
        <f>G42-$R$3</f>
        <v>200</v>
      </c>
      <c r="I42">
        <f>H42</f>
        <v>200</v>
      </c>
      <c r="J42">
        <f>I42</f>
        <v>200</v>
      </c>
      <c r="K42">
        <f>J42</f>
        <v>200</v>
      </c>
      <c r="L42">
        <f>K42</f>
        <v>200</v>
      </c>
      <c r="M42">
        <f>ABS(L42-$R$4)</f>
        <v>105</v>
      </c>
      <c r="N42">
        <f>M42</f>
        <v>105</v>
      </c>
      <c r="Q42" t="s">
        <v>68</v>
      </c>
      <c r="R42">
        <v>20</v>
      </c>
    </row>
    <row r="43" spans="1:19" x14ac:dyDescent="0.2">
      <c r="B43" t="s">
        <v>21</v>
      </c>
      <c r="C43" t="s">
        <v>13</v>
      </c>
      <c r="D43" t="s">
        <v>13</v>
      </c>
      <c r="E43">
        <v>-55</v>
      </c>
      <c r="F43">
        <f>E43-$R$23</f>
        <v>-56.4</v>
      </c>
      <c r="G43">
        <f>F43+$R$28</f>
        <v>-19.399999999999999</v>
      </c>
      <c r="H43">
        <f>G43-$R$35</f>
        <v>-25.4</v>
      </c>
      <c r="I43">
        <f>H43-$R$42</f>
        <v>-45.4</v>
      </c>
      <c r="J43">
        <f>I43+$R$29</f>
        <v>-10.399999999999999</v>
      </c>
      <c r="K43">
        <f>J43-3</f>
        <v>-13.399999999999999</v>
      </c>
      <c r="L43">
        <f>K43+$R$45</f>
        <v>9.6000000000000014</v>
      </c>
      <c r="M43">
        <f>L43-$R$35</f>
        <v>3.6000000000000014</v>
      </c>
      <c r="N43">
        <f>M43-$R$54</f>
        <v>-53.4</v>
      </c>
    </row>
    <row r="44" spans="1:19" x14ac:dyDescent="0.2">
      <c r="B44" t="s">
        <v>22</v>
      </c>
      <c r="C44" t="s">
        <v>13</v>
      </c>
      <c r="D44" t="s">
        <v>13</v>
      </c>
      <c r="E44">
        <v>2400</v>
      </c>
      <c r="F44">
        <f>E44</f>
        <v>2400</v>
      </c>
      <c r="G44">
        <f>F44</f>
        <v>2400</v>
      </c>
      <c r="H44">
        <f>G44-$R$3</f>
        <v>450</v>
      </c>
      <c r="I44">
        <f>H44</f>
        <v>450</v>
      </c>
      <c r="J44">
        <f>I44</f>
        <v>450</v>
      </c>
      <c r="K44">
        <f>J44</f>
        <v>450</v>
      </c>
      <c r="L44">
        <f>K44</f>
        <v>450</v>
      </c>
      <c r="M44">
        <f>L44-$R$4</f>
        <v>145</v>
      </c>
      <c r="N44">
        <f>M44</f>
        <v>145</v>
      </c>
      <c r="Q44" s="4" t="s">
        <v>69</v>
      </c>
    </row>
    <row r="45" spans="1:19" x14ac:dyDescent="0.2">
      <c r="B45" t="s">
        <v>23</v>
      </c>
      <c r="C45" t="s">
        <v>13</v>
      </c>
      <c r="D45" t="s">
        <v>13</v>
      </c>
      <c r="E45" s="5">
        <f>'Noise Budget'!D9</f>
        <v>-133.97518719422811</v>
      </c>
      <c r="F45" s="5">
        <f>'Noise Budget'!E9</f>
        <v>-133.97518719422811</v>
      </c>
      <c r="G45" s="5">
        <f>'Noise Budget'!F9</f>
        <v>-93.975187194228084</v>
      </c>
      <c r="H45" s="5">
        <f>'Noise Budget'!G9</f>
        <v>-86.963592767532219</v>
      </c>
      <c r="I45" s="5">
        <f>'Noise Budget'!H9</f>
        <v>-97.690178627371097</v>
      </c>
      <c r="J45" s="5">
        <f>'Noise Budget'!I9</f>
        <v>-60.687129400073005</v>
      </c>
      <c r="K45" s="5">
        <f>'Noise Budget'!J9</f>
        <v>-63.687128791885748</v>
      </c>
      <c r="L45" s="5">
        <f>'Noise Budget'!K9</f>
        <v>-40.687127633769308</v>
      </c>
      <c r="M45" s="5">
        <f>'Noise Budget'!L9</f>
        <v>-48.448040206109326</v>
      </c>
      <c r="N45" s="5">
        <f>'Noise Budget'!M9</f>
        <v>-44.676827655763176</v>
      </c>
      <c r="Q45" t="s">
        <v>70</v>
      </c>
      <c r="R45">
        <v>23</v>
      </c>
      <c r="S45">
        <f>POWER(10,R45/10)</f>
        <v>199.52623149688802</v>
      </c>
    </row>
    <row r="46" spans="1:19" x14ac:dyDescent="0.2">
      <c r="A46" t="s">
        <v>24</v>
      </c>
      <c r="B46" t="s">
        <v>17</v>
      </c>
      <c r="C46" t="s">
        <v>13</v>
      </c>
      <c r="D46" t="s">
        <v>13</v>
      </c>
      <c r="E46" s="1"/>
      <c r="F46" s="1"/>
      <c r="G46" s="1"/>
      <c r="H46" s="1"/>
      <c r="I46" s="1"/>
      <c r="J46" s="1"/>
      <c r="K46" s="1"/>
      <c r="L46" s="1"/>
      <c r="M46" s="1"/>
      <c r="N46" t="s">
        <v>80</v>
      </c>
      <c r="Q46" t="s">
        <v>59</v>
      </c>
      <c r="R46">
        <v>-6</v>
      </c>
    </row>
    <row r="47" spans="1:19" x14ac:dyDescent="0.2">
      <c r="B47" t="s">
        <v>18</v>
      </c>
      <c r="C47" t="s">
        <v>13</v>
      </c>
      <c r="D47" t="s">
        <v>13</v>
      </c>
      <c r="E47" s="1"/>
      <c r="F47" s="1"/>
      <c r="G47" s="1"/>
      <c r="H47" s="1"/>
      <c r="I47" s="1"/>
      <c r="J47" s="1"/>
      <c r="K47" s="1"/>
      <c r="L47" s="1"/>
      <c r="M47" s="1"/>
      <c r="N47" t="s">
        <v>13</v>
      </c>
      <c r="Q47" t="s">
        <v>60</v>
      </c>
      <c r="R47">
        <v>14</v>
      </c>
    </row>
    <row r="48" spans="1:19" x14ac:dyDescent="0.2">
      <c r="B48" t="s">
        <v>15</v>
      </c>
      <c r="C48" t="s">
        <v>13</v>
      </c>
      <c r="D48" t="s">
        <v>13</v>
      </c>
      <c r="E48" s="1"/>
      <c r="F48" s="1"/>
      <c r="G48" s="1"/>
      <c r="H48" s="1"/>
      <c r="I48" s="1"/>
      <c r="J48" s="1"/>
      <c r="K48" s="1"/>
      <c r="L48" s="1"/>
      <c r="M48" s="1"/>
      <c r="N48">
        <v>-76.260000000000005</v>
      </c>
      <c r="Q48" t="s">
        <v>61</v>
      </c>
      <c r="R48">
        <v>2.9</v>
      </c>
      <c r="S48">
        <f>POWER(10,R48/10)</f>
        <v>1.9498445997580454</v>
      </c>
    </row>
    <row r="49" spans="2:19" x14ac:dyDescent="0.2">
      <c r="B49" t="s">
        <v>16</v>
      </c>
      <c r="C49" t="s">
        <v>13</v>
      </c>
      <c r="D49" t="s">
        <v>13</v>
      </c>
      <c r="E49" s="1"/>
      <c r="F49" s="1"/>
      <c r="G49" s="1"/>
      <c r="H49" s="1"/>
      <c r="I49" s="1"/>
      <c r="J49" s="1"/>
      <c r="K49" s="1"/>
      <c r="L49" s="1"/>
      <c r="M49" s="1"/>
      <c r="N49">
        <v>41.2</v>
      </c>
    </row>
    <row r="50" spans="2:19" x14ac:dyDescent="0.2">
      <c r="B50" t="s">
        <v>19</v>
      </c>
      <c r="C50" t="s">
        <v>13</v>
      </c>
      <c r="D50" t="s">
        <v>13</v>
      </c>
      <c r="E50" s="1"/>
      <c r="F50" s="1"/>
      <c r="G50" s="1"/>
      <c r="H50" s="1"/>
      <c r="I50" s="1"/>
      <c r="J50" s="1"/>
      <c r="K50" s="1"/>
      <c r="L50" s="1"/>
      <c r="M50" s="1"/>
      <c r="N50" t="s">
        <v>80</v>
      </c>
      <c r="Q50" s="4" t="s">
        <v>71</v>
      </c>
    </row>
    <row r="51" spans="2:19" x14ac:dyDescent="0.2">
      <c r="B51" t="s">
        <v>20</v>
      </c>
      <c r="C51" t="s">
        <v>13</v>
      </c>
      <c r="D51" t="s">
        <v>13</v>
      </c>
      <c r="E51" s="1"/>
      <c r="F51" s="1"/>
      <c r="G51" s="1"/>
      <c r="H51" s="1"/>
      <c r="I51" s="1"/>
      <c r="J51" s="1"/>
      <c r="K51" s="1"/>
      <c r="L51" s="1"/>
      <c r="M51" s="1"/>
      <c r="N51" t="s">
        <v>13</v>
      </c>
      <c r="Q51" t="s">
        <v>53</v>
      </c>
      <c r="R51">
        <v>1</v>
      </c>
      <c r="S51">
        <f>POWER(10,-R51/10)</f>
        <v>0.79432823472428149</v>
      </c>
    </row>
    <row r="52" spans="2:19" x14ac:dyDescent="0.2">
      <c r="B52" t="s">
        <v>21</v>
      </c>
      <c r="C52" t="s">
        <v>13</v>
      </c>
      <c r="D52" t="s">
        <v>13</v>
      </c>
      <c r="E52" s="1"/>
      <c r="F52" s="1"/>
      <c r="G52" s="1"/>
      <c r="H52" s="1"/>
      <c r="I52" s="1"/>
      <c r="J52" s="1"/>
      <c r="K52" s="1"/>
      <c r="L52" s="1"/>
      <c r="M52" s="1"/>
      <c r="N52" t="s">
        <v>80</v>
      </c>
      <c r="Q52" t="s">
        <v>72</v>
      </c>
      <c r="R52">
        <v>44</v>
      </c>
    </row>
    <row r="53" spans="2:19" x14ac:dyDescent="0.2">
      <c r="B53" t="s">
        <v>22</v>
      </c>
      <c r="C53" t="s">
        <v>13</v>
      </c>
      <c r="D53" t="s">
        <v>13</v>
      </c>
      <c r="E53" s="1"/>
      <c r="F53" s="1"/>
      <c r="G53" s="1"/>
      <c r="H53" s="1"/>
      <c r="I53" s="1"/>
      <c r="J53" s="1"/>
      <c r="K53" s="1"/>
      <c r="L53" s="1"/>
      <c r="M53" s="1"/>
      <c r="N53" t="s">
        <v>13</v>
      </c>
      <c r="Q53" t="s">
        <v>73</v>
      </c>
      <c r="R53">
        <v>60</v>
      </c>
    </row>
    <row r="54" spans="2:19" x14ac:dyDescent="0.2">
      <c r="B54" t="s">
        <v>23</v>
      </c>
      <c r="C54" t="s">
        <v>13</v>
      </c>
      <c r="D54" t="s">
        <v>13</v>
      </c>
      <c r="E54" s="1"/>
      <c r="F54" s="1"/>
      <c r="G54" s="1"/>
      <c r="H54" s="1"/>
      <c r="I54" s="1"/>
      <c r="J54" s="1"/>
      <c r="K54" s="1"/>
      <c r="L54" s="1"/>
      <c r="M54" s="1"/>
      <c r="N54">
        <v>-85</v>
      </c>
      <c r="Q54" t="s">
        <v>74</v>
      </c>
      <c r="R54">
        <v>57</v>
      </c>
    </row>
  </sheetData>
  <pageMargins left="0.7" right="0.7" top="0.75" bottom="0.75" header="0.3" footer="0.3"/>
  <pageSetup scale="37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B440A1-E6EE-1B4A-9AE8-CD2E35818AE3}">
  <dimension ref="A1:M14"/>
  <sheetViews>
    <sheetView zoomScale="150" workbookViewId="0">
      <selection activeCell="M8" sqref="M8"/>
    </sheetView>
  </sheetViews>
  <sheetFormatPr baseColWidth="10" defaultRowHeight="15" x14ac:dyDescent="0.2"/>
  <cols>
    <col min="1" max="1" width="14.33203125" customWidth="1"/>
    <col min="2" max="2" width="29.83203125" customWidth="1"/>
  </cols>
  <sheetData>
    <row r="1" spans="1:13" x14ac:dyDescent="0.2">
      <c r="C1" s="2" t="s">
        <v>87</v>
      </c>
      <c r="D1" s="2" t="s">
        <v>86</v>
      </c>
      <c r="E1" s="2" t="s">
        <v>0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31</v>
      </c>
      <c r="K1" s="2" t="s">
        <v>32</v>
      </c>
      <c r="L1" s="2" t="s">
        <v>33</v>
      </c>
      <c r="M1" s="2" t="s">
        <v>34</v>
      </c>
    </row>
    <row r="2" spans="1:13" x14ac:dyDescent="0.2">
      <c r="E2" s="2" t="s">
        <v>35</v>
      </c>
      <c r="F2" s="2" t="s">
        <v>36</v>
      </c>
      <c r="G2" s="2" t="s">
        <v>37</v>
      </c>
      <c r="H2" s="2" t="s">
        <v>38</v>
      </c>
      <c r="I2" s="2" t="s">
        <v>36</v>
      </c>
      <c r="J2" s="2" t="s">
        <v>39</v>
      </c>
      <c r="K2" s="2" t="s">
        <v>36</v>
      </c>
      <c r="L2" s="2" t="s">
        <v>37</v>
      </c>
      <c r="M2" s="2" t="s">
        <v>40</v>
      </c>
    </row>
    <row r="3" spans="1:13" x14ac:dyDescent="0.2">
      <c r="A3" s="6" t="s">
        <v>90</v>
      </c>
      <c r="B3" s="2" t="s">
        <v>85</v>
      </c>
      <c r="C3" s="3">
        <v>0</v>
      </c>
      <c r="D3" s="3">
        <v>0</v>
      </c>
      <c r="E3" s="3">
        <f>(1/'Link Budget'!$S$23 - 1) *'Link Budget'!$R$8</f>
        <v>110.31143673483658</v>
      </c>
      <c r="F3" s="3">
        <f>('Link Budget'!$S$32-1)*'Link Budget'!$R$8</f>
        <v>288.6260713409751</v>
      </c>
      <c r="G3" s="3">
        <f>(1/'Link Budget'!$S$35 - 1) *'Link Budget'!$R$8</f>
        <v>864.51079460514211</v>
      </c>
      <c r="H3" s="3">
        <f>(1/POWER(10,-'Link Budget'!$R$38/10) - 1) *'Link Budget'!$R$8</f>
        <v>738.95882877736904</v>
      </c>
      <c r="I3" s="3">
        <f>(POWER(10,'Link Budget'!$R$32/10)-1)*'Link Budget'!$R$8</f>
        <v>288.6260713409751</v>
      </c>
      <c r="J3" s="3">
        <f>(1/POWER(10,-3/10) - 1) *'Link Budget'!$R$8</f>
        <v>288.6260713409751</v>
      </c>
      <c r="K3" s="3">
        <f>(POWER(10,'Link Budget'!$R$48/10)-1)*'Link Budget'!$R$8</f>
        <v>275.45493392983315</v>
      </c>
      <c r="L3" s="3">
        <f>(1/POWER(10,-'Link Budget'!$R$35/10) - 1) *'Link Budget'!$R$8</f>
        <v>864.51079460514211</v>
      </c>
      <c r="M3" s="3">
        <f>(1/POWER(10,-'Link Budget'!$R$51/10) - 1) *'Link Budget'!$R$8</f>
        <v>75.08836942030851</v>
      </c>
    </row>
    <row r="4" spans="1:13" x14ac:dyDescent="0.2">
      <c r="A4" s="6"/>
      <c r="B4" s="2" t="s">
        <v>88</v>
      </c>
      <c r="C4" s="3">
        <f>C3</f>
        <v>0</v>
      </c>
      <c r="D4" s="3">
        <f>D3+C3</f>
        <v>0</v>
      </c>
      <c r="E4" s="3">
        <f>'Link Budget'!$S$23*(D4 + E3)</f>
        <v>79.913571578252871</v>
      </c>
      <c r="F4" s="3">
        <f>(E4+F3)*'Link Budget'!$S$28</f>
        <v>1847073.6411667096</v>
      </c>
      <c r="G4" s="3">
        <f>2*'Link Budget'!$S$35*(G3+F4)</f>
        <v>928362.15403610305</v>
      </c>
      <c r="H4" s="3">
        <f>'Link Budget'!$S$38*(G4 + H3)</f>
        <v>261856.27179171873</v>
      </c>
      <c r="I4" s="3">
        <f>(H4+I3)*'Link Budget'!$S$28</f>
        <v>1313836761.6949098</v>
      </c>
      <c r="J4" s="3">
        <f>POWER(10, -3/10)*(I4 + J3)</f>
        <v>658478356.68738782</v>
      </c>
      <c r="K4" s="3">
        <f>(J4+K3)*'Link Budget'!$S$45</f>
        <v>131383759992.58305</v>
      </c>
      <c r="L4" s="3">
        <f>2*'Link Budget'!$S$35*(L3+K4)</f>
        <v>66004217243.526703</v>
      </c>
      <c r="M4" s="3">
        <f>'Link Budget'!$S$51*(L4 + M3)</f>
        <v>52429013427.05336</v>
      </c>
    </row>
    <row r="5" spans="1:13" x14ac:dyDescent="0.2">
      <c r="A5" s="6"/>
      <c r="B5" s="2" t="s">
        <v>89</v>
      </c>
      <c r="D5" s="5"/>
      <c r="E5" s="5">
        <f>10*LOG10(E4*E11*'Link Budget'!$R$9*1000)</f>
        <v>-139.57296176292775</v>
      </c>
      <c r="F5" s="5">
        <f>10*LOG10(F4*F11*'Link Budget'!$R$9*1000)</f>
        <v>-95.934325066055166</v>
      </c>
      <c r="G5" s="5">
        <f>10*LOG10(G4*G11*'Link Budget'!$R$9*1000)</f>
        <v>-88.92199289790689</v>
      </c>
      <c r="H5" s="5">
        <f>10*LOG10(H4*H11*'Link Budget'!$R$9*1000)</f>
        <v>-99.647324823332241</v>
      </c>
      <c r="I5" s="5">
        <f>10*LOG10(I4*I11*'Link Budget'!$R$9*1000)</f>
        <v>-62.64254053161487</v>
      </c>
      <c r="J5" s="5">
        <f>10*LOG10(J4*J11*'Link Budget'!$R$9*1000)</f>
        <v>-65.642539577548888</v>
      </c>
      <c r="K5" s="5">
        <f>10*LOG10(K4*K11*'Link Budget'!$R$9*1000)</f>
        <v>-42.642537760806825</v>
      </c>
      <c r="L5" s="5">
        <f>10*LOG10(L4*L11*'Link Budget'!$R$9*1000)</f>
        <v>-50.403450322786867</v>
      </c>
      <c r="M5" s="5">
        <f>10*LOG10(M4*M11*'Link Budget'!$R$9*1000)</f>
        <v>-46.632237770649581</v>
      </c>
    </row>
    <row r="7" spans="1:13" x14ac:dyDescent="0.2">
      <c r="A7" s="6" t="s">
        <v>91</v>
      </c>
      <c r="B7" s="2" t="s">
        <v>85</v>
      </c>
      <c r="C7" s="3">
        <v>0</v>
      </c>
      <c r="D7" s="3">
        <v>290</v>
      </c>
      <c r="E7" s="3">
        <f>(1/'Link Budget'!$S$23 - 1) *'Link Budget'!$R$8</f>
        <v>110.31143673483658</v>
      </c>
      <c r="F7" s="3">
        <f>('Link Budget'!$S$32-1)*'Link Budget'!$R$8</f>
        <v>288.6260713409751</v>
      </c>
      <c r="G7" s="3">
        <f>(1/'Link Budget'!$S$35 - 1) *'Link Budget'!$R$8</f>
        <v>864.51079460514211</v>
      </c>
      <c r="H7" s="3">
        <f>(1/POWER(10,-'Link Budget'!$R$38/10) - 1) *'Link Budget'!$R$8</f>
        <v>738.95882877736904</v>
      </c>
      <c r="I7" s="3">
        <f>(POWER(10,'Link Budget'!$R$32/10)-1)*'Link Budget'!$R$8</f>
        <v>288.6260713409751</v>
      </c>
      <c r="J7" s="3">
        <f>(1/POWER(10,-3/10) - 1) *'Link Budget'!$R$8</f>
        <v>288.6260713409751</v>
      </c>
      <c r="K7" s="3">
        <f>(POWER(10,'Link Budget'!$R$48/10)-1)*'Link Budget'!$R$8</f>
        <v>275.45493392983315</v>
      </c>
      <c r="L7" s="3">
        <f>(1/POWER(10,-'Link Budget'!$R$35/10) - 1) *'Link Budget'!$R$8</f>
        <v>864.51079460514211</v>
      </c>
      <c r="M7" s="3">
        <f>(1/POWER(10,-'Link Budget'!$R$51/10) - 1) *'Link Budget'!$R$8</f>
        <v>75.08836942030851</v>
      </c>
    </row>
    <row r="8" spans="1:13" x14ac:dyDescent="0.2">
      <c r="A8" s="6"/>
      <c r="B8" s="2" t="s">
        <v>88</v>
      </c>
      <c r="C8" s="3">
        <f>C7</f>
        <v>0</v>
      </c>
      <c r="D8" s="3">
        <f>D7+C7</f>
        <v>290</v>
      </c>
      <c r="E8" s="3">
        <f>'Link Budget'!$S$23*(D8 + E7)</f>
        <v>290</v>
      </c>
      <c r="F8" s="3">
        <f>(E8+F7)*'Link Budget'!$S$28</f>
        <v>2900000.0000000061</v>
      </c>
      <c r="G8" s="3">
        <f>2*'Link Budget'!$S$35*(G7+F8)</f>
        <v>1457328.440862532</v>
      </c>
      <c r="H8" s="3">
        <f>'Link Budget'!$S$38*(G8 + H7)</f>
        <v>410939.22719231312</v>
      </c>
      <c r="I8" s="3">
        <f>(H8+I7)*'Link Budget'!$S$28</f>
        <v>2061021501.6769304</v>
      </c>
      <c r="J8" s="3">
        <f>POWER(10, -3/10)*(I8 + J7)</f>
        <v>1032957809.5274895</v>
      </c>
      <c r="K8" s="3">
        <f>(J8+K7)*'Link Budget'!$S$45</f>
        <v>206102233990.78513</v>
      </c>
      <c r="L8" s="3">
        <f>2*'Link Budget'!$S$35*(L7+K8)</f>
        <v>103541081447.36374</v>
      </c>
      <c r="M8" s="3">
        <f>'Link Budget'!$S$51*(L8 + M7)</f>
        <v>82245604507.172302</v>
      </c>
    </row>
    <row r="9" spans="1:13" x14ac:dyDescent="0.2">
      <c r="A9" s="6"/>
      <c r="B9" s="2" t="s">
        <v>89</v>
      </c>
      <c r="D9" s="5">
        <f>10*LOG10(D8*D11*'Link Budget'!$R$9*1000)</f>
        <v>-133.97518719422811</v>
      </c>
      <c r="E9" s="5">
        <f>10*LOG10(E8*E11*'Link Budget'!$R$9*1000)</f>
        <v>-133.97518719422811</v>
      </c>
      <c r="F9" s="5">
        <f>10*LOG10(F8*F11*'Link Budget'!$R$9*1000)</f>
        <v>-93.975187194228084</v>
      </c>
      <c r="G9" s="5">
        <f>10*LOG10(G8*G11*'Link Budget'!$R$9*1000)</f>
        <v>-86.963592767532219</v>
      </c>
      <c r="H9" s="5">
        <f>10*LOG10(H8*H11*'Link Budget'!$R$9*1000)</f>
        <v>-97.690178627371097</v>
      </c>
      <c r="I9" s="5">
        <f>10*LOG10(I8*I11*'Link Budget'!$R$9*1000)</f>
        <v>-60.687129400073005</v>
      </c>
      <c r="J9" s="5">
        <f>10*LOG10(J8*J11*'Link Budget'!$R$9*1000)</f>
        <v>-63.687128791885748</v>
      </c>
      <c r="K9" s="5">
        <f>10*LOG10(K8*K11*'Link Budget'!$R$9*1000)</f>
        <v>-40.687127633769308</v>
      </c>
      <c r="L9" s="5">
        <f>10*LOG10(L8*L11*'Link Budget'!$R$9*1000)</f>
        <v>-48.448040206109326</v>
      </c>
      <c r="M9" s="5">
        <f>10*LOG10(M8*M11*'Link Budget'!$R$9*1000)</f>
        <v>-44.676827655763176</v>
      </c>
    </row>
    <row r="11" spans="1:13" x14ac:dyDescent="0.2">
      <c r="A11" s="6" t="s">
        <v>92</v>
      </c>
      <c r="B11" s="2" t="s">
        <v>84</v>
      </c>
      <c r="D11" s="3">
        <v>10000</v>
      </c>
      <c r="E11" s="3">
        <v>10000</v>
      </c>
      <c r="F11" s="3">
        <v>10000</v>
      </c>
      <c r="G11" s="3">
        <v>100000</v>
      </c>
      <c r="H11" s="3">
        <v>30000</v>
      </c>
      <c r="I11" s="3">
        <v>30000</v>
      </c>
      <c r="J11" s="3">
        <v>30000</v>
      </c>
      <c r="K11" s="3">
        <v>30000</v>
      </c>
      <c r="L11" s="3">
        <v>10000</v>
      </c>
      <c r="M11" s="3">
        <v>30000</v>
      </c>
    </row>
    <row r="12" spans="1:13" x14ac:dyDescent="0.2">
      <c r="A12" s="6"/>
      <c r="B12" s="2" t="s">
        <v>83</v>
      </c>
      <c r="D12" s="5">
        <f>10*LOG10(D11*'Link Budget'!$R$12*'Link Budget'!$R$9*1000)</f>
        <v>-70.001781511246193</v>
      </c>
      <c r="E12" s="5">
        <f>10*LOG10(E11*'Link Budget'!$R$12*'Link Budget'!$R$9*1000)</f>
        <v>-70.001781511246193</v>
      </c>
      <c r="F12" s="5">
        <f>10*LOG10(F11*'Link Budget'!$R$12*'Link Budget'!$R$9*1000)</f>
        <v>-70.001781511246193</v>
      </c>
      <c r="G12" s="5">
        <f>10*LOG10(G11*'Link Budget'!$R$12*'Link Budget'!$R$9*1000)</f>
        <v>-60.001781511246193</v>
      </c>
      <c r="H12" s="5">
        <f>10*LOG10(H11*'Link Budget'!$R$12*'Link Budget'!$R$9*1000)</f>
        <v>-65.230568964049567</v>
      </c>
      <c r="I12" s="5">
        <f>10*LOG10(I11*'Link Budget'!$R$12*'Link Budget'!$R$9*1000)</f>
        <v>-65.230568964049567</v>
      </c>
      <c r="J12" s="5">
        <f>10*LOG10(J11*'Link Budget'!$R$12*'Link Budget'!$R$9*1000)</f>
        <v>-65.230568964049567</v>
      </c>
      <c r="K12" s="5">
        <f>10*LOG10(K11*'Link Budget'!$R$12*'Link Budget'!$R$9*1000)</f>
        <v>-65.230568964049567</v>
      </c>
      <c r="L12" s="5">
        <f>10*LOG10(L11*'Link Budget'!$R$12*'Link Budget'!$R$9*1000)</f>
        <v>-70.001781511246193</v>
      </c>
      <c r="M12" s="5">
        <f>10*LOG10(M11*'Link Budget'!$R$12*'Link Budget'!$R$9*1000)</f>
        <v>-65.230568964049567</v>
      </c>
    </row>
    <row r="13" spans="1:13" x14ac:dyDescent="0.2">
      <c r="A13" s="6"/>
      <c r="B13" s="2" t="s">
        <v>82</v>
      </c>
      <c r="D13">
        <v>-71.099999999999994</v>
      </c>
      <c r="E13">
        <v>-69.5</v>
      </c>
      <c r="F13">
        <v>-69.8</v>
      </c>
      <c r="G13">
        <v>-61.9</v>
      </c>
      <c r="H13">
        <v>-75.099999999999994</v>
      </c>
      <c r="I13">
        <v>-68.2</v>
      </c>
      <c r="J13">
        <v>-70.3</v>
      </c>
      <c r="K13">
        <v>-51.5</v>
      </c>
      <c r="L13">
        <v>-74.8</v>
      </c>
      <c r="M13">
        <v>-75.3</v>
      </c>
    </row>
    <row r="14" spans="1:13" x14ac:dyDescent="0.2">
      <c r="A14" s="6"/>
      <c r="B14" s="2" t="s">
        <v>81</v>
      </c>
      <c r="D14" s="3">
        <f>POWER(10,D13/10) / (1000 * 'Link Budget'!$R$9*D11)</f>
        <v>562233497.89026177</v>
      </c>
      <c r="E14" s="3">
        <f>POWER(10,E13/10) / (1000 * 'Link Budget'!$R$9*E11)</f>
        <v>812674658.29617965</v>
      </c>
      <c r="F14" s="3">
        <f>POWER(10,F13/10) / (1000 * 'Link Budget'!$R$9*F11)</f>
        <v>758432120.00363505</v>
      </c>
      <c r="G14" s="3">
        <f>POWER(10,G13/10) / (1000 * 'Link Budget'!$R$9*G11)</f>
        <v>467645454.44544977</v>
      </c>
      <c r="H14" s="3">
        <f>POWER(10,H13/10) / (1000 * 'Link Budget'!$R$9*H11)</f>
        <v>74609729.011829004</v>
      </c>
      <c r="I14" s="3">
        <f>POWER(10,I13/10) / (1000 * 'Link Budget'!$R$9*I11)</f>
        <v>365422649.88813341</v>
      </c>
      <c r="J14" s="3">
        <f>POWER(10,J13/10) / (1000 * 'Link Budget'!$R$9*J11)</f>
        <v>225317779.48800182</v>
      </c>
      <c r="K14" s="3">
        <f>POWER(10,K13/10) / (1000 * 'Link Budget'!$R$9*K11)</f>
        <v>17092101477.496843</v>
      </c>
      <c r="L14" s="3">
        <f>POWER(10,L13/10) / (1000 * 'Link Budget'!$R$9*L11)</f>
        <v>239837294.98416415</v>
      </c>
      <c r="M14" s="3">
        <f>POWER(10,M13/10) / (1000 * 'Link Budget'!$R$9*M11)</f>
        <v>71251738.051365405</v>
      </c>
    </row>
  </sheetData>
  <mergeCells count="3">
    <mergeCell ref="A3:A5"/>
    <mergeCell ref="A7:A9"/>
    <mergeCell ref="A11:A14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Link Budget</vt:lpstr>
      <vt:lpstr>Noise Budget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Spencer</dc:creator>
  <cp:lastModifiedBy>Kavi Dey</cp:lastModifiedBy>
  <dcterms:created xsi:type="dcterms:W3CDTF">2024-12-11T23:10:21Z</dcterms:created>
  <dcterms:modified xsi:type="dcterms:W3CDTF">2024-12-14T05:50:17Z</dcterms:modified>
</cp:coreProperties>
</file>