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kavidey/Sync/Mudd/FA24/E157/dp_02/receiver/"/>
    </mc:Choice>
  </mc:AlternateContent>
  <xr:revisionPtr revIDLastSave="0" documentId="13_ncr:1_{4150B313-C50F-4B43-BEFD-BF2D0280BA79}" xr6:coauthVersionLast="47" xr6:coauthVersionMax="47" xr10:uidLastSave="{00000000-0000-0000-0000-000000000000}"/>
  <bookViews>
    <workbookView xWindow="17280" yWindow="760" windowWidth="17280" windowHeight="21580" xr2:uid="{00000000-000D-0000-FFFF-FFFF00000000}"/>
  </bookViews>
  <sheets>
    <sheet name="Sheet1" sheetId="5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1" i="5" l="1"/>
  <c r="S48" i="5"/>
  <c r="S45" i="5"/>
  <c r="S38" i="5"/>
  <c r="S35" i="5"/>
  <c r="F3" i="5" s="1"/>
  <c r="S32" i="5"/>
  <c r="E3" i="5" s="1"/>
  <c r="S29" i="5"/>
  <c r="S28" i="5"/>
  <c r="S23" i="5"/>
  <c r="D10" i="5"/>
  <c r="L8" i="5"/>
  <c r="C4" i="5"/>
  <c r="B4" i="5"/>
  <c r="R9" i="5"/>
  <c r="K10" i="5" s="1"/>
  <c r="L3" i="5"/>
  <c r="K3" i="5"/>
  <c r="J3" i="5"/>
  <c r="I3" i="5"/>
  <c r="H3" i="5"/>
  <c r="G3" i="5"/>
  <c r="E10" i="5" l="1"/>
  <c r="F10" i="5"/>
  <c r="C5" i="5"/>
  <c r="G10" i="5"/>
  <c r="D8" i="5"/>
  <c r="H10" i="5"/>
  <c r="E8" i="5"/>
  <c r="L10" i="5"/>
  <c r="F8" i="5"/>
  <c r="G8" i="5"/>
  <c r="H8" i="5"/>
  <c r="D3" i="5"/>
  <c r="D4" i="5" s="1"/>
  <c r="C8" i="5"/>
  <c r="C10" i="5"/>
  <c r="I8" i="5"/>
  <c r="I10" i="5"/>
  <c r="J8" i="5"/>
  <c r="J10" i="5"/>
  <c r="K8" i="5"/>
  <c r="E4" i="5" l="1"/>
  <c r="D5" i="5"/>
  <c r="E5" i="5" l="1"/>
  <c r="F4" i="5"/>
  <c r="G4" i="5" l="1"/>
  <c r="F5" i="5"/>
  <c r="G5" i="5" l="1"/>
  <c r="H4" i="5"/>
  <c r="L2" i="4"/>
  <c r="F4" i="4"/>
  <c r="F6" i="4"/>
  <c r="F3" i="4"/>
  <c r="D3" i="4" s="1"/>
  <c r="E3" i="4" s="1"/>
  <c r="D6" i="4"/>
  <c r="F5" i="4"/>
  <c r="D4" i="4"/>
  <c r="L4" i="4"/>
  <c r="H5" i="5" l="1"/>
  <c r="I4" i="5"/>
  <c r="I3" i="4"/>
  <c r="D5" i="4"/>
  <c r="J4" i="5" l="1"/>
  <c r="I5" i="5"/>
  <c r="C3" i="4"/>
  <c r="C4" i="4" s="1"/>
  <c r="C5" i="4" s="1"/>
  <c r="C6" i="4" s="1"/>
  <c r="J5" i="5" l="1"/>
  <c r="K4" i="5"/>
  <c r="E4" i="4"/>
  <c r="E5" i="4" s="1"/>
  <c r="L4" i="5" l="1"/>
  <c r="L5" i="5" s="1"/>
  <c r="K5" i="5"/>
  <c r="I4" i="4"/>
  <c r="E6" i="4"/>
  <c r="I5" i="4" l="1"/>
  <c r="I6" i="4"/>
</calcChain>
</file>

<file path=xl/sharedStrings.xml><?xml version="1.0" encoding="utf-8"?>
<sst xmlns="http://schemas.openxmlformats.org/spreadsheetml/2006/main" count="85" uniqueCount="74">
  <si>
    <t>Stage</t>
  </si>
  <si>
    <t>Description</t>
  </si>
  <si>
    <t>Signal Power [dBm]</t>
  </si>
  <si>
    <t>Stage Noise Contribution [K]</t>
  </si>
  <si>
    <t>Total Noise Temperature [K]</t>
  </si>
  <si>
    <t>Gain</t>
  </si>
  <si>
    <t>Bandwidth</t>
  </si>
  <si>
    <t>30 dB Amplifier</t>
  </si>
  <si>
    <t>1 dB Attenuator</t>
  </si>
  <si>
    <t>Input</t>
  </si>
  <si>
    <t>Carrier Frequency [Hz]</t>
  </si>
  <si>
    <t>Room Temperature [K]</t>
  </si>
  <si>
    <t>Noise Power [dBm]</t>
  </si>
  <si>
    <t>Boltzmann Constant</t>
  </si>
  <si>
    <t>RBW</t>
  </si>
  <si>
    <t>Insertion Loss / Noise Figure [dB]</t>
  </si>
  <si>
    <t>30 dB Attenuator</t>
  </si>
  <si>
    <t>TX Noise</t>
  </si>
  <si>
    <t>RX Noise</t>
  </si>
  <si>
    <t>Stage 1</t>
  </si>
  <si>
    <t>Stage 2</t>
  </si>
  <si>
    <t>Stage 3</t>
  </si>
  <si>
    <t>Stage 4</t>
  </si>
  <si>
    <t>Stage 5</t>
  </si>
  <si>
    <t>Stage 6</t>
  </si>
  <si>
    <t>Wide BPF</t>
  </si>
  <si>
    <t>Amplifier</t>
  </si>
  <si>
    <t>Mixer</t>
  </si>
  <si>
    <t>Narrow BPF</t>
  </si>
  <si>
    <t>Attenuator</t>
  </si>
  <si>
    <t>LPF</t>
  </si>
  <si>
    <t>Stage 7</t>
  </si>
  <si>
    <t>Stage 8</t>
  </si>
  <si>
    <t>Stage 9</t>
  </si>
  <si>
    <t>Transmit Antenna</t>
  </si>
  <si>
    <t>Antenna Return Loss [dB]</t>
  </si>
  <si>
    <t>Antenna Directionality [dBi]</t>
  </si>
  <si>
    <t>Receive Antenna</t>
  </si>
  <si>
    <t>Physical Parameters</t>
  </si>
  <si>
    <t>Distance [m]</t>
  </si>
  <si>
    <t>VBFZ-2340-S+ BPF</t>
  </si>
  <si>
    <t>Insertion Loss [dB]</t>
  </si>
  <si>
    <t>Band Start [MHz]</t>
  </si>
  <si>
    <t>Band Stop [MHz]</t>
  </si>
  <si>
    <t>ZX60-2531MA+ Amplifier</t>
  </si>
  <si>
    <t>Gain @ 2200 MHz [dB]</t>
  </si>
  <si>
    <t>Gain @ 300 MHz [dB]</t>
  </si>
  <si>
    <t>IIP3 [dB]</t>
  </si>
  <si>
    <t>OIP3 [dB]</t>
  </si>
  <si>
    <t>ZX05-C24+ Mixer</t>
  </si>
  <si>
    <t>Conversion Loss [dB]</t>
  </si>
  <si>
    <t>Custom BPF</t>
  </si>
  <si>
    <t>226 MHz Attenuation [dB]</t>
  </si>
  <si>
    <t>386 MHz Attenuation [dB]</t>
  </si>
  <si>
    <t>200 MHz Attenuation [dB]</t>
  </si>
  <si>
    <t>450 MHz Attenuation [dB]</t>
  </si>
  <si>
    <t>ZFL-1000LN Amplifier</t>
  </si>
  <si>
    <t>Gain [dB]</t>
  </si>
  <si>
    <t>ZX75LP-40-S+ LPF</t>
  </si>
  <si>
    <t>75 MHz Attenuation [dB]</t>
  </si>
  <si>
    <t>100 MHz Attenuation [dB]</t>
  </si>
  <si>
    <t>150 MHz Attenuation [dB]</t>
  </si>
  <si>
    <t>Physical Temperature [K]</t>
  </si>
  <si>
    <t>NF [dB]</t>
  </si>
  <si>
    <t>Stage Noise Contribution Theory [K]</t>
  </si>
  <si>
    <t>Total Noise Temperature Theory [K]</t>
  </si>
  <si>
    <t>Spectrum Analyzer Measurement DANL [dB]</t>
  </si>
  <si>
    <t>Receiver Noise Measurement [dB]</t>
  </si>
  <si>
    <t>Total Noise Temperature Theory [dB]</t>
  </si>
  <si>
    <t>Boltzmann's Constant</t>
  </si>
  <si>
    <t>Spectrum Analyzer</t>
  </si>
  <si>
    <t>Noise Temperature [K]</t>
  </si>
  <si>
    <t>Spectrum Analyzer RBW [Hz]</t>
  </si>
  <si>
    <t>Receiver Noise Measurement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</si>
</sst>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1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D6A6-1327-AC4F-B70D-750B4FADE777}">
  <dimension ref="A1:S54"/>
  <sheetViews>
    <sheetView tabSelected="1" zoomScale="50" workbookViewId="0">
      <selection activeCell="N15" sqref="N15"/>
    </sheetView>
  </sheetViews>
  <sheetFormatPr baseColWidth="10" defaultRowHeight="13" x14ac:dyDescent="0.15"/>
  <cols>
    <col min="1" max="1" width="36.1640625" customWidth="1"/>
    <col min="3" max="3" width="12.33203125" bestFit="1" customWidth="1"/>
    <col min="9" max="9" width="11.1640625" bestFit="1" customWidth="1"/>
    <col min="10" max="10" width="12.33203125" bestFit="1" customWidth="1"/>
    <col min="12" max="12" width="12.1640625" bestFit="1" customWidth="1"/>
    <col min="14" max="14" width="20.6640625" customWidth="1"/>
    <col min="15" max="15" width="12.33203125" bestFit="1" customWidth="1"/>
  </cols>
  <sheetData>
    <row r="1" spans="1:18" x14ac:dyDescent="0.15"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31</v>
      </c>
      <c r="K1" s="2" t="s">
        <v>32</v>
      </c>
      <c r="L1" s="2" t="s">
        <v>33</v>
      </c>
      <c r="N1" s="7"/>
    </row>
    <row r="2" spans="1:18" x14ac:dyDescent="0.15">
      <c r="D2" s="2" t="s">
        <v>25</v>
      </c>
      <c r="E2" s="2" t="s">
        <v>26</v>
      </c>
      <c r="F2" s="2" t="s">
        <v>27</v>
      </c>
      <c r="G2" s="2" t="s">
        <v>28</v>
      </c>
      <c r="H2" s="2" t="s">
        <v>26</v>
      </c>
      <c r="I2" s="2" t="s">
        <v>29</v>
      </c>
      <c r="J2" s="2" t="s">
        <v>26</v>
      </c>
      <c r="K2" s="2" t="s">
        <v>27</v>
      </c>
      <c r="L2" s="2" t="s">
        <v>30</v>
      </c>
    </row>
    <row r="3" spans="1:18" x14ac:dyDescent="0.15">
      <c r="A3" s="2" t="s">
        <v>64</v>
      </c>
      <c r="B3" s="4">
        <v>0</v>
      </c>
      <c r="C3" s="4">
        <v>290</v>
      </c>
      <c r="D3" s="4">
        <f>(1/$S$23 - 1) *$R$8</f>
        <v>110.31143673483658</v>
      </c>
      <c r="E3" s="4">
        <f>($S$32-1)*$R$8</f>
        <v>288.6260713409751</v>
      </c>
      <c r="F3" s="4">
        <f>(1/$S$35 - 1) *$R$8</f>
        <v>864.51079460514211</v>
      </c>
      <c r="G3" s="4">
        <f>(1/POWER(10,-$R$38/10) - 1) *$R$8</f>
        <v>738.95882877736904</v>
      </c>
      <c r="H3" s="4">
        <f>(POWER(10,$R$32/10)-1)*$R$8</f>
        <v>288.6260713409751</v>
      </c>
      <c r="I3" s="4">
        <f>(1/POWER(10,-3/10) - 1) *$R$8</f>
        <v>288.6260713409751</v>
      </c>
      <c r="J3" s="4">
        <f>(POWER(10,$R$48/10)-1)*$R$8</f>
        <v>275.45493392983315</v>
      </c>
      <c r="K3" s="4">
        <f>(1/POWER(10,-$R$35/10) - 1) *$R$8</f>
        <v>864.51079460514211</v>
      </c>
      <c r="L3" s="4">
        <f>(1/POWER(10,-$R$51/10) - 1) *$R$8</f>
        <v>75.08836942030851</v>
      </c>
    </row>
    <row r="4" spans="1:18" x14ac:dyDescent="0.15">
      <c r="A4" s="2" t="s">
        <v>65</v>
      </c>
      <c r="B4" s="4">
        <f>B3</f>
        <v>0</v>
      </c>
      <c r="C4" s="4">
        <f>C3+B3</f>
        <v>290</v>
      </c>
      <c r="D4" s="4">
        <f>$S$23*(C4 + D3)</f>
        <v>290</v>
      </c>
      <c r="E4" s="4">
        <f>(D4+E3)*$S$28</f>
        <v>2900000.0000000061</v>
      </c>
      <c r="F4" s="4">
        <f>2*$S$35*(F3+E4)</f>
        <v>1457328.440862532</v>
      </c>
      <c r="G4" s="4">
        <f>$S$38*(F4 + G3)</f>
        <v>410939.22719231312</v>
      </c>
      <c r="H4" s="4">
        <f>(G4+H3)*$S$28</f>
        <v>2061021501.6769304</v>
      </c>
      <c r="I4" s="4">
        <f>POWER(10, -3/10)*(H4 + I3)</f>
        <v>1032957809.5274895</v>
      </c>
      <c r="J4" s="4">
        <f>(I4+J3)*$S$45</f>
        <v>206102233990.78513</v>
      </c>
      <c r="K4" s="4">
        <f>2*$S$35*(K3+J4)</f>
        <v>103541081447.36374</v>
      </c>
      <c r="L4" s="4">
        <f>$S$51*(K4 + L3)</f>
        <v>82245604507.172302</v>
      </c>
    </row>
    <row r="5" spans="1:18" x14ac:dyDescent="0.15">
      <c r="A5" s="2" t="s">
        <v>68</v>
      </c>
      <c r="C5" s="6">
        <f>10*LOG10(C4*C7*$R$9*1000)</f>
        <v>-133.97518719422811</v>
      </c>
      <c r="D5" s="6">
        <f>10*LOG10(D4*D7*$R$9*1000)</f>
        <v>-133.97518719422811</v>
      </c>
      <c r="E5" s="6">
        <f>10*LOG10(E4*E7*$R$9*1000)</f>
        <v>-93.975187194228084</v>
      </c>
      <c r="F5" s="6">
        <f>10*LOG10(F4*F7*$R$9*1000)</f>
        <v>-86.963592767532219</v>
      </c>
      <c r="G5" s="6">
        <f>10*LOG10(G4*G7*$R$9*1000)</f>
        <v>-97.690178627371097</v>
      </c>
      <c r="H5" s="6">
        <f>10*LOG10(H4*H7*$R$9*1000)</f>
        <v>-60.687129400073005</v>
      </c>
      <c r="I5" s="6">
        <f>10*LOG10(I4*I7*$R$9*1000)</f>
        <v>-63.687128791885748</v>
      </c>
      <c r="J5" s="6">
        <f>10*LOG10(J4*J7*$R$9*1000)</f>
        <v>-40.687127633769308</v>
      </c>
      <c r="K5" s="6">
        <f>10*LOG10(K4*K7*$R$9*1000)</f>
        <v>-48.448040206109326</v>
      </c>
      <c r="L5" s="6">
        <f>10*LOG10(L4*L7*$R$9*1000)</f>
        <v>-44.676827655763176</v>
      </c>
    </row>
    <row r="6" spans="1:18" x14ac:dyDescent="0.15">
      <c r="Q6" s="7" t="s">
        <v>38</v>
      </c>
    </row>
    <row r="7" spans="1:18" x14ac:dyDescent="0.15">
      <c r="A7" s="2" t="s">
        <v>72</v>
      </c>
      <c r="C7" s="4">
        <v>10000</v>
      </c>
      <c r="D7" s="4">
        <v>10000</v>
      </c>
      <c r="E7" s="4">
        <v>10000</v>
      </c>
      <c r="F7" s="4">
        <v>100000</v>
      </c>
      <c r="G7" s="4">
        <v>30000</v>
      </c>
      <c r="H7" s="4">
        <v>30000</v>
      </c>
      <c r="I7" s="4">
        <v>30000</v>
      </c>
      <c r="J7" s="4">
        <v>30000</v>
      </c>
      <c r="K7" s="4">
        <v>10000</v>
      </c>
      <c r="L7" s="4">
        <v>30000</v>
      </c>
      <c r="Q7" s="2" t="s">
        <v>39</v>
      </c>
      <c r="R7">
        <v>3</v>
      </c>
    </row>
    <row r="8" spans="1:18" x14ac:dyDescent="0.15">
      <c r="A8" s="2" t="s">
        <v>66</v>
      </c>
      <c r="C8" s="6">
        <f>10*LOG10(C7*$R$12*$R$9*1000)</f>
        <v>-70.001781511246193</v>
      </c>
      <c r="D8" s="6">
        <f>10*LOG10(D7*$R$12*$R$9*1000)</f>
        <v>-70.001781511246193</v>
      </c>
      <c r="E8" s="6">
        <f>10*LOG10(E7*$R$12*$R$9*1000)</f>
        <v>-70.001781511246193</v>
      </c>
      <c r="F8" s="6">
        <f>10*LOG10(F7*$R$12*$R$9*1000)</f>
        <v>-60.001781511246193</v>
      </c>
      <c r="G8" s="6">
        <f>10*LOG10(G7*$R$12*$R$9*1000)</f>
        <v>-65.230568964049567</v>
      </c>
      <c r="H8" s="6">
        <f>10*LOG10(H7*$R$12*$R$9*1000)</f>
        <v>-65.230568964049567</v>
      </c>
      <c r="I8" s="6">
        <f>10*LOG10(I7*$R$12*$R$9*1000)</f>
        <v>-65.230568964049567</v>
      </c>
      <c r="J8" s="6">
        <f>10*LOG10(J7*$R$12*$R$9*1000)</f>
        <v>-65.230568964049567</v>
      </c>
      <c r="K8" s="6">
        <f>10*LOG10(K7*$R$12*$R$9*1000)</f>
        <v>-70.001781511246193</v>
      </c>
      <c r="L8" s="6">
        <f>10*LOG10(L7*$R$12*$R$9*1000)</f>
        <v>-65.230568964049567</v>
      </c>
      <c r="Q8" s="2" t="s">
        <v>62</v>
      </c>
      <c r="R8">
        <v>290</v>
      </c>
    </row>
    <row r="9" spans="1:18" x14ac:dyDescent="0.15">
      <c r="A9" s="2" t="s">
        <v>67</v>
      </c>
      <c r="C9">
        <v>-71.099999999999994</v>
      </c>
      <c r="D9">
        <v>-69.5</v>
      </c>
      <c r="E9">
        <v>-69.8</v>
      </c>
      <c r="F9">
        <v>-61.9</v>
      </c>
      <c r="G9">
        <v>-75.099999999999994</v>
      </c>
      <c r="H9">
        <v>-68.2</v>
      </c>
      <c r="I9">
        <v>-70.3</v>
      </c>
      <c r="J9">
        <v>-51.5</v>
      </c>
      <c r="K9">
        <v>-74.8</v>
      </c>
      <c r="L9">
        <v>-75.3</v>
      </c>
      <c r="Q9" s="2" t="s">
        <v>69</v>
      </c>
      <c r="R9">
        <f>1.380649E-23</f>
        <v>1.3806490000000001E-23</v>
      </c>
    </row>
    <row r="10" spans="1:18" x14ac:dyDescent="0.15">
      <c r="A10" s="2" t="s">
        <v>73</v>
      </c>
      <c r="C10" s="4">
        <f>POWER(10,C9/10) / (1000 * $R$9*C7)</f>
        <v>562233497.89026177</v>
      </c>
      <c r="D10" s="4">
        <f>POWER(10,D9/10) / (1000 * $R$9*D7)</f>
        <v>812674658.29617965</v>
      </c>
      <c r="E10" s="4">
        <f>POWER(10,E9/10) / (1000 * $R$9*E7)</f>
        <v>758432120.00363505</v>
      </c>
      <c r="F10" s="4">
        <f>POWER(10,F9/10) / (1000 * $R$9*F7)</f>
        <v>467645454.44544977</v>
      </c>
      <c r="G10" s="4">
        <f>POWER(10,G9/10) / (1000 * $R$9*G7)</f>
        <v>74609729.011829004</v>
      </c>
      <c r="H10" s="4">
        <f>POWER(10,H9/10) / (1000 * $R$9*H7)</f>
        <v>365422649.88813341</v>
      </c>
      <c r="I10" s="4">
        <f>POWER(10,I9/10) / (1000 * $R$9*I7)</f>
        <v>225317779.48800182</v>
      </c>
      <c r="J10" s="4">
        <f>POWER(10,J9/10) / (1000 * $R$9*J7)</f>
        <v>17092101477.496843</v>
      </c>
      <c r="K10" s="4">
        <f>POWER(10,K9/10) / (1000 * $R$9*K7)</f>
        <v>239837294.98416415</v>
      </c>
      <c r="L10" s="4">
        <f>POWER(10,L9/10) / (1000 * $R$9*L7)</f>
        <v>71251738.051365405</v>
      </c>
    </row>
    <row r="11" spans="1:18" x14ac:dyDescent="0.15">
      <c r="Q11" s="7" t="s">
        <v>70</v>
      </c>
    </row>
    <row r="12" spans="1:18" x14ac:dyDescent="0.15">
      <c r="Q12" s="2" t="s">
        <v>71</v>
      </c>
      <c r="R12" s="4">
        <v>724000000</v>
      </c>
    </row>
    <row r="14" spans="1:18" x14ac:dyDescent="0.15">
      <c r="Q14" s="7" t="s">
        <v>34</v>
      </c>
    </row>
    <row r="15" spans="1:18" x14ac:dyDescent="0.15">
      <c r="Q15" s="2" t="s">
        <v>35</v>
      </c>
      <c r="R15" s="1">
        <v>-10</v>
      </c>
    </row>
    <row r="16" spans="1:18" x14ac:dyDescent="0.15">
      <c r="Q16" s="2" t="s">
        <v>36</v>
      </c>
      <c r="R16">
        <v>4</v>
      </c>
    </row>
    <row r="18" spans="17:19" x14ac:dyDescent="0.15">
      <c r="Q18" s="7" t="s">
        <v>37</v>
      </c>
    </row>
    <row r="19" spans="17:19" x14ac:dyDescent="0.15">
      <c r="Q19" s="2" t="s">
        <v>35</v>
      </c>
      <c r="R19" s="1">
        <v>-10</v>
      </c>
    </row>
    <row r="20" spans="17:19" x14ac:dyDescent="0.15">
      <c r="Q20" s="2" t="s">
        <v>36</v>
      </c>
      <c r="R20">
        <v>4</v>
      </c>
    </row>
    <row r="22" spans="17:19" x14ac:dyDescent="0.15">
      <c r="Q22" s="7" t="s">
        <v>40</v>
      </c>
    </row>
    <row r="23" spans="17:19" x14ac:dyDescent="0.15">
      <c r="Q23" s="2" t="s">
        <v>41</v>
      </c>
      <c r="R23">
        <v>1.4</v>
      </c>
      <c r="S23">
        <f>POWER(10,-R23/10)</f>
        <v>0.72443596007499012</v>
      </c>
    </row>
    <row r="24" spans="17:19" x14ac:dyDescent="0.15">
      <c r="Q24" s="2" t="s">
        <v>42</v>
      </c>
      <c r="R24">
        <v>2020</v>
      </c>
    </row>
    <row r="25" spans="17:19" x14ac:dyDescent="0.15">
      <c r="Q25" s="2" t="s">
        <v>43</v>
      </c>
      <c r="R25">
        <v>2660</v>
      </c>
    </row>
    <row r="27" spans="17:19" x14ac:dyDescent="0.15">
      <c r="Q27" s="7" t="s">
        <v>44</v>
      </c>
    </row>
    <row r="28" spans="17:19" x14ac:dyDescent="0.15">
      <c r="Q28" s="2" t="s">
        <v>45</v>
      </c>
      <c r="R28">
        <v>37</v>
      </c>
      <c r="S28">
        <f>POWER(10,R28/10)</f>
        <v>5011.8723362727324</v>
      </c>
    </row>
    <row r="29" spans="17:19" x14ac:dyDescent="0.15">
      <c r="Q29" s="2" t="s">
        <v>46</v>
      </c>
      <c r="R29">
        <v>35</v>
      </c>
      <c r="S29">
        <f>POWER(10,R29/10)</f>
        <v>3162.2776601683804</v>
      </c>
    </row>
    <row r="30" spans="17:19" x14ac:dyDescent="0.15">
      <c r="Q30" s="2" t="s">
        <v>47</v>
      </c>
      <c r="R30" s="2">
        <v>-2.4</v>
      </c>
    </row>
    <row r="31" spans="17:19" x14ac:dyDescent="0.15">
      <c r="Q31" s="2" t="s">
        <v>48</v>
      </c>
      <c r="R31" s="2">
        <v>27</v>
      </c>
    </row>
    <row r="32" spans="17:19" x14ac:dyDescent="0.15">
      <c r="Q32" s="2" t="s">
        <v>63</v>
      </c>
      <c r="R32" s="2">
        <v>3</v>
      </c>
      <c r="S32">
        <f>POWER(10,R32/10)</f>
        <v>1.9952623149688797</v>
      </c>
    </row>
    <row r="34" spans="17:19" x14ac:dyDescent="0.15">
      <c r="Q34" s="7" t="s">
        <v>49</v>
      </c>
    </row>
    <row r="35" spans="17:19" x14ac:dyDescent="0.15">
      <c r="Q35" s="2" t="s">
        <v>50</v>
      </c>
      <c r="R35">
        <v>6</v>
      </c>
      <c r="S35">
        <f>POWER(10,-R35/10)</f>
        <v>0.25118864315095801</v>
      </c>
    </row>
    <row r="37" spans="17:19" x14ac:dyDescent="0.15">
      <c r="Q37" s="7" t="s">
        <v>51</v>
      </c>
    </row>
    <row r="38" spans="17:19" x14ac:dyDescent="0.15">
      <c r="Q38" s="2" t="s">
        <v>41</v>
      </c>
      <c r="R38">
        <v>5.5</v>
      </c>
      <c r="S38">
        <f>POWER(10,-R38/10)</f>
        <v>0.28183829312644532</v>
      </c>
    </row>
    <row r="39" spans="17:19" x14ac:dyDescent="0.15">
      <c r="Q39" s="2" t="s">
        <v>52</v>
      </c>
      <c r="R39">
        <v>20</v>
      </c>
    </row>
    <row r="40" spans="17:19" x14ac:dyDescent="0.15">
      <c r="Q40" s="2" t="s">
        <v>53</v>
      </c>
      <c r="R40">
        <v>10</v>
      </c>
    </row>
    <row r="41" spans="17:19" x14ac:dyDescent="0.15">
      <c r="Q41" s="2" t="s">
        <v>54</v>
      </c>
      <c r="R41">
        <v>24</v>
      </c>
    </row>
    <row r="42" spans="17:19" x14ac:dyDescent="0.15">
      <c r="Q42" s="2" t="s">
        <v>55</v>
      </c>
      <c r="R42">
        <v>20</v>
      </c>
    </row>
    <row r="43" spans="17:19" x14ac:dyDescent="0.15">
      <c r="Q43" s="2"/>
    </row>
    <row r="44" spans="17:19" x14ac:dyDescent="0.15">
      <c r="Q44" s="7" t="s">
        <v>56</v>
      </c>
    </row>
    <row r="45" spans="17:19" x14ac:dyDescent="0.15">
      <c r="Q45" s="2" t="s">
        <v>57</v>
      </c>
      <c r="R45">
        <v>23</v>
      </c>
      <c r="S45">
        <f>POWER(10,R45/10)</f>
        <v>199.52623149688802</v>
      </c>
    </row>
    <row r="46" spans="17:19" x14ac:dyDescent="0.15">
      <c r="Q46" s="2" t="s">
        <v>47</v>
      </c>
      <c r="R46" s="2">
        <v>-6</v>
      </c>
    </row>
    <row r="47" spans="17:19" x14ac:dyDescent="0.15">
      <c r="Q47" s="2" t="s">
        <v>48</v>
      </c>
      <c r="R47" s="2">
        <v>14</v>
      </c>
    </row>
    <row r="48" spans="17:19" x14ac:dyDescent="0.15">
      <c r="Q48" s="2" t="s">
        <v>63</v>
      </c>
      <c r="R48" s="2">
        <v>2.9</v>
      </c>
      <c r="S48">
        <f>POWER(10,R48/10)</f>
        <v>1.9498445997580454</v>
      </c>
    </row>
    <row r="50" spans="17:19" x14ac:dyDescent="0.15">
      <c r="Q50" s="7" t="s">
        <v>58</v>
      </c>
    </row>
    <row r="51" spans="17:19" x14ac:dyDescent="0.15">
      <c r="Q51" s="2" t="s">
        <v>41</v>
      </c>
      <c r="R51">
        <v>1</v>
      </c>
      <c r="S51">
        <f>POWER(10,-R51/10)</f>
        <v>0.79432823472428149</v>
      </c>
    </row>
    <row r="52" spans="17:19" x14ac:dyDescent="0.15">
      <c r="Q52" s="2" t="s">
        <v>59</v>
      </c>
      <c r="R52">
        <v>44</v>
      </c>
    </row>
    <row r="53" spans="17:19" x14ac:dyDescent="0.15">
      <c r="Q53" s="2" t="s">
        <v>60</v>
      </c>
      <c r="R53">
        <v>60</v>
      </c>
    </row>
    <row r="54" spans="17:19" x14ac:dyDescent="0.15">
      <c r="Q54" s="2" t="s">
        <v>61</v>
      </c>
      <c r="R54">
        <v>57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34"/>
  <sheetViews>
    <sheetView zoomScale="136" zoomScaleNormal="136" workbookViewId="0">
      <selection activeCell="D19" sqref="D19"/>
    </sheetView>
  </sheetViews>
  <sheetFormatPr baseColWidth="10" defaultColWidth="12.6640625" defaultRowHeight="15.75" customHeight="1" x14ac:dyDescent="0.15"/>
  <cols>
    <col min="3" max="3" width="15.1640625" customWidth="1"/>
    <col min="4" max="4" width="22.33203125" customWidth="1"/>
    <col min="5" max="5" width="22.5" style="4" customWidth="1"/>
    <col min="6" max="6" width="7" customWidth="1"/>
    <col min="7" max="7" width="26.1640625" customWidth="1"/>
    <col min="9" max="9" width="17.33203125" style="6" customWidth="1"/>
    <col min="10" max="10" width="14.33203125" customWidth="1"/>
  </cols>
  <sheetData>
    <row r="1" spans="1:12" ht="15.75" customHeight="1" x14ac:dyDescent="0.15">
      <c r="A1" s="2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15</v>
      </c>
      <c r="H1" s="1" t="s">
        <v>6</v>
      </c>
      <c r="I1" s="5" t="s">
        <v>12</v>
      </c>
    </row>
    <row r="2" spans="1:12" ht="15.75" customHeight="1" x14ac:dyDescent="0.15">
      <c r="A2">
        <v>1</v>
      </c>
      <c r="B2" s="2" t="s">
        <v>9</v>
      </c>
      <c r="C2">
        <v>-40</v>
      </c>
      <c r="D2">
        <v>0</v>
      </c>
      <c r="E2" s="4">
        <v>0</v>
      </c>
      <c r="F2">
        <v>0</v>
      </c>
      <c r="I2"/>
      <c r="K2" t="s">
        <v>10</v>
      </c>
      <c r="L2" s="4">
        <f>2400000000</f>
        <v>2400000000</v>
      </c>
    </row>
    <row r="3" spans="1:12" ht="15.75" customHeight="1" x14ac:dyDescent="0.15">
      <c r="A3">
        <v>2</v>
      </c>
      <c r="B3" s="2" t="s">
        <v>16</v>
      </c>
      <c r="C3">
        <f>C2+10*LOG10(F3)</f>
        <v>-70</v>
      </c>
      <c r="D3">
        <f>(1/F3 - 1)*$L$3</f>
        <v>299700</v>
      </c>
      <c r="E3" s="4">
        <f>(E2+D3)</f>
        <v>299700</v>
      </c>
      <c r="F3">
        <f>POWER(10,-30/10)</f>
        <v>1E-3</v>
      </c>
      <c r="I3">
        <f>10*LOG10(E3*$L$4*$L$5)</f>
        <v>-133.83434170653121</v>
      </c>
      <c r="K3" t="s">
        <v>11</v>
      </c>
      <c r="L3">
        <v>300</v>
      </c>
    </row>
    <row r="4" spans="1:12" ht="15.75" customHeight="1" x14ac:dyDescent="0.15">
      <c r="A4">
        <v>3</v>
      </c>
      <c r="B4" t="s">
        <v>7</v>
      </c>
      <c r="C4">
        <f>C3+10*LOG10(F4)</f>
        <v>-33.089999999999996</v>
      </c>
      <c r="D4">
        <f>(POWER(10,G4/10)-1)*$L$3</f>
        <v>431.34324551062576</v>
      </c>
      <c r="E4" s="4">
        <f>F4*(E3+D4)</f>
        <v>1473368402.794817</v>
      </c>
      <c r="F4">
        <f>POWER(10,36.91/10)</f>
        <v>4909.078761526036</v>
      </c>
      <c r="G4">
        <v>3.87</v>
      </c>
      <c r="I4">
        <f>10*LOG10(E4*$L$4*$L$5)</f>
        <v>-96.918095616668381</v>
      </c>
      <c r="K4" t="s">
        <v>13</v>
      </c>
      <c r="L4">
        <f>1.38E-23</f>
        <v>1.3800000000000001E-23</v>
      </c>
    </row>
    <row r="5" spans="1:12" ht="15.75" customHeight="1" x14ac:dyDescent="0.15">
      <c r="A5">
        <v>4</v>
      </c>
      <c r="B5" t="s">
        <v>8</v>
      </c>
      <c r="C5">
        <f>C4+10*LOG10(F5)</f>
        <v>-34.089999999999996</v>
      </c>
      <c r="D5">
        <f>(1/F5 - 1)*$L$3</f>
        <v>77.677623538250188</v>
      </c>
      <c r="E5" s="4">
        <f>F5*E4+D5</f>
        <v>1170338200.1681645</v>
      </c>
      <c r="F5">
        <f>POWER(10,-1/10)</f>
        <v>0.79432823472428149</v>
      </c>
      <c r="I5">
        <f>10*LOG10(E5*$L$4*$L$5)</f>
        <v>-97.918095328418673</v>
      </c>
      <c r="K5" t="s">
        <v>14</v>
      </c>
      <c r="L5" s="4">
        <v>10000</v>
      </c>
    </row>
    <row r="6" spans="1:12" ht="15.75" customHeight="1" x14ac:dyDescent="0.15">
      <c r="A6">
        <v>5</v>
      </c>
      <c r="B6" t="s">
        <v>7</v>
      </c>
      <c r="C6">
        <f>C5+10*LOG10(F6)</f>
        <v>2.8200000000000074</v>
      </c>
      <c r="D6">
        <f>(POWER(10,G6/10)-1)*$L$3</f>
        <v>431.34324551062576</v>
      </c>
      <c r="E6" s="4">
        <f>F6*(E5+D6)</f>
        <v>5745284519746.1084</v>
      </c>
      <c r="F6">
        <f>POWER(10,36.91/10)</f>
        <v>4909.078761526036</v>
      </c>
      <c r="G6">
        <v>3.87</v>
      </c>
      <c r="I6">
        <f>10*LOG10(E6*$L$4*$L$5)</f>
        <v>-61.008093727770607</v>
      </c>
    </row>
    <row r="7" spans="1:12" ht="15.75" customHeight="1" x14ac:dyDescent="0.15">
      <c r="I7"/>
    </row>
    <row r="8" spans="1:12" ht="15.75" customHeight="1" x14ac:dyDescent="0.15">
      <c r="I8"/>
    </row>
    <row r="9" spans="1:12" ht="15.75" customHeight="1" x14ac:dyDescent="0.15">
      <c r="I9"/>
    </row>
    <row r="10" spans="1:12" ht="15.75" customHeight="1" x14ac:dyDescent="0.15">
      <c r="I10"/>
    </row>
    <row r="11" spans="1:12" ht="15.75" customHeight="1" x14ac:dyDescent="0.15">
      <c r="I11"/>
    </row>
    <row r="12" spans="1:12" ht="15.75" customHeight="1" x14ac:dyDescent="0.15">
      <c r="I12"/>
    </row>
    <row r="13" spans="1:12" ht="15.75" customHeight="1" x14ac:dyDescent="0.15">
      <c r="I13"/>
    </row>
    <row r="14" spans="1:12" ht="15.75" customHeight="1" x14ac:dyDescent="0.15">
      <c r="I14"/>
    </row>
    <row r="15" spans="1:12" ht="15.75" customHeight="1" x14ac:dyDescent="0.15">
      <c r="I15"/>
    </row>
    <row r="16" spans="1:12" ht="15.75" customHeight="1" x14ac:dyDescent="0.15">
      <c r="I16"/>
    </row>
    <row r="17" spans="1:9" ht="15.75" customHeight="1" x14ac:dyDescent="0.15">
      <c r="I17"/>
    </row>
    <row r="18" spans="1:9" ht="15.75" customHeight="1" x14ac:dyDescent="0.15">
      <c r="I18"/>
    </row>
    <row r="19" spans="1:9" ht="15.75" customHeight="1" x14ac:dyDescent="0.15">
      <c r="I19"/>
    </row>
    <row r="20" spans="1:9" ht="15.75" customHeight="1" x14ac:dyDescent="0.15">
      <c r="A20" s="2"/>
      <c r="I20"/>
    </row>
    <row r="27" spans="1:9" ht="15.75" customHeight="1" x14ac:dyDescent="0.15">
      <c r="I27"/>
    </row>
    <row r="28" spans="1:9" ht="15.75" customHeight="1" x14ac:dyDescent="0.15">
      <c r="A28" s="2"/>
      <c r="B28" s="2"/>
      <c r="C28" s="1"/>
      <c r="D28" s="1"/>
      <c r="E28" s="3"/>
      <c r="F28" s="1"/>
      <c r="G28" s="1"/>
      <c r="H28" s="1"/>
      <c r="I28" s="5"/>
    </row>
    <row r="29" spans="1:9" ht="15.75" customHeight="1" x14ac:dyDescent="0.15">
      <c r="B29" s="2"/>
      <c r="I29"/>
    </row>
    <row r="30" spans="1:9" ht="15.75" customHeight="1" x14ac:dyDescent="0.15">
      <c r="B30" s="2"/>
      <c r="I30"/>
    </row>
    <row r="31" spans="1:9" ht="15.75" customHeight="1" x14ac:dyDescent="0.15">
      <c r="I31"/>
    </row>
    <row r="32" spans="1:9" ht="15.75" customHeight="1" x14ac:dyDescent="0.15">
      <c r="I32"/>
    </row>
    <row r="33" spans="9:9" ht="15.75" customHeight="1" x14ac:dyDescent="0.15">
      <c r="I33"/>
    </row>
    <row r="34" spans="9:9" ht="15.75" customHeight="1" x14ac:dyDescent="0.15">
      <c r="I3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Kavi Dey</cp:lastModifiedBy>
  <dcterms:modified xsi:type="dcterms:W3CDTF">2024-12-14T00:10:45Z</dcterms:modified>
</cp:coreProperties>
</file>