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\Fiat\Vijay\FB deep dive\BB Analaysis\"/>
    </mc:Choice>
  </mc:AlternateContent>
  <xr:revisionPtr revIDLastSave="0" documentId="13_ncr:1_{E9218D6D-390A-4EF0-9090-AC98AAA2DC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dia Practice - duration" sheetId="1" r:id="rId1"/>
    <sheet name="Media Practice - duration - SM" sheetId="2" r:id="rId2"/>
  </sheets>
  <definedNames>
    <definedName name="solver_adj" localSheetId="0" hidden="1">'Media Practice - duration'!$AA$3:$AC$3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'Media Practice - duration'!$AA$3:$AC$3</definedName>
    <definedName name="solver_lhs2" localSheetId="0" hidden="1">'Media Practice - duration'!$AA$3:$AC$3</definedName>
    <definedName name="solver_lhs3" localSheetId="0" hidden="1">'Media Practice - duration'!$AD$47</definedName>
    <definedName name="solver_lhs4" localSheetId="0" hidden="1">'Media Practice - duration'!$AD$47</definedName>
    <definedName name="solver_lhs5" localSheetId="0" hidden="1">'Media Practice - duration'!$AD$48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'Media Practice - duration'!$AD$47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'Media Practice - duration'!$AE$3:$AG$3</definedName>
    <definedName name="solver_rhs2" localSheetId="0" hidden="1">'Media Practice - duration'!$AE$4:$AG$4</definedName>
    <definedName name="solver_rhs3" localSheetId="0" hidden="1">'Media Practice - duration'!$Z$47</definedName>
    <definedName name="solver_rhs4" localSheetId="0" hidden="1">'Media Practice - duration'!$Z$47</definedName>
    <definedName name="solver_rhs5" localSheetId="0" hidden="1">'Media Practice - duration'!$Z$48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234</definedName>
    <definedName name="solver_ver" localSheetId="0" hidden="1">3</definedName>
  </definedNames>
  <calcPr calcId="191029"/>
  <pivotCaches>
    <pivotCache cacheId="1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E4" i="1" l="1"/>
  <c r="AF3" i="1" l="1"/>
  <c r="AG3" i="1"/>
  <c r="AF4" i="1"/>
  <c r="AG4" i="1"/>
  <c r="AC2" i="1"/>
  <c r="AB2" i="1"/>
  <c r="AA2" i="1"/>
  <c r="D16" i="2" l="1"/>
  <c r="E16" i="2" s="1"/>
  <c r="D17" i="2"/>
  <c r="D15" i="2"/>
  <c r="D10" i="2"/>
  <c r="D11" i="2"/>
  <c r="D9" i="2"/>
  <c r="D4" i="2"/>
  <c r="D5" i="2"/>
  <c r="D3" i="2"/>
  <c r="E3" i="2" s="1"/>
  <c r="C22" i="2"/>
  <c r="C23" i="2"/>
  <c r="C21" i="2"/>
  <c r="C16" i="2"/>
  <c r="C17" i="2"/>
  <c r="C15" i="2"/>
  <c r="C10" i="2"/>
  <c r="C11" i="2"/>
  <c r="C9" i="2"/>
  <c r="C4" i="2"/>
  <c r="C5" i="2"/>
  <c r="C3" i="2"/>
  <c r="E4" i="2" l="1"/>
  <c r="E17" i="2"/>
  <c r="E5" i="2"/>
  <c r="E9" i="2"/>
  <c r="E11" i="2"/>
  <c r="E10" i="2"/>
  <c r="E15" i="2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Z35" i="1"/>
  <c r="Z36" i="1"/>
  <c r="Z37" i="1"/>
  <c r="Z38" i="1"/>
  <c r="Z39" i="1"/>
  <c r="Z40" i="1"/>
  <c r="Z41" i="1"/>
  <c r="Z7" i="1"/>
  <c r="AA48" i="1" l="1"/>
  <c r="AA47" i="1"/>
  <c r="H7" i="1" l="1"/>
  <c r="H8" i="1" s="1"/>
  <c r="G7" i="1"/>
  <c r="F7" i="1"/>
  <c r="AA7" i="1" s="1"/>
  <c r="D22" i="2"/>
  <c r="D23" i="2"/>
  <c r="D21" i="2"/>
  <c r="E21" i="2" l="1"/>
  <c r="E23" i="2"/>
  <c r="J23" i="2" s="1"/>
  <c r="J22" i="2"/>
  <c r="E22" i="2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AA46" i="1"/>
  <c r="G8" i="1"/>
  <c r="AB7" i="1"/>
  <c r="H9" i="1"/>
  <c r="AC8" i="1"/>
  <c r="Z31" i="1"/>
  <c r="Z32" i="1"/>
  <c r="Z33" i="1"/>
  <c r="Z34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J21" i="2" l="1"/>
  <c r="Z48" i="1"/>
  <c r="H10" i="1"/>
  <c r="AC9" i="1"/>
  <c r="G9" i="1"/>
  <c r="AB8" i="1"/>
  <c r="Z46" i="1"/>
  <c r="AG8" i="1" l="1"/>
  <c r="AE8" i="1"/>
  <c r="AF8" i="1"/>
  <c r="H11" i="1"/>
  <c r="AC10" i="1"/>
  <c r="G10" i="1"/>
  <c r="AB9" i="1"/>
  <c r="Z47" i="1"/>
  <c r="Z49" i="1" s="1"/>
  <c r="AC7" i="1"/>
  <c r="AF9" i="1" l="1"/>
  <c r="AE9" i="1"/>
  <c r="G11" i="1"/>
  <c r="AB10" i="1"/>
  <c r="H12" i="1"/>
  <c r="AC11" i="1"/>
  <c r="AG9" i="1"/>
  <c r="AF7" i="1"/>
  <c r="AG7" i="1"/>
  <c r="AE7" i="1"/>
  <c r="H13" i="1" l="1"/>
  <c r="AC12" i="1"/>
  <c r="AF10" i="1"/>
  <c r="AE10" i="1"/>
  <c r="G12" i="1"/>
  <c r="AB11" i="1"/>
  <c r="AG10" i="1"/>
  <c r="AA49" i="1"/>
  <c r="AF11" i="1" l="1"/>
  <c r="AE11" i="1"/>
  <c r="G13" i="1"/>
  <c r="AB12" i="1"/>
  <c r="H14" i="1"/>
  <c r="AC13" i="1"/>
  <c r="AG11" i="1"/>
  <c r="G14" i="1" l="1"/>
  <c r="AB13" i="1"/>
  <c r="AF12" i="1"/>
  <c r="AE12" i="1"/>
  <c r="AG12" i="1"/>
  <c r="H15" i="1"/>
  <c r="AC14" i="1"/>
  <c r="AF13" i="1" l="1"/>
  <c r="AE13" i="1"/>
  <c r="G15" i="1"/>
  <c r="AB14" i="1"/>
  <c r="AG14" i="1" s="1"/>
  <c r="H16" i="1"/>
  <c r="AC15" i="1"/>
  <c r="AG13" i="1"/>
  <c r="H17" i="1" l="1"/>
  <c r="AC16" i="1"/>
  <c r="AF14" i="1"/>
  <c r="AE14" i="1"/>
  <c r="G16" i="1"/>
  <c r="AB15" i="1"/>
  <c r="AG15" i="1" s="1"/>
  <c r="AF15" i="1" l="1"/>
  <c r="AE15" i="1"/>
  <c r="G17" i="1"/>
  <c r="AB16" i="1"/>
  <c r="AG16" i="1" s="1"/>
  <c r="H18" i="1"/>
  <c r="AC17" i="1"/>
  <c r="H19" i="1" l="1"/>
  <c r="AC18" i="1"/>
  <c r="AF16" i="1"/>
  <c r="AE16" i="1"/>
  <c r="G18" i="1"/>
  <c r="AB17" i="1"/>
  <c r="AG17" i="1" s="1"/>
  <c r="AF17" i="1" l="1"/>
  <c r="AE17" i="1"/>
  <c r="G19" i="1"/>
  <c r="AB18" i="1"/>
  <c r="AG18" i="1" s="1"/>
  <c r="AG46" i="1" s="1"/>
  <c r="AC46" i="1"/>
  <c r="H20" i="1"/>
  <c r="AC19" i="1"/>
  <c r="G20" i="1" l="1"/>
  <c r="AB19" i="1"/>
  <c r="H21" i="1"/>
  <c r="AC20" i="1"/>
  <c r="B5" i="2"/>
  <c r="AC51" i="1"/>
  <c r="AF18" i="1"/>
  <c r="AF46" i="1" s="1"/>
  <c r="AE18" i="1"/>
  <c r="AE46" i="1" s="1"/>
  <c r="AB46" i="1"/>
  <c r="AD46" i="1" s="1"/>
  <c r="AF19" i="1" l="1"/>
  <c r="AE19" i="1"/>
  <c r="F5" i="2"/>
  <c r="G5" i="2"/>
  <c r="B3" i="2"/>
  <c r="AA51" i="1"/>
  <c r="H22" i="1"/>
  <c r="AC21" i="1"/>
  <c r="B4" i="2"/>
  <c r="AB51" i="1"/>
  <c r="G21" i="1"/>
  <c r="AB20" i="1"/>
  <c r="AG20" i="1" s="1"/>
  <c r="AG19" i="1"/>
  <c r="G4" i="2" l="1"/>
  <c r="F4" i="2"/>
  <c r="H23" i="1"/>
  <c r="AC22" i="1"/>
  <c r="Z51" i="1"/>
  <c r="F3" i="2"/>
  <c r="G3" i="2"/>
  <c r="AF20" i="1"/>
  <c r="AE20" i="1"/>
  <c r="G22" i="1"/>
  <c r="AB21" i="1"/>
  <c r="AG21" i="1" s="1"/>
  <c r="G23" i="1" l="1"/>
  <c r="AB22" i="1"/>
  <c r="AG22" i="1" s="1"/>
  <c r="AF21" i="1"/>
  <c r="AE21" i="1"/>
  <c r="H24" i="1"/>
  <c r="AC23" i="1"/>
  <c r="H25" i="1" l="1"/>
  <c r="AC24" i="1"/>
  <c r="AF22" i="1"/>
  <c r="AE22" i="1"/>
  <c r="G24" i="1"/>
  <c r="AB23" i="1"/>
  <c r="AG23" i="1" s="1"/>
  <c r="H26" i="1" l="1"/>
  <c r="AC25" i="1"/>
  <c r="AF23" i="1"/>
  <c r="AE23" i="1"/>
  <c r="G25" i="1"/>
  <c r="AB24" i="1"/>
  <c r="AG24" i="1" s="1"/>
  <c r="AF24" i="1" l="1"/>
  <c r="AE24" i="1"/>
  <c r="H27" i="1"/>
  <c r="AC26" i="1"/>
  <c r="G26" i="1"/>
  <c r="AB25" i="1"/>
  <c r="AG25" i="1" s="1"/>
  <c r="AF25" i="1" l="1"/>
  <c r="AE25" i="1"/>
  <c r="G27" i="1"/>
  <c r="AB26" i="1"/>
  <c r="AG26" i="1" s="1"/>
  <c r="H28" i="1"/>
  <c r="AC27" i="1"/>
  <c r="G28" i="1" l="1"/>
  <c r="AB27" i="1"/>
  <c r="H29" i="1"/>
  <c r="AC28" i="1"/>
  <c r="AF26" i="1"/>
  <c r="AE26" i="1"/>
  <c r="AF27" i="1" l="1"/>
  <c r="AE27" i="1"/>
  <c r="H30" i="1"/>
  <c r="AC29" i="1"/>
  <c r="G29" i="1"/>
  <c r="AB28" i="1"/>
  <c r="AG28" i="1" s="1"/>
  <c r="AG27" i="1"/>
  <c r="G30" i="1" l="1"/>
  <c r="AB29" i="1"/>
  <c r="AG29" i="1" s="1"/>
  <c r="AF28" i="1"/>
  <c r="AE28" i="1"/>
  <c r="H31" i="1"/>
  <c r="AC30" i="1"/>
  <c r="AC47" i="1" l="1"/>
  <c r="G31" i="1"/>
  <c r="AB30" i="1"/>
  <c r="AG30" i="1" s="1"/>
  <c r="AG47" i="1" s="1"/>
  <c r="H32" i="1"/>
  <c r="AC31" i="1"/>
  <c r="AF29" i="1"/>
  <c r="AE29" i="1"/>
  <c r="AF30" i="1" l="1"/>
  <c r="AF47" i="1" s="1"/>
  <c r="AE30" i="1"/>
  <c r="AE47" i="1" s="1"/>
  <c r="AB47" i="1"/>
  <c r="G32" i="1"/>
  <c r="AB31" i="1"/>
  <c r="H33" i="1"/>
  <c r="AC32" i="1"/>
  <c r="B11" i="2"/>
  <c r="AC52" i="1"/>
  <c r="H34" i="1" l="1"/>
  <c r="AC33" i="1"/>
  <c r="AF31" i="1"/>
  <c r="AE31" i="1"/>
  <c r="F11" i="2"/>
  <c r="G11" i="2"/>
  <c r="AD47" i="1"/>
  <c r="G33" i="1"/>
  <c r="AB32" i="1"/>
  <c r="AG32" i="1" s="1"/>
  <c r="AG31" i="1"/>
  <c r="B9" i="2"/>
  <c r="AA52" i="1"/>
  <c r="B10" i="2"/>
  <c r="AB52" i="1"/>
  <c r="Z52" i="1" l="1"/>
  <c r="G34" i="1"/>
  <c r="AB33" i="1"/>
  <c r="AG33" i="1" s="1"/>
  <c r="G9" i="2"/>
  <c r="F9" i="2"/>
  <c r="AF32" i="1"/>
  <c r="AE32" i="1"/>
  <c r="F10" i="2"/>
  <c r="G10" i="2"/>
  <c r="H35" i="1"/>
  <c r="AC34" i="1"/>
  <c r="G35" i="1" l="1"/>
  <c r="AB34" i="1"/>
  <c r="AG34" i="1" s="1"/>
  <c r="H36" i="1"/>
  <c r="AC35" i="1"/>
  <c r="AF33" i="1"/>
  <c r="AE33" i="1"/>
  <c r="H37" i="1" l="1"/>
  <c r="AC36" i="1"/>
  <c r="G36" i="1"/>
  <c r="AB35" i="1"/>
  <c r="AF34" i="1"/>
  <c r="AE34" i="1"/>
  <c r="AF35" i="1" l="1"/>
  <c r="AE35" i="1"/>
  <c r="H38" i="1"/>
  <c r="AC37" i="1"/>
  <c r="G37" i="1"/>
  <c r="AB36" i="1"/>
  <c r="AG35" i="1"/>
  <c r="AF36" i="1" l="1"/>
  <c r="AE36" i="1"/>
  <c r="AG36" i="1"/>
  <c r="G38" i="1"/>
  <c r="AB37" i="1"/>
  <c r="H39" i="1"/>
  <c r="AC38" i="1"/>
  <c r="AF37" i="1" l="1"/>
  <c r="AE37" i="1"/>
  <c r="AG37" i="1"/>
  <c r="H40" i="1"/>
  <c r="AC39" i="1"/>
  <c r="G39" i="1"/>
  <c r="AB38" i="1"/>
  <c r="H41" i="1" l="1"/>
  <c r="AC41" i="1" s="1"/>
  <c r="AC40" i="1"/>
  <c r="AF38" i="1"/>
  <c r="AE38" i="1"/>
  <c r="G40" i="1"/>
  <c r="AB39" i="1"/>
  <c r="AG38" i="1"/>
  <c r="AE39" i="1" l="1"/>
  <c r="AF39" i="1"/>
  <c r="G41" i="1"/>
  <c r="AB41" i="1" s="1"/>
  <c r="AG41" i="1" s="1"/>
  <c r="AB40" i="1"/>
  <c r="AC48" i="1"/>
  <c r="AC49" i="1" s="1"/>
  <c r="AG39" i="1"/>
  <c r="AE40" i="1" l="1"/>
  <c r="AF40" i="1"/>
  <c r="AG40" i="1"/>
  <c r="AG48" i="1" s="1"/>
  <c r="AG49" i="1" s="1"/>
  <c r="AE41" i="1"/>
  <c r="AF41" i="1"/>
  <c r="AB48" i="1"/>
  <c r="AF48" i="1" l="1"/>
  <c r="AE48" i="1"/>
  <c r="B17" i="2"/>
  <c r="B23" i="2" s="1"/>
  <c r="AC53" i="1"/>
  <c r="AD48" i="1"/>
  <c r="AB49" i="1"/>
  <c r="AD49" i="1" s="1"/>
  <c r="B15" i="2" l="1"/>
  <c r="AE49" i="1"/>
  <c r="B16" i="2"/>
  <c r="AF49" i="1"/>
  <c r="AB53" i="1"/>
  <c r="AA53" i="1"/>
  <c r="F17" i="2"/>
  <c r="G17" i="2"/>
  <c r="G16" i="2" l="1"/>
  <c r="B22" i="2"/>
  <c r="F22" i="2" s="1"/>
  <c r="F15" i="2"/>
  <c r="B21" i="2"/>
  <c r="F21" i="2" s="1"/>
  <c r="G15" i="2"/>
  <c r="F16" i="2"/>
  <c r="Z53" i="1"/>
  <c r="F23" i="2"/>
  <c r="G23" i="2"/>
  <c r="G21" i="2" l="1"/>
  <c r="G22" i="2"/>
  <c r="K25" i="2"/>
  <c r="K23" i="2"/>
  <c r="L23" i="2" s="1"/>
  <c r="K21" i="2"/>
  <c r="L21" i="2" s="1"/>
  <c r="K22" i="2"/>
  <c r="L22" i="2" s="1"/>
  <c r="L25" i="2" l="1"/>
  <c r="M25" i="2" s="1"/>
</calcChain>
</file>

<file path=xl/sharedStrings.xml><?xml version="1.0" encoding="utf-8"?>
<sst xmlns="http://schemas.openxmlformats.org/spreadsheetml/2006/main" count="244" uniqueCount="75">
  <si>
    <t>Incremental Volume FB</t>
  </si>
  <si>
    <t>Model Volume and Raw Impressions</t>
  </si>
  <si>
    <t>Used Transformed Variables</t>
  </si>
  <si>
    <t>DP - Stands for 'Dependent variable'</t>
  </si>
  <si>
    <t>Volumes</t>
  </si>
  <si>
    <t>Adjusted Volume</t>
  </si>
  <si>
    <t>IP - Stands for 'Independent Variables'</t>
  </si>
  <si>
    <t>Model Coefficients</t>
  </si>
  <si>
    <t>Raw Impressions</t>
  </si>
  <si>
    <t>IP - Impressions</t>
  </si>
  <si>
    <t>Month</t>
  </si>
  <si>
    <t>DP_Incremental Volume_FB</t>
  </si>
  <si>
    <t>Frequency_Sub_Optimal</t>
  </si>
  <si>
    <t>Frequency_Opportunity_to_Improve</t>
  </si>
  <si>
    <t>Frequency_Optimal</t>
  </si>
  <si>
    <t>Regression with Volume / Decompos (DP) + Transfomed Variables (IP). Regression with constant effects, we can call as Non-satural Model.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</si>
  <si>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</si>
  <si>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</si>
  <si>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</si>
  <si>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</si>
  <si>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</si>
  <si>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</si>
  <si>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</si>
  <si>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</si>
  <si>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</si>
  <si>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</si>
  <si>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</si>
  <si>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</si>
  <si>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</si>
  <si>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</si>
  <si>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</si>
  <si>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</si>
  <si>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</si>
  <si>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</si>
  <si>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</si>
  <si>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</si>
  <si>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</si>
  <si>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</si>
  <si>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</si>
  <si>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</si>
  <si>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Volume</t>
  </si>
  <si>
    <t>FY 2019</t>
  </si>
  <si>
    <t>Spends</t>
  </si>
  <si>
    <t>CPP</t>
  </si>
  <si>
    <t>Effectiveness</t>
  </si>
  <si>
    <t>Frequency</t>
  </si>
  <si>
    <t>Support / Imp</t>
  </si>
  <si>
    <t>Efficency</t>
  </si>
  <si>
    <t>Sub Optimal</t>
  </si>
  <si>
    <t>Opportunity To Improve</t>
  </si>
  <si>
    <t>Optimal</t>
  </si>
  <si>
    <t>Creative</t>
  </si>
  <si>
    <t>Media Practice - Frequency - SM' - Stands for 'Frequency Media Best Practices Summary'</t>
  </si>
  <si>
    <t>Avg.price</t>
  </si>
  <si>
    <t>FY 2020</t>
  </si>
  <si>
    <t>YTD 2021</t>
  </si>
  <si>
    <t>Sub_Optimal</t>
  </si>
  <si>
    <t>Opportunity_to_Improve</t>
  </si>
  <si>
    <t>Upper bound</t>
  </si>
  <si>
    <t>Lower bound</t>
  </si>
  <si>
    <t>Grand Total</t>
  </si>
  <si>
    <t>2019</t>
  </si>
  <si>
    <t>2020</t>
  </si>
  <si>
    <t>2021</t>
  </si>
  <si>
    <t>Sum of Sub_Optimal</t>
  </si>
  <si>
    <t>Sum of Opportunity_to_Improve</t>
  </si>
  <si>
    <t>Sum of Optimal</t>
  </si>
  <si>
    <t>Column Labels</t>
  </si>
  <si>
    <t>Values</t>
  </si>
  <si>
    <t>Sum of Spend</t>
  </si>
  <si>
    <t>Transformed total</t>
  </si>
  <si>
    <t>Regression Cofficients</t>
  </si>
  <si>
    <t>Last Iteration</t>
  </si>
  <si>
    <t>Impressions</t>
  </si>
  <si>
    <t>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</si>
</sst>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E+00"/>
    <numFmt numFmtId="165" formatCode="_(* #,##0_);_(* \(#,##0\);_(* &quot;-&quot;??_);_(@_)"/>
    <numFmt numFmtId="166" formatCode="0.0%"/>
    <numFmt numFmtId="167" formatCode="0.000%"/>
    <numFmt numFmtId="168" formatCode="0.0"/>
    <numFmt numFmtId="169" formatCode="_(* #,##0.000_);_(* \(#,##0.000\);_(* &quot;-&quot;??_);_(@_)"/>
    <numFmt numFmtId="170" formatCode="_(* #,##0.0000000000_);_(* \(#,##0.0000000000\);_(* &quot;-&quot;??_);_(@_)"/>
    <numFmt numFmtId="171" formatCode="0.0000"/>
    <numFmt numFmtId="172" formatCode="0.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2" applyNumberFormat="1" applyFont="1"/>
    <xf numFmtId="166" fontId="2" fillId="0" borderId="0" xfId="2" applyNumberFormat="1" applyFont="1"/>
    <xf numFmtId="0" fontId="3" fillId="5" borderId="1" xfId="0" applyFont="1" applyFill="1" applyBorder="1"/>
    <xf numFmtId="0" fontId="3" fillId="3" borderId="0" xfId="0" applyFont="1" applyFill="1"/>
    <xf numFmtId="0" fontId="2" fillId="3" borderId="0" xfId="0" applyFont="1" applyFill="1"/>
    <xf numFmtId="2" fontId="2" fillId="0" borderId="6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8" xfId="0" applyNumberFormat="1" applyFont="1" applyBorder="1" applyAlignment="1">
      <alignment horizontal="center"/>
    </xf>
    <xf numFmtId="11" fontId="2" fillId="0" borderId="0" xfId="0" applyNumberFormat="1" applyFont="1"/>
    <xf numFmtId="0" fontId="4" fillId="0" borderId="12" xfId="0" applyFont="1" applyBorder="1" applyAlignment="1">
      <alignment horizontal="centerContinuous"/>
    </xf>
    <xf numFmtId="9" fontId="2" fillId="0" borderId="0" xfId="2" applyFont="1" applyFill="1" applyBorder="1" applyAlignment="1"/>
    <xf numFmtId="0" fontId="2" fillId="0" borderId="13" xfId="0" applyFont="1" applyBorder="1"/>
    <xf numFmtId="0" fontId="4" fillId="0" borderId="12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2" applyNumberFormat="1" applyFont="1"/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65" fontId="2" fillId="0" borderId="0" xfId="1" applyNumberFormat="1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2" fontId="2" fillId="0" borderId="0" xfId="1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3" borderId="0" xfId="0" quotePrefix="1" applyFont="1" applyFill="1"/>
    <xf numFmtId="0" fontId="2" fillId="0" borderId="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165" fontId="2" fillId="0" borderId="17" xfId="1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8" xfId="1" applyNumberFormat="1" applyFont="1" applyBorder="1" applyAlignment="1">
      <alignment horizontal="center"/>
    </xf>
    <xf numFmtId="165" fontId="2" fillId="0" borderId="19" xfId="1" applyNumberFormat="1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165" fontId="2" fillId="0" borderId="21" xfId="1" applyNumberFormat="1" applyFont="1" applyBorder="1" applyAlignment="1">
      <alignment horizontal="center"/>
    </xf>
    <xf numFmtId="165" fontId="2" fillId="0" borderId="23" xfId="1" applyNumberFormat="1" applyFont="1" applyBorder="1" applyAlignment="1">
      <alignment horizontal="center"/>
    </xf>
    <xf numFmtId="165" fontId="2" fillId="0" borderId="24" xfId="1" applyNumberFormat="1" applyFont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3" fontId="6" fillId="0" borderId="7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6" fillId="0" borderId="8" xfId="0" applyNumberFormat="1" applyFont="1" applyFill="1" applyBorder="1" applyAlignment="1">
      <alignment horizontal="center"/>
    </xf>
    <xf numFmtId="3" fontId="6" fillId="0" borderId="16" xfId="0" applyNumberFormat="1" applyFont="1" applyFill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3" fontId="6" fillId="0" borderId="15" xfId="0" applyNumberFormat="1" applyFon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6" xfId="0" applyFont="1" applyFill="1" applyBorder="1"/>
    <xf numFmtId="2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5" fontId="2" fillId="0" borderId="13" xfId="1" applyNumberFormat="1" applyFont="1" applyBorder="1" applyAlignment="1">
      <alignment horizontal="center"/>
    </xf>
    <xf numFmtId="165" fontId="2" fillId="0" borderId="15" xfId="1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3" fontId="6" fillId="0" borderId="9" xfId="0" applyNumberFormat="1" applyFont="1" applyFill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6" fillId="0" borderId="6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6" fillId="0" borderId="8" xfId="0" applyNumberFormat="1" applyFont="1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6" fillId="0" borderId="15" xfId="0" applyNumberFormat="1" applyFont="1" applyBorder="1" applyAlignment="1">
      <alignment horizontal="center"/>
    </xf>
    <xf numFmtId="3" fontId="6" fillId="0" borderId="9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2" fontId="2" fillId="0" borderId="0" xfId="2" applyNumberFormat="1" applyFont="1"/>
    <xf numFmtId="3" fontId="2" fillId="0" borderId="7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2" fillId="0" borderId="0" xfId="0" applyFont="1" applyBorder="1"/>
    <xf numFmtId="14" fontId="0" fillId="0" borderId="9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Continuous"/>
    </xf>
    <xf numFmtId="0" fontId="3" fillId="5" borderId="4" xfId="0" applyFont="1" applyFill="1" applyBorder="1"/>
    <xf numFmtId="2" fontId="2" fillId="0" borderId="9" xfId="0" applyNumberFormat="1" applyFont="1" applyBorder="1" applyAlignment="1">
      <alignment horizontal="center"/>
    </xf>
    <xf numFmtId="170" fontId="2" fillId="0" borderId="0" xfId="0" applyNumberFormat="1" applyFont="1"/>
    <xf numFmtId="37" fontId="9" fillId="0" borderId="2" xfId="1" applyNumberFormat="1" applyFont="1" applyBorder="1" applyAlignment="1">
      <alignment horizontal="center"/>
    </xf>
    <xf numFmtId="37" fontId="9" fillId="0" borderId="3" xfId="1" applyNumberFormat="1" applyFont="1" applyBorder="1" applyAlignment="1">
      <alignment horizontal="center"/>
    </xf>
    <xf numFmtId="37" fontId="9" fillId="0" borderId="4" xfId="1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71" fontId="2" fillId="0" borderId="19" xfId="0" applyNumberFormat="1" applyFont="1" applyBorder="1" applyAlignment="1">
      <alignment horizontal="center"/>
    </xf>
    <xf numFmtId="171" fontId="2" fillId="0" borderId="17" xfId="0" applyNumberFormat="1" applyFont="1" applyBorder="1" applyAlignment="1">
      <alignment horizontal="center"/>
    </xf>
    <xf numFmtId="171" fontId="2" fillId="0" borderId="24" xfId="0" applyNumberFormat="1" applyFont="1" applyBorder="1" applyAlignment="1">
      <alignment horizontal="center"/>
    </xf>
    <xf numFmtId="2" fontId="2" fillId="0" borderId="19" xfId="2" applyNumberFormat="1" applyFont="1" applyBorder="1" applyAlignment="1">
      <alignment horizontal="center"/>
    </xf>
    <xf numFmtId="2" fontId="2" fillId="0" borderId="17" xfId="2" applyNumberFormat="1" applyFont="1" applyBorder="1" applyAlignment="1">
      <alignment horizontal="center"/>
    </xf>
    <xf numFmtId="2" fontId="2" fillId="0" borderId="24" xfId="2" applyNumberFormat="1" applyFont="1" applyBorder="1" applyAlignment="1">
      <alignment horizontal="center"/>
    </xf>
    <xf numFmtId="168" fontId="2" fillId="0" borderId="0" xfId="0" applyNumberFormat="1" applyFont="1"/>
    <xf numFmtId="0" fontId="0" fillId="0" borderId="0" xfId="0" applyBorder="1"/>
    <xf numFmtId="2" fontId="0" fillId="0" borderId="0" xfId="0" applyNumberFormat="1"/>
    <xf numFmtId="43" fontId="2" fillId="0" borderId="19" xfId="1" applyNumberFormat="1" applyFont="1" applyBorder="1" applyAlignment="1">
      <alignment horizontal="center"/>
    </xf>
    <xf numFmtId="169" fontId="2" fillId="0" borderId="19" xfId="1" applyNumberFormat="1" applyFont="1" applyBorder="1" applyAlignment="1">
      <alignment horizontal="center"/>
    </xf>
    <xf numFmtId="169" fontId="2" fillId="0" borderId="17" xfId="1" applyNumberFormat="1" applyFont="1" applyBorder="1" applyAlignment="1">
      <alignment horizontal="center"/>
    </xf>
    <xf numFmtId="169" fontId="2" fillId="0" borderId="24" xfId="1" applyNumberFormat="1" applyFont="1" applyBorder="1" applyAlignment="1">
      <alignment horizontal="center"/>
    </xf>
    <xf numFmtId="43" fontId="2" fillId="0" borderId="20" xfId="1" applyNumberFormat="1" applyFont="1" applyBorder="1" applyAlignment="1">
      <alignment horizontal="center"/>
    </xf>
    <xf numFmtId="43" fontId="2" fillId="0" borderId="17" xfId="1" applyNumberFormat="1" applyFont="1" applyBorder="1" applyAlignment="1">
      <alignment horizontal="center"/>
    </xf>
    <xf numFmtId="43" fontId="2" fillId="0" borderId="22" xfId="1" applyNumberFormat="1" applyFont="1" applyBorder="1" applyAlignment="1">
      <alignment horizontal="center"/>
    </xf>
    <xf numFmtId="43" fontId="2" fillId="0" borderId="24" xfId="1" applyNumberFormat="1" applyFont="1" applyBorder="1" applyAlignment="1">
      <alignment horizontal="center"/>
    </xf>
    <xf numFmtId="43" fontId="2" fillId="0" borderId="25" xfId="1" applyNumberFormat="1" applyFont="1" applyBorder="1" applyAlignment="1">
      <alignment horizontal="center"/>
    </xf>
    <xf numFmtId="169" fontId="2" fillId="0" borderId="20" xfId="1" applyNumberFormat="1" applyFont="1" applyBorder="1" applyAlignment="1">
      <alignment horizontal="center"/>
    </xf>
    <xf numFmtId="169" fontId="2" fillId="0" borderId="22" xfId="1" applyNumberFormat="1" applyFont="1" applyBorder="1" applyAlignment="1">
      <alignment horizontal="center"/>
    </xf>
    <xf numFmtId="169" fontId="2" fillId="0" borderId="25" xfId="1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172" fontId="0" fillId="0" borderId="16" xfId="2" applyNumberFormat="1" applyFont="1" applyFill="1" applyBorder="1" applyAlignment="1">
      <alignment horizontal="center"/>
    </xf>
    <xf numFmtId="172" fontId="0" fillId="0" borderId="13" xfId="2" applyNumberFormat="1" applyFont="1" applyFill="1" applyBorder="1" applyAlignment="1">
      <alignment horizontal="center"/>
    </xf>
    <xf numFmtId="172" fontId="0" fillId="0" borderId="15" xfId="2" applyNumberFormat="1" applyFont="1" applyFill="1" applyBorder="1" applyAlignment="1">
      <alignment horizontal="center"/>
    </xf>
    <xf numFmtId="43" fontId="0" fillId="0" borderId="0" xfId="0" applyNumberFormat="1"/>
    <xf numFmtId="165" fontId="2" fillId="0" borderId="0" xfId="0" applyNumberFormat="1" applyFont="1"/>
    <xf numFmtId="9" fontId="2" fillId="0" borderId="0" xfId="0" applyNumberFormat="1" applyFont="1"/>
    <xf numFmtId="172" fontId="0" fillId="0" borderId="0" xfId="2" applyNumberFormat="1" applyFont="1" applyFill="1" applyBorder="1" applyAlignment="1">
      <alignment horizontal="center"/>
    </xf>
    <xf numFmtId="1" fontId="2" fillId="0" borderId="0" xfId="0" applyNumberFormat="1" applyFont="1"/>
    <xf numFmtId="0" fontId="5" fillId="0" borderId="0" xfId="0" applyFont="1" applyFill="1" applyBorder="1" applyAlignment="1">
      <alignment horizontal="center" vertical="center"/>
    </xf>
    <xf numFmtId="0" fontId="7" fillId="6" borderId="26" xfId="0" applyFont="1" applyFill="1" applyBorder="1"/>
    <xf numFmtId="3" fontId="0" fillId="0" borderId="0" xfId="0" applyNumberFormat="1" applyAlignment="1">
      <alignment horizontal="center"/>
    </xf>
    <xf numFmtId="0" fontId="7" fillId="6" borderId="2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6" borderId="27" xfId="0" applyFont="1" applyFill="1" applyBorder="1"/>
    <xf numFmtId="3" fontId="7" fillId="6" borderId="27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chattwani" refreshedDate="44637.519864699076" createdVersion="7" refreshedVersion="7" minRefreshableVersion="3" recordCount="35" xr:uid="{FE19BAC2-B025-437D-B2BE-945F1981B4A7}">
  <cacheSource type="worksheet">
    <worksheetSource ref="A6:E41" sheet="Media Practice - duration"/>
  </cacheSource>
  <cacheFields count="7">
    <cacheField name="Month" numFmtId="14">
      <sharedItems containsSemiMixedTypes="0" containsNonDate="0" containsDate="1" containsString="0" minDate="2019-01-01T00:00:00" maxDate="2021-11-02T00:00:00" count="35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</sharedItems>
      <fieldGroup par="6" base="0">
        <rangePr groupBy="months" startDate="2019-01-01T00:00:00" endDate="2021-11-02T00:00:00"/>
        <groupItems count="14">
          <s v="&lt;01/01/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2/21"/>
        </groupItems>
      </fieldGroup>
    </cacheField>
    <cacheField name="DP_Incremental Volume_FB" numFmtId="1">
      <sharedItems containsSemiMixedTypes="0" containsString="0" containsNumber="1" minValue="0.95049781282134971" maxValue="66.009472888193599"/>
    </cacheField>
    <cacheField name="Sub_Optimal" numFmtId="3">
      <sharedItems containsString="0" containsBlank="1" containsNumber="1" containsInteger="1" minValue="960901" maxValue="811134800"/>
    </cacheField>
    <cacheField name="Opportunity_to_Improve" numFmtId="3">
      <sharedItems containsString="0" containsBlank="1" containsNumber="1" containsInteger="1" minValue="2803445" maxValue="102147771"/>
    </cacheField>
    <cacheField name="Optimal" numFmtId="3">
      <sharedItems containsString="0" containsBlank="1" containsNumber="1" containsInteger="1" minValue="380726" maxValue="147394573"/>
    </cacheField>
    <cacheField name="Quarters" numFmtId="0" databaseField="0">
      <fieldGroup base="0">
        <rangePr groupBy="quarters" startDate="2019-01-01T00:00:00" endDate="2021-11-02T00:00:00"/>
        <groupItems count="6">
          <s v="&lt;01/01/19"/>
          <s v="Qtr1"/>
          <s v="Qtr2"/>
          <s v="Qtr3"/>
          <s v="Qtr4"/>
          <s v="&gt;11/02/21"/>
        </groupItems>
      </fieldGroup>
    </cacheField>
    <cacheField name="Years" numFmtId="0" databaseField="0">
      <fieldGroup base="0">
        <rangePr groupBy="years" startDate="2019-01-01T00:00:00" endDate="2021-11-02T00:00:00"/>
        <groupItems count="5">
          <s v="&lt;01/01/19"/>
          <s v="2019"/>
          <s v="2020"/>
          <s v="2021"/>
          <s v="&gt;11/02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4.775036153234721"/>
    <n v="79695052"/>
    <m/>
    <m/>
  </r>
  <r>
    <x v="1"/>
    <n v="5.6904189844922097"/>
    <n v="63373901"/>
    <m/>
    <m/>
  </r>
  <r>
    <x v="2"/>
    <n v="4.3753471461961411"/>
    <n v="35052542"/>
    <m/>
    <m/>
  </r>
  <r>
    <x v="3"/>
    <n v="5.8605233649921535"/>
    <n v="68583674"/>
    <m/>
    <m/>
  </r>
  <r>
    <x v="4"/>
    <n v="9.7192873103946518"/>
    <n v="123160257"/>
    <m/>
    <m/>
  </r>
  <r>
    <x v="5"/>
    <n v="8.5695598566277607"/>
    <n v="78124753"/>
    <m/>
    <m/>
  </r>
  <r>
    <x v="6"/>
    <n v="8.8573328283439885"/>
    <n v="84420558"/>
    <m/>
    <m/>
  </r>
  <r>
    <x v="7"/>
    <n v="11.90474769997215"/>
    <n v="132061242"/>
    <m/>
    <m/>
  </r>
  <r>
    <x v="8"/>
    <n v="19.544471907263304"/>
    <n v="243190358"/>
    <m/>
    <m/>
  </r>
  <r>
    <x v="9"/>
    <n v="43.458418912257358"/>
    <n v="593818240"/>
    <m/>
    <m/>
  </r>
  <r>
    <x v="10"/>
    <n v="66.009472888193599"/>
    <n v="811134800"/>
    <m/>
    <m/>
  </r>
  <r>
    <x v="11"/>
    <n v="47.088691327057937"/>
    <n v="336563058"/>
    <m/>
    <m/>
  </r>
  <r>
    <x v="12"/>
    <n v="35.684058297699714"/>
    <n v="106948757"/>
    <m/>
    <m/>
  </r>
  <r>
    <x v="13"/>
    <n v="26.28716017636102"/>
    <n v="200608196"/>
    <m/>
    <m/>
  </r>
  <r>
    <x v="14"/>
    <n v="20.59349739754866"/>
    <n v="127325088"/>
    <m/>
    <m/>
  </r>
  <r>
    <x v="15"/>
    <n v="12.164577673668887"/>
    <m/>
    <n v="25567986"/>
    <n v="40041799"/>
  </r>
  <r>
    <x v="16"/>
    <n v="16.768212303500988"/>
    <m/>
    <n v="48559044"/>
    <n v="71502543"/>
  </r>
  <r>
    <x v="17"/>
    <n v="13.644862909316034"/>
    <m/>
    <n v="42624743"/>
    <n v="70366477"/>
  </r>
  <r>
    <x v="18"/>
    <n v="16.129939130104098"/>
    <m/>
    <n v="35090845"/>
    <n v="80135576"/>
  </r>
  <r>
    <x v="19"/>
    <n v="13.057238770354726"/>
    <m/>
    <n v="33409577"/>
    <n v="76941880"/>
  </r>
  <r>
    <x v="20"/>
    <n v="20.464045257627195"/>
    <n v="7575989"/>
    <n v="27994211"/>
    <n v="135034861"/>
  </r>
  <r>
    <x v="21"/>
    <n v="23.41559029074422"/>
    <m/>
    <n v="76380316"/>
    <n v="147394573"/>
  </r>
  <r>
    <x v="22"/>
    <n v="19.922000295657764"/>
    <m/>
    <n v="41086997"/>
    <n v="133246441"/>
  </r>
  <r>
    <x v="23"/>
    <n v="16.129762809953988"/>
    <m/>
    <n v="52280071"/>
    <n v="84061821"/>
  </r>
  <r>
    <x v="24"/>
    <n v="15.441988222770719"/>
    <m/>
    <n v="40979322"/>
    <n v="99369124"/>
  </r>
  <r>
    <x v="25"/>
    <n v="17.905146329196334"/>
    <m/>
    <n v="102147771"/>
    <n v="93656045"/>
  </r>
  <r>
    <x v="26"/>
    <n v="16.977811184811891"/>
    <m/>
    <n v="71916294"/>
    <n v="92995361"/>
  </r>
  <r>
    <x v="27"/>
    <n v="12.356414706747103"/>
    <n v="3566496"/>
    <n v="38044295"/>
    <n v="55147072"/>
  </r>
  <r>
    <x v="28"/>
    <n v="7.6294697375061498"/>
    <m/>
    <n v="29710427"/>
    <n v="15976845"/>
  </r>
  <r>
    <x v="29"/>
    <n v="7.3035605763067633"/>
    <n v="960901"/>
    <n v="23502131"/>
    <n v="46569609"/>
  </r>
  <r>
    <x v="30"/>
    <n v="15.028572621620047"/>
    <m/>
    <n v="56905258"/>
    <n v="145096738"/>
  </r>
  <r>
    <x v="31"/>
    <n v="14.033135059105678"/>
    <m/>
    <n v="2803445"/>
    <n v="130376798"/>
  </r>
  <r>
    <x v="32"/>
    <n v="5.9406113301334349"/>
    <m/>
    <n v="6457010"/>
    <n v="380726"/>
  </r>
  <r>
    <x v="33"/>
    <n v="2.376244532053374"/>
    <m/>
    <n v="6802487"/>
    <n v="3109937"/>
  </r>
  <r>
    <x v="34"/>
    <n v="0.95049781282134971"/>
    <m/>
    <n v="3939218"/>
    <n v="52769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F42A2-7EA9-4B77-9247-205461B6D146}" name="PivotTable21" cacheId="12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6:N10" firstHeaderRow="1" firstDataRow="2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dataField="1" numFmtId="3" showAll="0"/>
    <pivotField dataField="1" numFmtId="3" showAll="0"/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3">
    <dataField name="Sum of Sub_Optimal" fld="2" baseField="0" baseItem="0"/>
    <dataField name="Sum of Opportunity_to_Improve" fld="3" baseField="0" baseItem="0"/>
    <dataField name="Sum of Optimal" fld="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1"/>
  <sheetViews>
    <sheetView tabSelected="1" topLeftCell="Z28" zoomScale="70" zoomScaleNormal="70" workbookViewId="0">
      <selection activeCell="AA4" sqref="AA4"/>
    </sheetView>
  </sheetViews>
  <sheetFormatPr defaultColWidth="9.1796875" defaultRowHeight="13" x14ac:dyDescent="0.3"/>
  <cols>
    <col min="1" max="1" width="14" style="1" customWidth="1"/>
    <col min="2" max="2" width="30.54296875" style="1" bestFit="1" customWidth="1"/>
    <col min="3" max="3" width="27.6328125" style="1" bestFit="1" customWidth="1"/>
    <col min="4" max="4" width="40.81640625" style="1" bestFit="1" customWidth="1"/>
    <col min="5" max="5" width="22.1796875" style="1" bestFit="1" customWidth="1"/>
    <col min="6" max="6" width="27.6328125" style="1" bestFit="1" customWidth="1"/>
    <col min="7" max="7" width="40.81640625" style="1" bestFit="1" customWidth="1"/>
    <col min="8" max="8" width="22.1796875" style="1" bestFit="1" customWidth="1"/>
    <col min="9" max="9" width="9.453125" style="1" bestFit="1" customWidth="1"/>
    <col min="10" max="10" width="13.54296875" style="1" bestFit="1" customWidth="1"/>
    <col min="11" max="12" width="9.1796875" style="1"/>
    <col min="13" max="13" width="27.1796875" style="1" customWidth="1"/>
    <col min="14" max="14" width="12" style="1" bestFit="1" customWidth="1"/>
    <col min="15" max="15" width="14.54296875" style="1" bestFit="1" customWidth="1"/>
    <col min="16" max="17" width="12" style="1" bestFit="1" customWidth="1"/>
    <col min="18" max="18" width="13.453125" style="1" bestFit="1" customWidth="1"/>
    <col min="19" max="19" width="12" style="1" bestFit="1" customWidth="1"/>
    <col min="20" max="20" width="12.453125" style="1" bestFit="1" customWidth="1"/>
    <col min="21" max="21" width="12.54296875" style="1" bestFit="1" customWidth="1"/>
    <col min="22" max="22" width="9.1796875" style="1"/>
    <col min="23" max="23" width="18.54296875" style="1" bestFit="1" customWidth="1"/>
    <col min="24" max="24" width="9.1796875" style="1"/>
    <col min="25" max="25" width="20.08984375" style="1" customWidth="1"/>
    <col min="26" max="26" width="30.54296875" style="1" bestFit="1" customWidth="1"/>
    <col min="27" max="27" width="27.1796875" style="1" bestFit="1" customWidth="1"/>
    <col min="28" max="28" width="38.7265625" style="1" bestFit="1" customWidth="1"/>
    <col min="29" max="29" width="21.08984375" style="1" customWidth="1"/>
    <col min="30" max="30" width="21.7265625" style="1" customWidth="1"/>
    <col min="31" max="31" width="27.1796875" style="1" bestFit="1" customWidth="1"/>
    <col min="32" max="32" width="38.7265625" style="1" bestFit="1" customWidth="1"/>
    <col min="33" max="33" width="21.7265625" style="1" bestFit="1" customWidth="1"/>
    <col min="34" max="16384" width="9.1796875" style="1"/>
  </cols>
  <sheetData>
    <row r="1" spans="1:33" ht="15.75" customHeight="1" thickBot="1" x14ac:dyDescent="0.35">
      <c r="B1" s="2" t="s">
        <v>0</v>
      </c>
      <c r="C1" s="152" t="s">
        <v>1</v>
      </c>
      <c r="D1" s="153"/>
      <c r="E1" s="154"/>
      <c r="F1" s="152" t="s">
        <v>2</v>
      </c>
      <c r="G1" s="153"/>
      <c r="H1" s="153"/>
      <c r="M1" s="3" t="s">
        <v>3</v>
      </c>
      <c r="Z1" s="3" t="s">
        <v>4</v>
      </c>
      <c r="AE1" s="3" t="s">
        <v>5</v>
      </c>
    </row>
    <row r="2" spans="1:33" ht="14.5" x14ac:dyDescent="0.35">
      <c r="F2" s="3"/>
      <c r="M2" s="3" t="s">
        <v>6</v>
      </c>
      <c r="Z2" s="1" t="s">
        <v>71</v>
      </c>
      <c r="AA2" s="143">
        <f>N26</f>
        <v>1.0240711274654112E-7</v>
      </c>
      <c r="AB2" s="143">
        <f>N27</f>
        <v>8.0099196529923655E-8</v>
      </c>
      <c r="AC2" s="143">
        <f>N28</f>
        <v>1.1820347137766194E-7</v>
      </c>
    </row>
    <row r="3" spans="1:33" ht="14.5" x14ac:dyDescent="0.35">
      <c r="B3" s="4"/>
      <c r="F3" s="5"/>
      <c r="G3" s="5"/>
      <c r="H3" s="5"/>
      <c r="J3" s="5"/>
      <c r="U3" s="6"/>
      <c r="V3" s="7"/>
      <c r="W3" s="7"/>
      <c r="X3" s="7"/>
      <c r="Z3" s="3" t="s">
        <v>7</v>
      </c>
      <c r="AA3" s="143">
        <v>2.0240711274654101E-9</v>
      </c>
      <c r="AB3" s="143">
        <v>1.0718635519022249E-7</v>
      </c>
      <c r="AC3" s="143">
        <v>2.5565697465751598E-7</v>
      </c>
      <c r="AD3" s="136" t="s">
        <v>58</v>
      </c>
      <c r="AE3" s="106">
        <f>AA4*1</f>
        <v>1.0240711274654112E-7</v>
      </c>
      <c r="AF3" s="106">
        <f t="shared" ref="AF3:AG3" si="0">AB4*1.5</f>
        <v>1.2014879479488549E-7</v>
      </c>
      <c r="AG3" s="106">
        <f t="shared" si="0"/>
        <v>1.773052070664929E-7</v>
      </c>
    </row>
    <row r="4" spans="1:33" ht="15" thickBot="1" x14ac:dyDescent="0.4">
      <c r="B4" s="8"/>
      <c r="C4" s="8" t="s">
        <v>8</v>
      </c>
      <c r="D4" s="8" t="s">
        <v>8</v>
      </c>
      <c r="E4" s="8" t="s">
        <v>8</v>
      </c>
      <c r="F4" s="8" t="s">
        <v>9</v>
      </c>
      <c r="G4" s="8" t="s">
        <v>9</v>
      </c>
      <c r="H4" s="8" t="s">
        <v>9</v>
      </c>
      <c r="U4" s="6"/>
      <c r="V4" s="6"/>
      <c r="W4" s="6"/>
      <c r="X4" s="6"/>
      <c r="Z4" s="1" t="s">
        <v>72</v>
      </c>
      <c r="AA4" s="137">
        <v>1.0240711274654112E-7</v>
      </c>
      <c r="AB4" s="138">
        <v>8.0099196529923655E-8</v>
      </c>
      <c r="AC4" s="139">
        <v>1.1820347137766194E-7</v>
      </c>
      <c r="AD4" s="136" t="s">
        <v>59</v>
      </c>
      <c r="AE4" s="106">
        <f>AA4*0.5</f>
        <v>5.1203556373270562E-8</v>
      </c>
      <c r="AF4" s="106">
        <f t="shared" ref="AF4:AG4" si="1">AB4*0.8</f>
        <v>6.4079357223938927E-8</v>
      </c>
      <c r="AG4" s="106">
        <f t="shared" si="1"/>
        <v>9.4562777102129551E-8</v>
      </c>
    </row>
    <row r="5" spans="1:33" ht="13.5" thickBot="1" x14ac:dyDescent="0.35">
      <c r="F5" s="88">
        <v>0.4</v>
      </c>
      <c r="G5" s="9"/>
      <c r="H5" s="10"/>
    </row>
    <row r="6" spans="1:33" ht="13.5" thickBot="1" x14ac:dyDescent="0.35">
      <c r="A6" s="64" t="s">
        <v>10</v>
      </c>
      <c r="B6" s="11" t="s">
        <v>11</v>
      </c>
      <c r="C6" s="79" t="s">
        <v>56</v>
      </c>
      <c r="D6" s="80" t="s">
        <v>57</v>
      </c>
      <c r="E6" s="79" t="s">
        <v>50</v>
      </c>
      <c r="F6" s="79" t="s">
        <v>56</v>
      </c>
      <c r="G6" s="80" t="s">
        <v>57</v>
      </c>
      <c r="H6" s="79" t="s">
        <v>50</v>
      </c>
      <c r="M6" s="12" t="s">
        <v>15</v>
      </c>
      <c r="N6" s="13"/>
      <c r="O6" s="13"/>
      <c r="P6" s="13"/>
      <c r="Q6" s="13"/>
      <c r="R6" s="13"/>
      <c r="S6" s="13"/>
      <c r="Z6" s="11" t="s">
        <v>11</v>
      </c>
      <c r="AA6" s="104" t="s">
        <v>12</v>
      </c>
      <c r="AB6" s="11" t="s">
        <v>13</v>
      </c>
      <c r="AC6" s="11" t="s">
        <v>14</v>
      </c>
      <c r="AE6" s="11" t="s">
        <v>12</v>
      </c>
      <c r="AF6" s="11" t="s">
        <v>13</v>
      </c>
      <c r="AG6" s="11" t="s">
        <v>14</v>
      </c>
    </row>
    <row r="7" spans="1:33" ht="14.5" x14ac:dyDescent="0.35">
      <c r="A7" s="62">
        <v>43466</v>
      </c>
      <c r="B7" s="65">
        <v>4.775036153234721</v>
      </c>
      <c r="C7" s="56">
        <v>79695052</v>
      </c>
      <c r="D7" s="57"/>
      <c r="E7" s="58"/>
      <c r="F7" s="89">
        <f>(1-$F$5)*C7</f>
        <v>47817031.199999996</v>
      </c>
      <c r="G7" s="81">
        <f t="shared" ref="G7:H7" si="2">(1-$F$5)*D7</f>
        <v>0</v>
      </c>
      <c r="H7" s="82">
        <f t="shared" si="2"/>
        <v>0</v>
      </c>
      <c r="I7" s="5"/>
      <c r="Z7" s="15">
        <f>B7</f>
        <v>4.775036153234721</v>
      </c>
      <c r="AA7" s="105">
        <f>F7*AA$3</f>
        <v>9.6785072253032678E-2</v>
      </c>
      <c r="AB7" s="32">
        <f>G7*AB$3</f>
        <v>0</v>
      </c>
      <c r="AC7" s="14">
        <f t="shared" ref="AC7:AC23" si="3">H7*AC$3</f>
        <v>0</v>
      </c>
      <c r="AE7" s="105">
        <f t="shared" ref="AE7:AE41" si="4">IFERROR(AA7/SUM($AA7:$AC7)*$Z7,"0")</f>
        <v>4.775036153234721</v>
      </c>
      <c r="AF7" s="32">
        <f t="shared" ref="AF7:AF41" si="5">IFERROR(AB7/SUM($AA7:$AC7)*$Z7,"0")</f>
        <v>0</v>
      </c>
      <c r="AG7" s="14">
        <f t="shared" ref="AG7:AG41" si="6">IFERROR(AC7/SUM($AA7:$AC7)*$Z7,"0")</f>
        <v>0</v>
      </c>
    </row>
    <row r="8" spans="1:33" ht="14.5" x14ac:dyDescent="0.35">
      <c r="A8" s="62">
        <v>43497</v>
      </c>
      <c r="B8" s="65">
        <v>5.6904189844922097</v>
      </c>
      <c r="C8" s="56">
        <v>63373901</v>
      </c>
      <c r="D8" s="57"/>
      <c r="E8" s="58"/>
      <c r="F8" s="89">
        <f>(1-$F$5)*C8+($F$5*F7)</f>
        <v>57151153.079999998</v>
      </c>
      <c r="G8" s="81">
        <f t="shared" ref="G8:H23" si="7">(1-$F$5)*D8+($F$5*G7)</f>
        <v>0</v>
      </c>
      <c r="H8" s="82">
        <f t="shared" si="7"/>
        <v>0</v>
      </c>
      <c r="I8" s="5"/>
      <c r="J8" s="19"/>
      <c r="Z8" s="15">
        <f t="shared" ref="Z8:Z41" si="8">B8</f>
        <v>5.6904189844922097</v>
      </c>
      <c r="AA8" s="16">
        <f t="shared" ref="AA8:AA41" si="9">C8*AA$3</f>
        <v>0.12827328324895129</v>
      </c>
      <c r="AB8" s="67">
        <f t="shared" ref="AB8:AC41" si="10">G8*AB$3</f>
        <v>0</v>
      </c>
      <c r="AC8" s="18">
        <f t="shared" si="3"/>
        <v>0</v>
      </c>
      <c r="AE8" s="16">
        <f t="shared" si="4"/>
        <v>5.6904189844922097</v>
      </c>
      <c r="AF8" s="67">
        <f t="shared" si="5"/>
        <v>0</v>
      </c>
      <c r="AG8" s="18">
        <f t="shared" si="6"/>
        <v>0</v>
      </c>
    </row>
    <row r="9" spans="1:33" ht="14.5" x14ac:dyDescent="0.35">
      <c r="A9" s="62">
        <v>43525</v>
      </c>
      <c r="B9" s="65">
        <v>4.3753471461961411</v>
      </c>
      <c r="C9" s="56">
        <v>35052542</v>
      </c>
      <c r="D9" s="57"/>
      <c r="E9" s="58"/>
      <c r="F9" s="83">
        <f t="shared" ref="F9:H34" si="11">(1-$F$5)*C9+($F$5*F8)</f>
        <v>43891986.431999996</v>
      </c>
      <c r="G9" s="81">
        <f t="shared" si="7"/>
        <v>0</v>
      </c>
      <c r="H9" s="82">
        <f t="shared" si="7"/>
        <v>0</v>
      </c>
      <c r="I9" s="5"/>
      <c r="J9" s="19"/>
      <c r="M9" t="s">
        <v>16</v>
      </c>
      <c r="N9"/>
      <c r="O9"/>
      <c r="P9"/>
      <c r="Q9"/>
      <c r="R9"/>
      <c r="S9"/>
      <c r="T9"/>
      <c r="U9"/>
      <c r="Z9" s="15">
        <f t="shared" si="8"/>
        <v>4.3753471461961411</v>
      </c>
      <c r="AA9" s="16">
        <f t="shared" si="9"/>
        <v>7.0948838206468648E-2</v>
      </c>
      <c r="AB9" s="67">
        <f t="shared" si="10"/>
        <v>0</v>
      </c>
      <c r="AC9" s="18">
        <f t="shared" si="3"/>
        <v>0</v>
      </c>
      <c r="AE9" s="16">
        <f t="shared" si="4"/>
        <v>4.3753471461961411</v>
      </c>
      <c r="AF9" s="67">
        <f t="shared" si="5"/>
        <v>0</v>
      </c>
      <c r="AG9" s="18">
        <f t="shared" si="6"/>
        <v>0</v>
      </c>
    </row>
    <row r="10" spans="1:33" ht="15" thickBot="1" x14ac:dyDescent="0.4">
      <c r="A10" s="62">
        <v>43556</v>
      </c>
      <c r="B10" s="65">
        <v>5.8605233649921535</v>
      </c>
      <c r="C10" s="56">
        <v>68583674</v>
      </c>
      <c r="D10" s="57"/>
      <c r="E10" s="58"/>
      <c r="F10" s="83">
        <f t="shared" si="11"/>
        <v>58706998.972800002</v>
      </c>
      <c r="G10" s="81">
        <f t="shared" si="7"/>
        <v>0</v>
      </c>
      <c r="H10" s="82">
        <f t="shared" si="7"/>
        <v>0</v>
      </c>
      <c r="I10" s="5"/>
      <c r="M10"/>
      <c r="N10"/>
      <c r="O10"/>
      <c r="P10"/>
      <c r="Q10"/>
      <c r="R10"/>
      <c r="S10"/>
      <c r="T10"/>
      <c r="U10"/>
      <c r="Z10" s="15">
        <f t="shared" si="8"/>
        <v>5.8605233649921535</v>
      </c>
      <c r="AA10" s="16">
        <f t="shared" si="9"/>
        <v>0.13881823435890014</v>
      </c>
      <c r="AB10" s="67">
        <f t="shared" si="10"/>
        <v>0</v>
      </c>
      <c r="AC10" s="18">
        <f t="shared" si="3"/>
        <v>0</v>
      </c>
      <c r="AE10" s="16">
        <f t="shared" si="4"/>
        <v>5.8605233649921535</v>
      </c>
      <c r="AF10" s="67">
        <f t="shared" si="5"/>
        <v>0</v>
      </c>
      <c r="AG10" s="18">
        <f t="shared" si="6"/>
        <v>0</v>
      </c>
    </row>
    <row r="11" spans="1:33" ht="14.5" x14ac:dyDescent="0.35">
      <c r="A11" s="62">
        <v>43586</v>
      </c>
      <c r="B11" s="65">
        <v>9.7192873103946518</v>
      </c>
      <c r="C11" s="56">
        <v>123160257</v>
      </c>
      <c r="D11" s="57"/>
      <c r="E11" s="58"/>
      <c r="F11" s="83">
        <f t="shared" si="11"/>
        <v>97378953.789120004</v>
      </c>
      <c r="G11" s="81">
        <f t="shared" si="7"/>
        <v>0</v>
      </c>
      <c r="H11" s="82">
        <f t="shared" si="7"/>
        <v>0</v>
      </c>
      <c r="I11" s="5"/>
      <c r="J11" s="19"/>
      <c r="K11" s="19"/>
      <c r="M11" s="103" t="s">
        <v>17</v>
      </c>
      <c r="N11" s="103"/>
      <c r="O11"/>
      <c r="P11"/>
      <c r="Q11"/>
      <c r="R11"/>
      <c r="S11"/>
      <c r="T11"/>
      <c r="U11"/>
      <c r="Z11" s="15">
        <f t="shared" si="8"/>
        <v>9.7192873103946518</v>
      </c>
      <c r="AA11" s="16">
        <f t="shared" si="9"/>
        <v>0.24928512024491967</v>
      </c>
      <c r="AB11" s="67">
        <f t="shared" si="10"/>
        <v>0</v>
      </c>
      <c r="AC11" s="18">
        <f t="shared" si="3"/>
        <v>0</v>
      </c>
      <c r="AE11" s="16">
        <f t="shared" si="4"/>
        <v>9.7192873103946518</v>
      </c>
      <c r="AF11" s="67">
        <f t="shared" si="5"/>
        <v>0</v>
      </c>
      <c r="AG11" s="18">
        <f t="shared" si="6"/>
        <v>0</v>
      </c>
    </row>
    <row r="12" spans="1:33" ht="14.5" x14ac:dyDescent="0.35">
      <c r="A12" s="62">
        <v>43617</v>
      </c>
      <c r="B12" s="65">
        <v>8.5695598566277607</v>
      </c>
      <c r="C12" s="56">
        <v>78124753</v>
      </c>
      <c r="D12" s="57"/>
      <c r="E12" s="58"/>
      <c r="F12" s="83">
        <f t="shared" si="11"/>
        <v>85826433.31564799</v>
      </c>
      <c r="G12" s="81">
        <f t="shared" si="7"/>
        <v>0</v>
      </c>
      <c r="H12" s="82">
        <f t="shared" si="7"/>
        <v>0</v>
      </c>
      <c r="I12" s="5"/>
      <c r="M12" s="100" t="s">
        <v>18</v>
      </c>
      <c r="N12" s="100">
        <v>0.98436450687139498</v>
      </c>
      <c r="O12"/>
      <c r="P12"/>
      <c r="Q12"/>
      <c r="R12"/>
      <c r="S12"/>
      <c r="T12"/>
      <c r="U12"/>
      <c r="Z12" s="15">
        <f t="shared" si="8"/>
        <v>8.5695598566277607</v>
      </c>
      <c r="AA12" s="16">
        <f t="shared" si="9"/>
        <v>0.15813005688766668</v>
      </c>
      <c r="AB12" s="67">
        <f t="shared" si="10"/>
        <v>0</v>
      </c>
      <c r="AC12" s="18">
        <f t="shared" si="3"/>
        <v>0</v>
      </c>
      <c r="AE12" s="16">
        <f t="shared" si="4"/>
        <v>8.5695598566277607</v>
      </c>
      <c r="AF12" s="67">
        <f t="shared" si="5"/>
        <v>0</v>
      </c>
      <c r="AG12" s="18">
        <f t="shared" si="6"/>
        <v>0</v>
      </c>
    </row>
    <row r="13" spans="1:33" ht="14.5" x14ac:dyDescent="0.35">
      <c r="A13" s="62">
        <v>43647</v>
      </c>
      <c r="B13" s="65">
        <v>8.8573328283439885</v>
      </c>
      <c r="C13" s="56">
        <v>84420558</v>
      </c>
      <c r="D13" s="57"/>
      <c r="E13" s="58"/>
      <c r="F13" s="83">
        <f t="shared" si="11"/>
        <v>84982908.126259193</v>
      </c>
      <c r="G13" s="81">
        <f t="shared" si="7"/>
        <v>0</v>
      </c>
      <c r="H13" s="82">
        <f t="shared" si="7"/>
        <v>0</v>
      </c>
      <c r="I13" s="5"/>
      <c r="J13" s="19"/>
      <c r="M13" s="100" t="s">
        <v>19</v>
      </c>
      <c r="N13" s="100">
        <v>0.96897348238816472</v>
      </c>
      <c r="O13"/>
      <c r="P13"/>
      <c r="Q13"/>
      <c r="R13"/>
      <c r="S13"/>
      <c r="T13"/>
      <c r="U13"/>
      <c r="Z13" s="15">
        <f t="shared" si="8"/>
        <v>8.8573328283439885</v>
      </c>
      <c r="AA13" s="16">
        <f t="shared" si="9"/>
        <v>0.17087321401231906</v>
      </c>
      <c r="AB13" s="67">
        <f t="shared" si="10"/>
        <v>0</v>
      </c>
      <c r="AC13" s="18">
        <f t="shared" si="3"/>
        <v>0</v>
      </c>
      <c r="AE13" s="16">
        <f t="shared" si="4"/>
        <v>8.8573328283439885</v>
      </c>
      <c r="AF13" s="67">
        <f t="shared" si="5"/>
        <v>0</v>
      </c>
      <c r="AG13" s="18">
        <f t="shared" si="6"/>
        <v>0</v>
      </c>
    </row>
    <row r="14" spans="1:33" ht="14.5" x14ac:dyDescent="0.35">
      <c r="A14" s="62">
        <v>43678</v>
      </c>
      <c r="B14" s="65">
        <v>11.90474769997215</v>
      </c>
      <c r="C14" s="56">
        <v>132061242</v>
      </c>
      <c r="D14" s="57"/>
      <c r="E14" s="58"/>
      <c r="F14" s="83">
        <f t="shared" si="11"/>
        <v>113229908.45050368</v>
      </c>
      <c r="G14" s="81">
        <f t="shared" si="7"/>
        <v>0</v>
      </c>
      <c r="H14" s="82">
        <f t="shared" si="7"/>
        <v>0</v>
      </c>
      <c r="I14" s="5"/>
      <c r="J14" s="19"/>
      <c r="M14" s="100" t="s">
        <v>20</v>
      </c>
      <c r="N14" s="100">
        <v>0.9659709161676644</v>
      </c>
      <c r="O14"/>
      <c r="P14"/>
      <c r="Q14"/>
      <c r="R14"/>
      <c r="S14"/>
      <c r="T14"/>
      <c r="U14"/>
      <c r="Z14" s="15">
        <f t="shared" si="8"/>
        <v>11.90474769997215</v>
      </c>
      <c r="AA14" s="16">
        <f t="shared" si="9"/>
        <v>0.26730134698942237</v>
      </c>
      <c r="AB14" s="67">
        <f t="shared" si="10"/>
        <v>0</v>
      </c>
      <c r="AC14" s="18">
        <f t="shared" si="3"/>
        <v>0</v>
      </c>
      <c r="AE14" s="16">
        <f t="shared" si="4"/>
        <v>11.90474769997215</v>
      </c>
      <c r="AF14" s="67">
        <f t="shared" si="5"/>
        <v>0</v>
      </c>
      <c r="AG14" s="18">
        <f t="shared" si="6"/>
        <v>0</v>
      </c>
    </row>
    <row r="15" spans="1:33" ht="14.5" x14ac:dyDescent="0.35">
      <c r="A15" s="62">
        <v>43709</v>
      </c>
      <c r="B15" s="65">
        <v>19.544471907263304</v>
      </c>
      <c r="C15" s="56">
        <v>243190358</v>
      </c>
      <c r="D15" s="57"/>
      <c r="E15" s="58"/>
      <c r="F15" s="83">
        <f t="shared" si="11"/>
        <v>191206178.18020147</v>
      </c>
      <c r="G15" s="81">
        <f t="shared" si="7"/>
        <v>0</v>
      </c>
      <c r="H15" s="82">
        <f t="shared" si="7"/>
        <v>0</v>
      </c>
      <c r="I15" s="5"/>
      <c r="J15" s="19"/>
      <c r="M15" s="100" t="s">
        <v>21</v>
      </c>
      <c r="N15" s="100">
        <v>2.483691753714913</v>
      </c>
      <c r="O15"/>
      <c r="P15"/>
      <c r="Q15"/>
      <c r="R15"/>
      <c r="S15"/>
      <c r="T15"/>
      <c r="U15"/>
      <c r="Z15" s="15">
        <f t="shared" si="8"/>
        <v>19.544471907263304</v>
      </c>
      <c r="AA15" s="16">
        <f t="shared" si="9"/>
        <v>0.4922345821057767</v>
      </c>
      <c r="AB15" s="67">
        <f t="shared" si="10"/>
        <v>0</v>
      </c>
      <c r="AC15" s="18">
        <f t="shared" si="3"/>
        <v>0</v>
      </c>
      <c r="AE15" s="16">
        <f t="shared" si="4"/>
        <v>19.544471907263304</v>
      </c>
      <c r="AF15" s="67">
        <f t="shared" si="5"/>
        <v>0</v>
      </c>
      <c r="AG15" s="18">
        <f t="shared" si="6"/>
        <v>0</v>
      </c>
    </row>
    <row r="16" spans="1:33" ht="15" thickBot="1" x14ac:dyDescent="0.4">
      <c r="A16" s="62">
        <v>43739</v>
      </c>
      <c r="B16" s="65">
        <v>43.458418912257358</v>
      </c>
      <c r="C16" s="56">
        <v>593818240</v>
      </c>
      <c r="D16" s="57"/>
      <c r="E16" s="58"/>
      <c r="F16" s="83">
        <f t="shared" si="11"/>
        <v>432773415.2720806</v>
      </c>
      <c r="G16" s="81">
        <f t="shared" si="7"/>
        <v>0</v>
      </c>
      <c r="H16" s="82">
        <f t="shared" si="7"/>
        <v>0</v>
      </c>
      <c r="I16" s="5"/>
      <c r="J16" s="19"/>
      <c r="M16" s="101" t="s">
        <v>22</v>
      </c>
      <c r="N16" s="101">
        <v>35</v>
      </c>
      <c r="O16"/>
      <c r="P16"/>
      <c r="Q16"/>
      <c r="R16"/>
      <c r="S16"/>
      <c r="T16"/>
      <c r="U16"/>
      <c r="Z16" s="15">
        <f t="shared" si="8"/>
        <v>43.458418912257358</v>
      </c>
      <c r="AA16" s="16">
        <f t="shared" si="9"/>
        <v>1.2019303545463256</v>
      </c>
      <c r="AB16" s="67">
        <f t="shared" si="10"/>
        <v>0</v>
      </c>
      <c r="AC16" s="18">
        <f t="shared" si="3"/>
        <v>0</v>
      </c>
      <c r="AE16" s="16">
        <f t="shared" si="4"/>
        <v>43.458418912257358</v>
      </c>
      <c r="AF16" s="67">
        <f t="shared" si="5"/>
        <v>0</v>
      </c>
      <c r="AG16" s="18">
        <f t="shared" si="6"/>
        <v>0</v>
      </c>
    </row>
    <row r="17" spans="1:33" ht="14.5" x14ac:dyDescent="0.35">
      <c r="A17" s="62">
        <v>43770</v>
      </c>
      <c r="B17" s="65">
        <v>66.009472888193599</v>
      </c>
      <c r="C17" s="56">
        <v>811134800</v>
      </c>
      <c r="D17" s="57"/>
      <c r="E17" s="58"/>
      <c r="F17" s="83">
        <f t="shared" si="11"/>
        <v>659790246.10883224</v>
      </c>
      <c r="G17" s="81">
        <f t="shared" si="7"/>
        <v>0</v>
      </c>
      <c r="H17" s="82">
        <f t="shared" si="7"/>
        <v>0</v>
      </c>
      <c r="I17" s="5"/>
      <c r="M17"/>
      <c r="N17"/>
      <c r="O17"/>
      <c r="P17"/>
      <c r="Q17"/>
      <c r="R17"/>
      <c r="S17"/>
      <c r="T17"/>
      <c r="U17"/>
      <c r="Z17" s="15">
        <f t="shared" si="8"/>
        <v>66.009472888193599</v>
      </c>
      <c r="AA17" s="16">
        <f t="shared" si="9"/>
        <v>1.6417945291624298</v>
      </c>
      <c r="AB17" s="67">
        <f t="shared" si="10"/>
        <v>0</v>
      </c>
      <c r="AC17" s="18">
        <f t="shared" si="3"/>
        <v>0</v>
      </c>
      <c r="AE17" s="16">
        <f t="shared" si="4"/>
        <v>66.009472888193599</v>
      </c>
      <c r="AF17" s="67">
        <f t="shared" si="5"/>
        <v>0</v>
      </c>
      <c r="AG17" s="18">
        <f t="shared" si="6"/>
        <v>0</v>
      </c>
    </row>
    <row r="18" spans="1:33" ht="15" thickBot="1" x14ac:dyDescent="0.4">
      <c r="A18" s="63">
        <v>43800</v>
      </c>
      <c r="B18" s="66">
        <v>47.088691327057937</v>
      </c>
      <c r="C18" s="59">
        <v>336563058</v>
      </c>
      <c r="D18" s="60"/>
      <c r="E18" s="61"/>
      <c r="F18" s="84">
        <f t="shared" si="11"/>
        <v>465853933.2435329</v>
      </c>
      <c r="G18" s="60">
        <f t="shared" si="7"/>
        <v>0</v>
      </c>
      <c r="H18" s="85">
        <f t="shared" si="7"/>
        <v>0</v>
      </c>
      <c r="I18" s="5"/>
      <c r="M18" t="s">
        <v>23</v>
      </c>
      <c r="N18"/>
      <c r="O18"/>
      <c r="P18"/>
      <c r="Q18"/>
      <c r="R18"/>
      <c r="S18"/>
      <c r="T18"/>
      <c r="U18"/>
      <c r="Z18" s="15">
        <f t="shared" si="8"/>
        <v>47.088691327057937</v>
      </c>
      <c r="AA18" s="16">
        <f t="shared" si="9"/>
        <v>0.68122756826926623</v>
      </c>
      <c r="AB18" s="67">
        <f t="shared" si="10"/>
        <v>0</v>
      </c>
      <c r="AC18" s="18">
        <f t="shared" si="3"/>
        <v>0</v>
      </c>
      <c r="AE18" s="16">
        <f t="shared" si="4"/>
        <v>47.088691327057937</v>
      </c>
      <c r="AF18" s="67">
        <f t="shared" si="5"/>
        <v>0</v>
      </c>
      <c r="AG18" s="18">
        <f t="shared" si="6"/>
        <v>0</v>
      </c>
    </row>
    <row r="19" spans="1:33" ht="14.5" x14ac:dyDescent="0.35">
      <c r="A19" s="74">
        <v>43831</v>
      </c>
      <c r="B19" s="75">
        <v>35.684058297699714</v>
      </c>
      <c r="C19" s="76">
        <v>106948757</v>
      </c>
      <c r="D19" s="77"/>
      <c r="E19" s="78"/>
      <c r="F19" s="86">
        <f t="shared" si="11"/>
        <v>250510827.49741316</v>
      </c>
      <c r="G19" s="77">
        <f t="shared" si="7"/>
        <v>0</v>
      </c>
      <c r="H19" s="87">
        <f t="shared" si="7"/>
        <v>0</v>
      </c>
      <c r="I19" s="5"/>
      <c r="M19" s="102"/>
      <c r="N19" s="102" t="s">
        <v>24</v>
      </c>
      <c r="O19" s="102" t="s">
        <v>25</v>
      </c>
      <c r="P19" s="102" t="s">
        <v>26</v>
      </c>
      <c r="Q19" s="102" t="s">
        <v>27</v>
      </c>
      <c r="R19" s="102" t="s">
        <v>28</v>
      </c>
      <c r="S19"/>
      <c r="T19"/>
      <c r="U19"/>
      <c r="Z19" s="15">
        <f t="shared" si="8"/>
        <v>35.684058297699714</v>
      </c>
      <c r="AA19" s="16">
        <f t="shared" si="9"/>
        <v>0.21647189116201418</v>
      </c>
      <c r="AB19" s="67">
        <f t="shared" si="10"/>
        <v>0</v>
      </c>
      <c r="AC19" s="18">
        <f t="shared" si="3"/>
        <v>0</v>
      </c>
      <c r="AE19" s="16">
        <f t="shared" si="4"/>
        <v>35.684058297699714</v>
      </c>
      <c r="AF19" s="67">
        <f t="shared" si="5"/>
        <v>0</v>
      </c>
      <c r="AG19" s="18">
        <f t="shared" si="6"/>
        <v>0</v>
      </c>
    </row>
    <row r="20" spans="1:33" ht="14.5" x14ac:dyDescent="0.35">
      <c r="A20" s="62">
        <v>43862</v>
      </c>
      <c r="B20" s="65">
        <v>26.28716017636102</v>
      </c>
      <c r="C20" s="56">
        <v>200608196</v>
      </c>
      <c r="D20" s="57"/>
      <c r="E20" s="58"/>
      <c r="F20" s="83">
        <f t="shared" si="11"/>
        <v>220569248.59896526</v>
      </c>
      <c r="G20" s="81">
        <f t="shared" si="7"/>
        <v>0</v>
      </c>
      <c r="H20" s="82">
        <f t="shared" si="7"/>
        <v>0</v>
      </c>
      <c r="I20" s="5"/>
      <c r="M20" s="100" t="s">
        <v>29</v>
      </c>
      <c r="N20" s="100">
        <v>3</v>
      </c>
      <c r="O20" s="100">
        <v>5972.2220015613029</v>
      </c>
      <c r="P20" s="100">
        <v>1990.7406671871011</v>
      </c>
      <c r="Q20" s="100">
        <v>322.71510808735655</v>
      </c>
      <c r="R20" s="100">
        <v>1.8764897589992604E-23</v>
      </c>
      <c r="S20"/>
      <c r="T20"/>
      <c r="U20"/>
      <c r="Z20" s="15">
        <f t="shared" si="8"/>
        <v>26.28716017636102</v>
      </c>
      <c r="AA20" s="16">
        <f t="shared" si="9"/>
        <v>0.40604525745652198</v>
      </c>
      <c r="AB20" s="67">
        <f t="shared" si="10"/>
        <v>0</v>
      </c>
      <c r="AC20" s="18">
        <f t="shared" si="3"/>
        <v>0</v>
      </c>
      <c r="AE20" s="16">
        <f t="shared" si="4"/>
        <v>26.28716017636102</v>
      </c>
      <c r="AF20" s="67">
        <f t="shared" si="5"/>
        <v>0</v>
      </c>
      <c r="AG20" s="18">
        <f t="shared" si="6"/>
        <v>0</v>
      </c>
    </row>
    <row r="21" spans="1:33" ht="14.5" x14ac:dyDescent="0.35">
      <c r="A21" s="62">
        <v>43891</v>
      </c>
      <c r="B21" s="65">
        <v>20.59349739754866</v>
      </c>
      <c r="C21" s="56">
        <v>127325088</v>
      </c>
      <c r="D21" s="57"/>
      <c r="E21" s="58"/>
      <c r="F21" s="83">
        <f t="shared" si="11"/>
        <v>164622752.23958611</v>
      </c>
      <c r="G21" s="81">
        <f t="shared" si="7"/>
        <v>0</v>
      </c>
      <c r="H21" s="82">
        <f t="shared" si="7"/>
        <v>0</v>
      </c>
      <c r="I21" s="5"/>
      <c r="M21" s="100" t="s">
        <v>30</v>
      </c>
      <c r="N21" s="100">
        <v>31</v>
      </c>
      <c r="O21" s="100">
        <v>191.23046655161522</v>
      </c>
      <c r="P21" s="100">
        <v>6.1687247274714592</v>
      </c>
      <c r="Q21" s="100"/>
      <c r="R21" s="100"/>
      <c r="S21"/>
      <c r="T21"/>
      <c r="U21"/>
      <c r="Z21" s="15">
        <f t="shared" si="8"/>
        <v>20.59349739754866</v>
      </c>
      <c r="AA21" s="16">
        <f t="shared" si="9"/>
        <v>0.25771503442279259</v>
      </c>
      <c r="AB21" s="67">
        <f t="shared" si="10"/>
        <v>0</v>
      </c>
      <c r="AC21" s="18">
        <f t="shared" si="3"/>
        <v>0</v>
      </c>
      <c r="AE21" s="16">
        <f t="shared" si="4"/>
        <v>20.59349739754866</v>
      </c>
      <c r="AF21" s="67">
        <f t="shared" si="5"/>
        <v>0</v>
      </c>
      <c r="AG21" s="18">
        <f t="shared" si="6"/>
        <v>0</v>
      </c>
    </row>
    <row r="22" spans="1:33" ht="15" thickBot="1" x14ac:dyDescent="0.4">
      <c r="A22" s="62">
        <v>43922</v>
      </c>
      <c r="B22" s="65">
        <v>12.164577673668887</v>
      </c>
      <c r="C22" s="56"/>
      <c r="D22" s="57">
        <v>25567986</v>
      </c>
      <c r="E22" s="58">
        <v>40041799</v>
      </c>
      <c r="F22" s="83">
        <f t="shared" si="11"/>
        <v>65849100.895834446</v>
      </c>
      <c r="G22" s="81">
        <f t="shared" si="7"/>
        <v>15340791.6</v>
      </c>
      <c r="H22" s="82">
        <f t="shared" si="7"/>
        <v>24025079.399999999</v>
      </c>
      <c r="I22" s="5"/>
      <c r="M22" s="101" t="s">
        <v>31</v>
      </c>
      <c r="N22" s="101">
        <v>34</v>
      </c>
      <c r="O22" s="101">
        <v>6163.4524681129178</v>
      </c>
      <c r="P22" s="101"/>
      <c r="Q22" s="101"/>
      <c r="R22" s="101"/>
      <c r="S22"/>
      <c r="T22"/>
      <c r="U22"/>
      <c r="Z22" s="15">
        <f t="shared" si="8"/>
        <v>12.164577673668887</v>
      </c>
      <c r="AA22" s="16">
        <f t="shared" si="9"/>
        <v>0</v>
      </c>
      <c r="AB22" s="67">
        <f t="shared" si="10"/>
        <v>1.6443235373367815</v>
      </c>
      <c r="AC22" s="18">
        <f t="shared" si="3"/>
        <v>6.1421791153106087</v>
      </c>
      <c r="AE22" s="16">
        <f t="shared" si="4"/>
        <v>0</v>
      </c>
      <c r="AF22" s="67">
        <f t="shared" si="5"/>
        <v>2.5688685001313734</v>
      </c>
      <c r="AG22" s="18">
        <f t="shared" si="6"/>
        <v>9.5957091735375144</v>
      </c>
    </row>
    <row r="23" spans="1:33" ht="15" thickBot="1" x14ac:dyDescent="0.4">
      <c r="A23" s="62">
        <v>43952</v>
      </c>
      <c r="B23" s="65">
        <v>16.768212303500988</v>
      </c>
      <c r="C23" s="56"/>
      <c r="D23" s="57">
        <v>48559044</v>
      </c>
      <c r="E23" s="58">
        <v>71502543</v>
      </c>
      <c r="F23" s="83">
        <f t="shared" si="11"/>
        <v>26339640.358333781</v>
      </c>
      <c r="G23" s="81">
        <f t="shared" si="7"/>
        <v>35271743.039999999</v>
      </c>
      <c r="H23" s="82">
        <f t="shared" si="7"/>
        <v>52511557.559999995</v>
      </c>
      <c r="I23" s="5"/>
      <c r="M23"/>
      <c r="N23"/>
      <c r="O23"/>
      <c r="P23"/>
      <c r="Q23"/>
      <c r="R23"/>
      <c r="S23"/>
      <c r="T23"/>
      <c r="U23"/>
      <c r="Z23" s="15">
        <f t="shared" si="8"/>
        <v>16.768212303500988</v>
      </c>
      <c r="AA23" s="16">
        <f t="shared" si="9"/>
        <v>0</v>
      </c>
      <c r="AB23" s="67">
        <f t="shared" si="10"/>
        <v>3.7806495776636977</v>
      </c>
      <c r="AC23" s="18">
        <f t="shared" si="3"/>
        <v>13.42494594034361</v>
      </c>
      <c r="AE23" s="16">
        <f t="shared" si="4"/>
        <v>0</v>
      </c>
      <c r="AF23" s="67">
        <f t="shared" si="5"/>
        <v>3.6845417351034175</v>
      </c>
      <c r="AG23" s="18">
        <f t="shared" si="6"/>
        <v>13.08367056839757</v>
      </c>
    </row>
    <row r="24" spans="1:33" ht="14.5" x14ac:dyDescent="0.35">
      <c r="A24" s="62">
        <v>43983</v>
      </c>
      <c r="B24" s="65">
        <v>13.644862909316034</v>
      </c>
      <c r="C24" s="56"/>
      <c r="D24" s="57">
        <v>42624743</v>
      </c>
      <c r="E24" s="58">
        <v>70366477</v>
      </c>
      <c r="F24" s="83">
        <f t="shared" si="11"/>
        <v>10535856.143333513</v>
      </c>
      <c r="G24" s="81">
        <f t="shared" si="11"/>
        <v>39683543.016000003</v>
      </c>
      <c r="H24" s="82">
        <f t="shared" si="11"/>
        <v>63224509.223999992</v>
      </c>
      <c r="I24" s="5"/>
      <c r="M24" s="102"/>
      <c r="N24" s="102" t="s">
        <v>32</v>
      </c>
      <c r="O24" s="102" t="s">
        <v>21</v>
      </c>
      <c r="P24" s="102" t="s">
        <v>33</v>
      </c>
      <c r="Q24" s="102" t="s">
        <v>34</v>
      </c>
      <c r="R24" s="102" t="s">
        <v>35</v>
      </c>
      <c r="S24" s="102" t="s">
        <v>36</v>
      </c>
      <c r="T24" s="102" t="s">
        <v>37</v>
      </c>
      <c r="U24" s="102" t="s">
        <v>38</v>
      </c>
      <c r="Z24" s="15">
        <f t="shared" si="8"/>
        <v>13.644862909316034</v>
      </c>
      <c r="AA24" s="16">
        <f t="shared" si="9"/>
        <v>0</v>
      </c>
      <c r="AB24" s="67">
        <f t="shared" si="10"/>
        <v>4.2535343369194489</v>
      </c>
      <c r="AC24" s="18">
        <f t="shared" si="10"/>
        <v>16.163786752414051</v>
      </c>
      <c r="AE24" s="16">
        <f t="shared" si="4"/>
        <v>0</v>
      </c>
      <c r="AF24" s="67">
        <f t="shared" si="5"/>
        <v>2.8426301694229257</v>
      </c>
      <c r="AG24" s="18">
        <f t="shared" si="6"/>
        <v>10.802232739893109</v>
      </c>
    </row>
    <row r="25" spans="1:33" ht="14.5" x14ac:dyDescent="0.35">
      <c r="A25" s="62">
        <v>44013</v>
      </c>
      <c r="B25" s="65">
        <v>16.129939130104098</v>
      </c>
      <c r="C25" s="56"/>
      <c r="D25" s="57">
        <v>35090845</v>
      </c>
      <c r="E25" s="58">
        <v>80135576</v>
      </c>
      <c r="F25" s="83">
        <f t="shared" si="11"/>
        <v>4214342.4573334055</v>
      </c>
      <c r="G25" s="81">
        <f t="shared" si="11"/>
        <v>36927924.2064</v>
      </c>
      <c r="H25" s="82">
        <f t="shared" si="11"/>
        <v>73371149.2896</v>
      </c>
      <c r="I25" s="5"/>
      <c r="M25" s="100" t="s">
        <v>39</v>
      </c>
      <c r="N25" s="100">
        <v>0.81112266022632529</v>
      </c>
      <c r="O25" s="100">
        <v>0.79868571652460729</v>
      </c>
      <c r="P25" s="100">
        <v>1.0155717617636084</v>
      </c>
      <c r="Q25" s="100">
        <v>0.31769455730552165</v>
      </c>
      <c r="R25" s="100">
        <v>-0.81780759807036119</v>
      </c>
      <c r="S25" s="100">
        <v>2.440052918523012</v>
      </c>
      <c r="T25" s="100">
        <v>-0.81780759807036119</v>
      </c>
      <c r="U25" s="100">
        <v>2.440052918523012</v>
      </c>
      <c r="Z25" s="15">
        <f t="shared" si="8"/>
        <v>16.129939130104098</v>
      </c>
      <c r="AA25" s="16">
        <f t="shared" si="9"/>
        <v>0</v>
      </c>
      <c r="AB25" s="67">
        <f t="shared" si="10"/>
        <v>3.9581696004248053</v>
      </c>
      <c r="AC25" s="18">
        <f t="shared" si="10"/>
        <v>18.757846054524087</v>
      </c>
      <c r="AE25" s="16">
        <f t="shared" si="4"/>
        <v>0</v>
      </c>
      <c r="AF25" s="67">
        <f t="shared" si="5"/>
        <v>2.8105736362957354</v>
      </c>
      <c r="AG25" s="18">
        <f t="shared" si="6"/>
        <v>13.319365493808363</v>
      </c>
    </row>
    <row r="26" spans="1:33" ht="14.5" x14ac:dyDescent="0.35">
      <c r="A26" s="62">
        <v>44044</v>
      </c>
      <c r="B26" s="65">
        <v>13.057238770354726</v>
      </c>
      <c r="C26" s="56"/>
      <c r="D26" s="57">
        <v>33409577</v>
      </c>
      <c r="E26" s="58">
        <v>76941880</v>
      </c>
      <c r="F26" s="83">
        <f t="shared" si="11"/>
        <v>1685736.9829333622</v>
      </c>
      <c r="G26" s="81">
        <f t="shared" si="11"/>
        <v>34816915.88256</v>
      </c>
      <c r="H26" s="82">
        <f t="shared" si="11"/>
        <v>75513587.715839997</v>
      </c>
      <c r="I26" s="5"/>
      <c r="M26" s="100" t="s">
        <v>56</v>
      </c>
      <c r="N26" s="100">
        <v>1.0240711274654112E-7</v>
      </c>
      <c r="O26" s="100">
        <v>3.3059638728073973E-9</v>
      </c>
      <c r="P26" s="100">
        <v>30.976476660520142</v>
      </c>
      <c r="Q26" s="100">
        <v>6.9073800366697307E-25</v>
      </c>
      <c r="R26" s="100">
        <v>9.5664554974649697E-8</v>
      </c>
      <c r="S26" s="100">
        <v>1.0914967051843255E-7</v>
      </c>
      <c r="T26" s="100">
        <v>9.5664554974649697E-8</v>
      </c>
      <c r="U26" s="100">
        <v>1.0914967051843255E-7</v>
      </c>
      <c r="Z26" s="15">
        <f t="shared" si="8"/>
        <v>13.057238770354726</v>
      </c>
      <c r="AA26" s="16">
        <f t="shared" si="9"/>
        <v>0</v>
      </c>
      <c r="AB26" s="67">
        <f t="shared" si="10"/>
        <v>3.7318983124161749</v>
      </c>
      <c r="AC26" s="18">
        <f t="shared" si="10"/>
        <v>19.305575380966616</v>
      </c>
      <c r="AE26" s="16">
        <f t="shared" si="4"/>
        <v>0</v>
      </c>
      <c r="AF26" s="67">
        <f t="shared" si="5"/>
        <v>2.1151749527943426</v>
      </c>
      <c r="AG26" s="18">
        <f t="shared" si="6"/>
        <v>10.942063817560383</v>
      </c>
    </row>
    <row r="27" spans="1:33" ht="14.5" x14ac:dyDescent="0.35">
      <c r="A27" s="62">
        <v>44075</v>
      </c>
      <c r="B27" s="65">
        <v>20.464045257627195</v>
      </c>
      <c r="C27" s="56">
        <v>7575989</v>
      </c>
      <c r="D27" s="57">
        <v>27994211</v>
      </c>
      <c r="E27" s="58">
        <v>135034861</v>
      </c>
      <c r="F27" s="83">
        <f t="shared" si="11"/>
        <v>5219888.1931733442</v>
      </c>
      <c r="G27" s="81">
        <f t="shared" si="11"/>
        <v>30723292.953024</v>
      </c>
      <c r="H27" s="82">
        <f t="shared" si="11"/>
        <v>111226351.686336</v>
      </c>
      <c r="I27" s="5"/>
      <c r="M27" s="100" t="s">
        <v>57</v>
      </c>
      <c r="N27" s="100">
        <v>8.0099196529923655E-8</v>
      </c>
      <c r="O27" s="100">
        <v>3.4634547174779177E-8</v>
      </c>
      <c r="P27" s="100">
        <v>2.3126965144285694</v>
      </c>
      <c r="Q27" s="100">
        <v>2.7545092389270758E-2</v>
      </c>
      <c r="R27" s="100">
        <v>9.4615718571107876E-9</v>
      </c>
      <c r="S27" s="100">
        <v>1.5073682120273654E-7</v>
      </c>
      <c r="T27" s="100">
        <v>9.4615718571107876E-9</v>
      </c>
      <c r="U27" s="100">
        <v>1.5073682120273654E-7</v>
      </c>
      <c r="Z27" s="15">
        <f t="shared" si="8"/>
        <v>20.464045257627195</v>
      </c>
      <c r="AA27" s="16">
        <f t="shared" si="9"/>
        <v>1.5334340596895545E-2</v>
      </c>
      <c r="AB27" s="67">
        <f t="shared" si="10"/>
        <v>3.29311779107609</v>
      </c>
      <c r="AC27" s="18">
        <f t="shared" si="10"/>
        <v>28.43579257432156</v>
      </c>
      <c r="AE27" s="16">
        <f t="shared" si="4"/>
        <v>9.8853396222554415E-3</v>
      </c>
      <c r="AF27" s="67">
        <f t="shared" si="5"/>
        <v>2.1229206156715534</v>
      </c>
      <c r="AG27" s="18">
        <f t="shared" si="6"/>
        <v>18.331239302333383</v>
      </c>
    </row>
    <row r="28" spans="1:33" ht="15" thickBot="1" x14ac:dyDescent="0.4">
      <c r="A28" s="62">
        <v>44105</v>
      </c>
      <c r="B28" s="65">
        <v>23.41559029074422</v>
      </c>
      <c r="C28" s="56"/>
      <c r="D28" s="57">
        <v>76380316</v>
      </c>
      <c r="E28" s="58">
        <v>147394573</v>
      </c>
      <c r="F28" s="83">
        <f t="shared" si="11"/>
        <v>2087955.2772693378</v>
      </c>
      <c r="G28" s="81">
        <f t="shared" si="11"/>
        <v>58117506.781209603</v>
      </c>
      <c r="H28" s="82">
        <f t="shared" si="11"/>
        <v>132927284.47453439</v>
      </c>
      <c r="I28" s="5"/>
      <c r="M28" s="101" t="s">
        <v>50</v>
      </c>
      <c r="N28" s="101">
        <v>1.1820347137766194E-7</v>
      </c>
      <c r="O28" s="101">
        <v>1.7976464105260176E-8</v>
      </c>
      <c r="P28" s="101">
        <v>6.5754572581976163</v>
      </c>
      <c r="Q28" s="101">
        <v>2.4135975168890977E-7</v>
      </c>
      <c r="R28" s="101">
        <v>8.1540231116321438E-8</v>
      </c>
      <c r="S28" s="101">
        <v>1.5486671163900244E-7</v>
      </c>
      <c r="T28" s="101">
        <v>8.1540231116321438E-8</v>
      </c>
      <c r="U28" s="101">
        <v>1.5486671163900244E-7</v>
      </c>
      <c r="Z28" s="15">
        <f t="shared" si="8"/>
        <v>23.41559029074422</v>
      </c>
      <c r="AA28" s="16">
        <f t="shared" si="9"/>
        <v>0</v>
      </c>
      <c r="AB28" s="67">
        <f t="shared" si="10"/>
        <v>6.2294037246208962</v>
      </c>
      <c r="AC28" s="18">
        <f t="shared" si="10"/>
        <v>33.983787398198459</v>
      </c>
      <c r="AE28" s="16">
        <f t="shared" si="4"/>
        <v>0</v>
      </c>
      <c r="AF28" s="67">
        <f t="shared" si="5"/>
        <v>3.62729644921381</v>
      </c>
      <c r="AG28" s="18">
        <f t="shared" si="6"/>
        <v>19.788293841530411</v>
      </c>
    </row>
    <row r="29" spans="1:33" ht="14.5" x14ac:dyDescent="0.35">
      <c r="A29" s="62">
        <v>44136</v>
      </c>
      <c r="B29" s="65">
        <v>19.922000295657764</v>
      </c>
      <c r="C29" s="56"/>
      <c r="D29" s="57">
        <v>41086997</v>
      </c>
      <c r="E29" s="58">
        <v>133246441</v>
      </c>
      <c r="F29" s="83">
        <f t="shared" si="11"/>
        <v>835182.11090773519</v>
      </c>
      <c r="G29" s="81">
        <f t="shared" si="11"/>
        <v>47899200.912483841</v>
      </c>
      <c r="H29" s="82">
        <f t="shared" si="11"/>
        <v>133118778.38981375</v>
      </c>
      <c r="I29" s="5"/>
      <c r="M29"/>
      <c r="N29"/>
      <c r="O29"/>
      <c r="P29"/>
      <c r="Q29"/>
      <c r="R29"/>
      <c r="S29"/>
      <c r="T29"/>
      <c r="U29"/>
      <c r="Z29" s="15">
        <f t="shared" si="8"/>
        <v>19.922000295657764</v>
      </c>
      <c r="AA29" s="16">
        <f t="shared" si="9"/>
        <v>0</v>
      </c>
      <c r="AB29" s="67">
        <f t="shared" si="10"/>
        <v>5.1341407623333222</v>
      </c>
      <c r="AC29" s="18">
        <f t="shared" si="10"/>
        <v>34.032744153244103</v>
      </c>
      <c r="AE29" s="16">
        <f t="shared" si="4"/>
        <v>0</v>
      </c>
      <c r="AF29" s="67">
        <f t="shared" si="5"/>
        <v>2.6114498001466884</v>
      </c>
      <c r="AG29" s="18">
        <f t="shared" si="6"/>
        <v>17.310550495511073</v>
      </c>
    </row>
    <row r="30" spans="1:33" ht="15" thickBot="1" x14ac:dyDescent="0.4">
      <c r="A30" s="62">
        <v>44166</v>
      </c>
      <c r="B30" s="65">
        <v>16.129762809953988</v>
      </c>
      <c r="C30" s="56"/>
      <c r="D30" s="57">
        <v>52280071</v>
      </c>
      <c r="E30" s="58">
        <v>84061821</v>
      </c>
      <c r="F30" s="83">
        <f t="shared" si="11"/>
        <v>334072.84436309407</v>
      </c>
      <c r="G30" s="57">
        <f t="shared" si="11"/>
        <v>50527722.964993536</v>
      </c>
      <c r="H30" s="82">
        <f t="shared" si="11"/>
        <v>103684603.95592549</v>
      </c>
      <c r="I30" s="5"/>
      <c r="M30"/>
      <c r="N30"/>
      <c r="O30"/>
      <c r="P30"/>
      <c r="Q30"/>
      <c r="R30"/>
      <c r="S30"/>
      <c r="T30"/>
      <c r="U30"/>
      <c r="Z30" s="15">
        <f t="shared" si="8"/>
        <v>16.129762809953988</v>
      </c>
      <c r="AA30" s="16">
        <f t="shared" si="9"/>
        <v>0</v>
      </c>
      <c r="AB30" s="67">
        <f t="shared" si="10"/>
        <v>5.4158824606789588</v>
      </c>
      <c r="AC30" s="18">
        <f t="shared" si="10"/>
        <v>26.507692165934625</v>
      </c>
      <c r="AE30" s="16">
        <f t="shared" si="4"/>
        <v>0</v>
      </c>
      <c r="AF30" s="67">
        <f t="shared" si="5"/>
        <v>2.7364385260451103</v>
      </c>
      <c r="AG30" s="18">
        <f t="shared" si="6"/>
        <v>13.393324283908878</v>
      </c>
    </row>
    <row r="31" spans="1:33" ht="14.5" x14ac:dyDescent="0.35">
      <c r="A31" s="92">
        <v>44197</v>
      </c>
      <c r="B31" s="75">
        <v>15.441988222770719</v>
      </c>
      <c r="C31" s="76"/>
      <c r="D31" s="77">
        <v>40979322</v>
      </c>
      <c r="E31" s="78">
        <v>99369124</v>
      </c>
      <c r="F31" s="86">
        <f t="shared" si="11"/>
        <v>133629.13774523765</v>
      </c>
      <c r="G31" s="77">
        <f t="shared" si="11"/>
        <v>44798682.385997415</v>
      </c>
      <c r="H31" s="87">
        <f t="shared" si="11"/>
        <v>101095315.9823702</v>
      </c>
      <c r="M31"/>
      <c r="N31"/>
      <c r="O31"/>
      <c r="P31"/>
      <c r="Q31"/>
      <c r="R31"/>
      <c r="S31"/>
      <c r="T31"/>
      <c r="U31"/>
      <c r="Z31" s="15">
        <f>B31</f>
        <v>15.441988222770719</v>
      </c>
      <c r="AA31" s="16">
        <f t="shared" si="9"/>
        <v>0</v>
      </c>
      <c r="AB31" s="67">
        <f t="shared" si="10"/>
        <v>4.8018074822794823</v>
      </c>
      <c r="AC31" s="18">
        <f t="shared" si="10"/>
        <v>25.845722636098387</v>
      </c>
      <c r="AD31" s="5"/>
      <c r="AE31" s="16">
        <f t="shared" si="4"/>
        <v>0</v>
      </c>
      <c r="AF31" s="67">
        <f t="shared" si="5"/>
        <v>2.4194267630365482</v>
      </c>
      <c r="AG31" s="18">
        <f t="shared" si="6"/>
        <v>13.02256145973417</v>
      </c>
    </row>
    <row r="32" spans="1:33" ht="14.5" x14ac:dyDescent="0.35">
      <c r="A32" s="93">
        <v>44228</v>
      </c>
      <c r="B32" s="65">
        <v>17.905146329196334</v>
      </c>
      <c r="C32" s="56"/>
      <c r="D32" s="57">
        <v>102147771</v>
      </c>
      <c r="E32" s="58">
        <v>93656045</v>
      </c>
      <c r="F32" s="83">
        <f t="shared" si="11"/>
        <v>53451.655098095063</v>
      </c>
      <c r="G32" s="57">
        <f t="shared" si="11"/>
        <v>79208135.554398954</v>
      </c>
      <c r="H32" s="82">
        <f t="shared" si="11"/>
        <v>96631753.392948091</v>
      </c>
      <c r="M32" s="3" t="s">
        <v>16</v>
      </c>
      <c r="Z32" s="15">
        <f t="shared" si="8"/>
        <v>17.905146329196334</v>
      </c>
      <c r="AA32" s="16">
        <f t="shared" si="9"/>
        <v>0</v>
      </c>
      <c r="AB32" s="67">
        <f t="shared" si="10"/>
        <v>8.4900313514890957</v>
      </c>
      <c r="AC32" s="18">
        <f t="shared" si="10"/>
        <v>24.704581728292265</v>
      </c>
      <c r="AE32" s="16">
        <f t="shared" si="4"/>
        <v>0</v>
      </c>
      <c r="AF32" s="67">
        <f t="shared" si="5"/>
        <v>4.5795157582501949</v>
      </c>
      <c r="AG32" s="18">
        <f t="shared" si="6"/>
        <v>13.325630570946139</v>
      </c>
    </row>
    <row r="33" spans="1:33" ht="15" thickBot="1" x14ac:dyDescent="0.4">
      <c r="A33" s="93">
        <v>44256</v>
      </c>
      <c r="B33" s="65">
        <v>16.977811184811891</v>
      </c>
      <c r="C33" s="56"/>
      <c r="D33" s="57">
        <v>71916294</v>
      </c>
      <c r="E33" s="58">
        <v>92995361</v>
      </c>
      <c r="F33" s="83">
        <f t="shared" si="11"/>
        <v>21380.662039238028</v>
      </c>
      <c r="G33" s="57">
        <f t="shared" si="11"/>
        <v>74833030.621759579</v>
      </c>
      <c r="H33" s="82">
        <f t="shared" si="11"/>
        <v>94449917.957179248</v>
      </c>
      <c r="I33" s="28"/>
      <c r="Z33" s="15">
        <f t="shared" si="8"/>
        <v>16.977811184811891</v>
      </c>
      <c r="AA33" s="16">
        <f t="shared" si="9"/>
        <v>0</v>
      </c>
      <c r="AB33" s="67">
        <f t="shared" si="10"/>
        <v>8.0210798001847188</v>
      </c>
      <c r="AC33" s="18">
        <f t="shared" si="10"/>
        <v>24.146780281583037</v>
      </c>
      <c r="AE33" s="16">
        <f t="shared" si="4"/>
        <v>0</v>
      </c>
      <c r="AF33" s="67">
        <f t="shared" si="5"/>
        <v>4.2334298271531523</v>
      </c>
      <c r="AG33" s="18">
        <f t="shared" si="6"/>
        <v>12.744381357658739</v>
      </c>
    </row>
    <row r="34" spans="1:33" ht="14.5" x14ac:dyDescent="0.35">
      <c r="A34" s="93">
        <v>44287</v>
      </c>
      <c r="B34" s="65">
        <v>12.356414706747103</v>
      </c>
      <c r="C34" s="56">
        <v>3566496</v>
      </c>
      <c r="D34" s="57">
        <v>38044295</v>
      </c>
      <c r="E34" s="58">
        <v>55147072</v>
      </c>
      <c r="F34" s="83">
        <f t="shared" si="11"/>
        <v>2148449.8648156952</v>
      </c>
      <c r="G34" s="57">
        <f t="shared" si="11"/>
        <v>52759789.248703837</v>
      </c>
      <c r="H34" s="82">
        <f t="shared" si="11"/>
        <v>70868210.382871702</v>
      </c>
      <c r="M34" s="20" t="s">
        <v>17</v>
      </c>
      <c r="N34" s="20"/>
      <c r="Z34" s="15">
        <f t="shared" si="8"/>
        <v>12.356414706747103</v>
      </c>
      <c r="AA34" s="16">
        <f t="shared" si="9"/>
        <v>7.2188415798208755E-3</v>
      </c>
      <c r="AB34" s="67">
        <f t="shared" si="10"/>
        <v>5.6551295101728511</v>
      </c>
      <c r="AC34" s="18">
        <f t="shared" si="10"/>
        <v>18.117952265877342</v>
      </c>
      <c r="AE34" s="16">
        <f t="shared" si="4"/>
        <v>3.7509618442942076E-3</v>
      </c>
      <c r="AF34" s="67">
        <f t="shared" si="5"/>
        <v>2.9384458410191212</v>
      </c>
      <c r="AG34" s="18">
        <f t="shared" si="6"/>
        <v>9.4142179038836868</v>
      </c>
    </row>
    <row r="35" spans="1:33" ht="15" customHeight="1" x14ac:dyDescent="0.35">
      <c r="A35" s="93">
        <v>44317</v>
      </c>
      <c r="B35" s="65">
        <v>7.6294697375061498</v>
      </c>
      <c r="C35" s="95"/>
      <c r="D35" s="57">
        <v>29710427</v>
      </c>
      <c r="E35" s="96">
        <v>15976845</v>
      </c>
      <c r="F35" s="83">
        <f t="shared" ref="F35:F41" si="12">(1-$F$5)*C35+($F$5*F34)</f>
        <v>859379.94592627813</v>
      </c>
      <c r="G35" s="90">
        <f t="shared" ref="G35:G41" si="13">(1-$F$5)*D35+($F$5*G34)</f>
        <v>38930171.899481535</v>
      </c>
      <c r="H35" s="82">
        <f t="shared" ref="H35:H41" si="14">(1-$F$5)*E35+($F$5*H34)</f>
        <v>37933391.153148681</v>
      </c>
      <c r="M35" s="1" t="s">
        <v>18</v>
      </c>
      <c r="N35" s="21">
        <v>0.95305719807785882</v>
      </c>
      <c r="Z35" s="15">
        <f t="shared" si="8"/>
        <v>7.6294697375061498</v>
      </c>
      <c r="AA35" s="16">
        <f t="shared" si="9"/>
        <v>0</v>
      </c>
      <c r="AB35" s="67">
        <f>G35*AB$3</f>
        <v>4.172783232834246</v>
      </c>
      <c r="AC35" s="18">
        <f t="shared" si="10"/>
        <v>9.6979360207141738</v>
      </c>
      <c r="AE35" s="16">
        <f t="shared" si="4"/>
        <v>0</v>
      </c>
      <c r="AF35" s="67">
        <f t="shared" si="5"/>
        <v>2.295203501284738</v>
      </c>
      <c r="AG35" s="18">
        <f t="shared" si="6"/>
        <v>5.3342662362214117</v>
      </c>
    </row>
    <row r="36" spans="1:33" ht="14.5" x14ac:dyDescent="0.35">
      <c r="A36" s="93">
        <v>44348</v>
      </c>
      <c r="B36" s="65">
        <v>7.3035605763067633</v>
      </c>
      <c r="C36" s="95">
        <v>960901</v>
      </c>
      <c r="D36" s="57">
        <v>23502131</v>
      </c>
      <c r="E36" s="96">
        <v>46569609</v>
      </c>
      <c r="F36" s="83">
        <f t="shared" si="12"/>
        <v>920292.5783705113</v>
      </c>
      <c r="G36" s="90">
        <f t="shared" si="13"/>
        <v>29673347.359792612</v>
      </c>
      <c r="H36" s="82">
        <f t="shared" si="14"/>
        <v>43115121.861259475</v>
      </c>
      <c r="M36" s="1" t="s">
        <v>19</v>
      </c>
      <c r="N36" s="21">
        <v>0.90831802280801899</v>
      </c>
      <c r="Z36" s="15">
        <f t="shared" si="8"/>
        <v>7.3035605763067633</v>
      </c>
      <c r="AA36" s="16">
        <f t="shared" si="9"/>
        <v>1.9449319704526401E-3</v>
      </c>
      <c r="AB36" s="67">
        <f t="shared" si="10"/>
        <v>3.1805779497895816</v>
      </c>
      <c r="AC36" s="18">
        <f t="shared" si="10"/>
        <v>11.022681617039726</v>
      </c>
      <c r="AE36" s="16">
        <f t="shared" si="4"/>
        <v>9.9998056798103452E-4</v>
      </c>
      <c r="AF36" s="67">
        <f t="shared" si="5"/>
        <v>1.6352840063595362</v>
      </c>
      <c r="AG36" s="18">
        <f t="shared" si="6"/>
        <v>5.6672765893792461</v>
      </c>
    </row>
    <row r="37" spans="1:33" ht="14.5" x14ac:dyDescent="0.35">
      <c r="A37" s="93">
        <v>44378</v>
      </c>
      <c r="B37" s="65">
        <v>15.028572621620047</v>
      </c>
      <c r="C37" s="95"/>
      <c r="D37" s="57">
        <v>56905258</v>
      </c>
      <c r="E37" s="96">
        <v>145096738</v>
      </c>
      <c r="F37" s="83">
        <f t="shared" si="12"/>
        <v>368117.03134820453</v>
      </c>
      <c r="G37" s="90">
        <f t="shared" si="13"/>
        <v>46012493.743917041</v>
      </c>
      <c r="H37" s="82">
        <f t="shared" si="14"/>
        <v>104304091.54450379</v>
      </c>
      <c r="M37" s="1" t="s">
        <v>20</v>
      </c>
      <c r="N37" s="21">
        <v>0.8648397619384538</v>
      </c>
      <c r="Z37" s="15">
        <f t="shared" si="8"/>
        <v>15.028572621620047</v>
      </c>
      <c r="AA37" s="16">
        <f t="shared" si="9"/>
        <v>0</v>
      </c>
      <c r="AB37" s="67">
        <f t="shared" si="10"/>
        <v>4.931911497623382</v>
      </c>
      <c r="AC37" s="18">
        <f t="shared" si="10"/>
        <v>26.666068488668433</v>
      </c>
      <c r="AE37" s="16">
        <f t="shared" si="4"/>
        <v>0</v>
      </c>
      <c r="AF37" s="67">
        <f t="shared" si="5"/>
        <v>2.3457065969910502</v>
      </c>
      <c r="AG37" s="18">
        <f t="shared" si="6"/>
        <v>12.682866024628998</v>
      </c>
    </row>
    <row r="38" spans="1:33" ht="14.5" x14ac:dyDescent="0.35">
      <c r="A38" s="93">
        <v>44409</v>
      </c>
      <c r="B38" s="65">
        <v>14.033135059105678</v>
      </c>
      <c r="C38" s="95"/>
      <c r="D38" s="57">
        <v>2803445</v>
      </c>
      <c r="E38" s="96">
        <v>130376798</v>
      </c>
      <c r="F38" s="83">
        <f t="shared" si="12"/>
        <v>147246.81253928182</v>
      </c>
      <c r="G38" s="90">
        <f t="shared" si="13"/>
        <v>20087064.497566815</v>
      </c>
      <c r="H38" s="82">
        <f t="shared" si="14"/>
        <v>119947715.41780151</v>
      </c>
      <c r="M38" s="1" t="s">
        <v>21</v>
      </c>
      <c r="N38" s="1">
        <v>872313.48023780424</v>
      </c>
      <c r="Z38" s="15">
        <f t="shared" si="8"/>
        <v>14.033135059105678</v>
      </c>
      <c r="AA38" s="16">
        <f t="shared" si="9"/>
        <v>0</v>
      </c>
      <c r="AB38" s="67">
        <f t="shared" si="10"/>
        <v>2.1530592299651046</v>
      </c>
      <c r="AC38" s="18">
        <f t="shared" si="10"/>
        <v>30.665470040795821</v>
      </c>
      <c r="AE38" s="16">
        <f t="shared" si="4"/>
        <v>0</v>
      </c>
      <c r="AF38" s="67">
        <f t="shared" si="5"/>
        <v>0.92064366184968416</v>
      </c>
      <c r="AG38" s="18">
        <f t="shared" si="6"/>
        <v>13.112491397255994</v>
      </c>
    </row>
    <row r="39" spans="1:33" ht="15" customHeight="1" thickBot="1" x14ac:dyDescent="0.4">
      <c r="A39" s="93">
        <v>44440</v>
      </c>
      <c r="B39" s="65">
        <v>5.9406113301334349</v>
      </c>
      <c r="C39" s="95"/>
      <c r="D39" s="57">
        <v>6457010</v>
      </c>
      <c r="E39" s="96">
        <v>380726</v>
      </c>
      <c r="F39" s="83">
        <f t="shared" si="12"/>
        <v>58898.725015712727</v>
      </c>
      <c r="G39" s="90">
        <f t="shared" si="13"/>
        <v>11909031.799026728</v>
      </c>
      <c r="H39" s="82">
        <f t="shared" si="14"/>
        <v>48207521.767120607</v>
      </c>
      <c r="M39" s="22" t="s">
        <v>22</v>
      </c>
      <c r="N39" s="22">
        <v>24</v>
      </c>
      <c r="Z39" s="15">
        <f t="shared" si="8"/>
        <v>5.9406113301334349</v>
      </c>
      <c r="AA39" s="16">
        <f t="shared" si="9"/>
        <v>0</v>
      </c>
      <c r="AB39" s="67">
        <f t="shared" si="10"/>
        <v>1.2764857123821332</v>
      </c>
      <c r="AC39" s="18">
        <f t="shared" si="10"/>
        <v>12.324589170718403</v>
      </c>
      <c r="AE39" s="16">
        <f t="shared" si="4"/>
        <v>0</v>
      </c>
      <c r="AF39" s="67">
        <f t="shared" si="5"/>
        <v>0.55753722047018728</v>
      </c>
      <c r="AG39" s="18">
        <f t="shared" si="6"/>
        <v>5.383074109663248</v>
      </c>
    </row>
    <row r="40" spans="1:33" ht="14.5" x14ac:dyDescent="0.35">
      <c r="A40" s="93">
        <v>44470</v>
      </c>
      <c r="B40" s="65">
        <v>2.376244532053374</v>
      </c>
      <c r="C40" s="95"/>
      <c r="D40" s="57">
        <v>6802487</v>
      </c>
      <c r="E40" s="96">
        <v>3109937</v>
      </c>
      <c r="F40" s="83">
        <f t="shared" si="12"/>
        <v>23559.490006285094</v>
      </c>
      <c r="G40" s="90">
        <f t="shared" si="13"/>
        <v>8845104.9196106903</v>
      </c>
      <c r="H40" s="82">
        <f t="shared" si="14"/>
        <v>21148970.906848244</v>
      </c>
      <c r="Z40" s="15">
        <f t="shared" si="8"/>
        <v>2.376244532053374</v>
      </c>
      <c r="AA40" s="16">
        <f t="shared" si="9"/>
        <v>0</v>
      </c>
      <c r="AB40" s="67">
        <f t="shared" si="10"/>
        <v>0.94807455760817572</v>
      </c>
      <c r="AC40" s="18">
        <f t="shared" si="10"/>
        <v>5.4068819191646442</v>
      </c>
      <c r="AE40" s="16">
        <f t="shared" si="4"/>
        <v>0</v>
      </c>
      <c r="AF40" s="67">
        <f t="shared" si="5"/>
        <v>0.3545039201652247</v>
      </c>
      <c r="AG40" s="18">
        <f t="shared" si="6"/>
        <v>2.0217406118881494</v>
      </c>
    </row>
    <row r="41" spans="1:33" ht="15" thickBot="1" x14ac:dyDescent="0.4">
      <c r="A41" s="94">
        <v>44501</v>
      </c>
      <c r="B41" s="66">
        <v>0.95049781282134971</v>
      </c>
      <c r="C41" s="97"/>
      <c r="D41" s="60">
        <v>3939218</v>
      </c>
      <c r="E41" s="98">
        <v>5276905</v>
      </c>
      <c r="F41" s="84">
        <f t="shared" si="12"/>
        <v>9423.7960025140383</v>
      </c>
      <c r="G41" s="99">
        <f t="shared" si="13"/>
        <v>5901572.7678442765</v>
      </c>
      <c r="H41" s="85">
        <f t="shared" si="14"/>
        <v>11625731.362739298</v>
      </c>
      <c r="M41" s="1" t="s">
        <v>23</v>
      </c>
      <c r="Z41" s="25">
        <f t="shared" si="8"/>
        <v>0.95049781282134971</v>
      </c>
      <c r="AA41" s="26">
        <f t="shared" si="9"/>
        <v>0</v>
      </c>
      <c r="AB41" s="27">
        <f t="shared" si="10"/>
        <v>0.63256807487510103</v>
      </c>
      <c r="AC41" s="24">
        <f t="shared" si="10"/>
        <v>2.9721993083789293</v>
      </c>
      <c r="AE41" s="26">
        <f t="shared" si="4"/>
        <v>0</v>
      </c>
      <c r="AF41" s="27">
        <f t="shared" si="5"/>
        <v>0.1667942776065183</v>
      </c>
      <c r="AG41" s="24">
        <f t="shared" si="6"/>
        <v>0.78370353521483149</v>
      </c>
    </row>
    <row r="42" spans="1:33" x14ac:dyDescent="0.3">
      <c r="M42" s="23"/>
      <c r="N42" s="23" t="s">
        <v>24</v>
      </c>
      <c r="O42" s="23" t="s">
        <v>25</v>
      </c>
      <c r="P42" s="23" t="s">
        <v>26</v>
      </c>
      <c r="Q42" s="23" t="s">
        <v>27</v>
      </c>
      <c r="R42" s="23" t="s">
        <v>28</v>
      </c>
      <c r="Z42" s="67"/>
    </row>
    <row r="43" spans="1:33" ht="15" customHeight="1" x14ac:dyDescent="0.3">
      <c r="M43" s="1" t="s">
        <v>29</v>
      </c>
      <c r="N43" s="1">
        <v>1</v>
      </c>
      <c r="O43" s="1">
        <v>173391165026949.31</v>
      </c>
      <c r="P43" s="1">
        <v>173391165026949.31</v>
      </c>
      <c r="Q43" s="1">
        <v>227.86719008947895</v>
      </c>
      <c r="R43" s="1">
        <v>4.3243964263909504E-13</v>
      </c>
      <c r="Z43" s="67"/>
    </row>
    <row r="44" spans="1:33" ht="15" customHeight="1" thickBot="1" x14ac:dyDescent="0.35">
      <c r="M44" s="1" t="s">
        <v>30</v>
      </c>
      <c r="N44" s="1">
        <v>23</v>
      </c>
      <c r="O44" s="1">
        <v>17501408579505.572</v>
      </c>
      <c r="P44" s="1">
        <v>760930807804.59009</v>
      </c>
    </row>
    <row r="45" spans="1:33" ht="13.5" thickBot="1" x14ac:dyDescent="0.35">
      <c r="M45" s="22" t="s">
        <v>31</v>
      </c>
      <c r="N45" s="22">
        <v>24</v>
      </c>
      <c r="O45" s="22">
        <v>190892573606454.88</v>
      </c>
      <c r="P45" s="22"/>
      <c r="Q45" s="22"/>
      <c r="R45" s="22"/>
      <c r="Z45" s="29" t="s">
        <v>11</v>
      </c>
      <c r="AA45" s="69" t="s">
        <v>12</v>
      </c>
      <c r="AB45" s="29" t="s">
        <v>13</v>
      </c>
      <c r="AC45" s="29" t="s">
        <v>14</v>
      </c>
      <c r="AD45" s="29" t="s">
        <v>70</v>
      </c>
      <c r="AE45" s="30" t="s">
        <v>12</v>
      </c>
      <c r="AF45" s="30" t="s">
        <v>13</v>
      </c>
      <c r="AG45" s="30" t="s">
        <v>14</v>
      </c>
    </row>
    <row r="46" spans="1:33" ht="13.5" thickBot="1" x14ac:dyDescent="0.35">
      <c r="W46" s="155" t="s">
        <v>40</v>
      </c>
      <c r="X46" s="3"/>
      <c r="Y46" s="31" t="s">
        <v>41</v>
      </c>
      <c r="Z46" s="70">
        <f>SUM(Z7:Z18)</f>
        <v>235.85330837902598</v>
      </c>
      <c r="AA46" s="70">
        <f>SUM(AA7:AA18)</f>
        <v>5.2976022002854783</v>
      </c>
      <c r="AB46" s="70">
        <f t="shared" ref="AB46:AC46" si="15">SUM(AB7:AB18)</f>
        <v>0</v>
      </c>
      <c r="AC46" s="70">
        <f t="shared" si="15"/>
        <v>0</v>
      </c>
      <c r="AD46" s="134">
        <f>SUM(AA46:AC46)</f>
        <v>5.2976022002854783</v>
      </c>
      <c r="AE46" s="105">
        <f>SUM(AE7:AE18)</f>
        <v>235.85330837902598</v>
      </c>
      <c r="AF46" s="32">
        <f t="shared" ref="AF46:AG46" si="16">SUM(AF7:AF18)</f>
        <v>0</v>
      </c>
      <c r="AG46" s="14">
        <f t="shared" si="16"/>
        <v>0</v>
      </c>
    </row>
    <row r="47" spans="1:33" ht="13.5" thickBot="1" x14ac:dyDescent="0.35">
      <c r="M47" s="23"/>
      <c r="N47" s="23" t="s">
        <v>32</v>
      </c>
      <c r="O47" s="23" t="s">
        <v>21</v>
      </c>
      <c r="P47" s="23" t="s">
        <v>33</v>
      </c>
      <c r="Q47" s="23" t="s">
        <v>34</v>
      </c>
      <c r="R47" s="23" t="s">
        <v>35</v>
      </c>
      <c r="S47" s="23" t="s">
        <v>36</v>
      </c>
      <c r="T47" s="23" t="s">
        <v>37</v>
      </c>
      <c r="U47" s="23" t="s">
        <v>38</v>
      </c>
      <c r="W47" s="156"/>
      <c r="X47" s="3"/>
      <c r="Y47" s="31" t="s">
        <v>54</v>
      </c>
      <c r="Z47" s="15">
        <f>SUM(Z19:Z30)</f>
        <v>234.26094531253733</v>
      </c>
      <c r="AA47" s="15">
        <f>SUM(AA19:AA30)</f>
        <v>0.8955665236382242</v>
      </c>
      <c r="AB47" s="15">
        <f t="shared" ref="AB47:AC47" si="17">SUM(AB19:AB30)</f>
        <v>37.441120103470176</v>
      </c>
      <c r="AC47" s="15">
        <f t="shared" si="17"/>
        <v>196.75434953525772</v>
      </c>
      <c r="AD47" s="134">
        <f t="shared" ref="AD47:AD48" si="18">SUM(AA47:AC47)</f>
        <v>235.09103616236612</v>
      </c>
      <c r="AE47" s="16">
        <f>SUM(AE19:AE30)</f>
        <v>82.574601211231652</v>
      </c>
      <c r="AF47" s="67">
        <f t="shared" ref="AF47:AG47" si="19">SUM(AF19:AF30)</f>
        <v>25.119894384824953</v>
      </c>
      <c r="AG47" s="18">
        <f t="shared" si="19"/>
        <v>126.5664497164807</v>
      </c>
    </row>
    <row r="48" spans="1:33" ht="15" customHeight="1" thickBot="1" x14ac:dyDescent="0.35">
      <c r="M48" s="1" t="s">
        <v>39</v>
      </c>
      <c r="N48" s="1">
        <v>0</v>
      </c>
      <c r="O48" s="1" t="e">
        <v>#N/A</v>
      </c>
      <c r="P48" s="1" t="e">
        <v>#N/A</v>
      </c>
      <c r="Q48" s="1" t="e">
        <v>#N/A</v>
      </c>
      <c r="R48" s="1" t="e">
        <v>#N/A</v>
      </c>
      <c r="S48" s="1" t="e">
        <v>#N/A</v>
      </c>
      <c r="T48" s="1" t="e">
        <v>#N/A</v>
      </c>
      <c r="U48" s="1" t="e">
        <v>#N/A</v>
      </c>
      <c r="W48" s="157"/>
      <c r="Y48" s="68" t="s">
        <v>55</v>
      </c>
      <c r="Z48" s="25">
        <f>SUM(Z31:Z41)</f>
        <v>115.94345211307285</v>
      </c>
      <c r="AA48" s="25">
        <f>SUM(AA31:AA41)</f>
        <v>9.163773550273516E-3</v>
      </c>
      <c r="AB48" s="25">
        <f t="shared" ref="AB48:AC48" si="20">SUM(AB31:AB41)</f>
        <v>44.263508399203864</v>
      </c>
      <c r="AC48" s="25">
        <f t="shared" si="20"/>
        <v>191.57086347733113</v>
      </c>
      <c r="AD48" s="134">
        <f t="shared" si="18"/>
        <v>235.84353565008527</v>
      </c>
      <c r="AE48" s="26">
        <f>SUM(AE31:AE41)</f>
        <v>4.7509424122752419E-3</v>
      </c>
      <c r="AF48" s="27">
        <f t="shared" ref="AF48:AG48" si="21">SUM(AF31:AF41)</f>
        <v>22.446491374185957</v>
      </c>
      <c r="AG48" s="24">
        <f t="shared" si="21"/>
        <v>93.492209796474611</v>
      </c>
    </row>
    <row r="49" spans="13:33" ht="15" customHeight="1" thickBot="1" x14ac:dyDescent="0.4">
      <c r="M49" s="22" t="s">
        <v>12</v>
      </c>
      <c r="N49" s="22">
        <v>11342728.657454265</v>
      </c>
      <c r="O49" s="22">
        <v>751409.43594010989</v>
      </c>
      <c r="P49" s="22">
        <v>15.095270454333665</v>
      </c>
      <c r="Q49" s="22">
        <v>2.0033930040251738E-13</v>
      </c>
      <c r="R49" s="22">
        <v>9788319.8092560712</v>
      </c>
      <c r="S49" s="22">
        <v>12897137.505652459</v>
      </c>
      <c r="T49" s="22">
        <v>9788319.8092560712</v>
      </c>
      <c r="U49" s="22">
        <v>12897137.505652459</v>
      </c>
      <c r="Z49" s="107">
        <f>SUM(Z46:Z48)</f>
        <v>586.05770580463616</v>
      </c>
      <c r="AA49" s="108">
        <f t="shared" ref="AA49:AG49" si="22">SUM(AA46:AA48)</f>
        <v>6.202332497473976</v>
      </c>
      <c r="AB49" s="108">
        <f t="shared" si="22"/>
        <v>81.704628502674041</v>
      </c>
      <c r="AC49" s="109">
        <f t="shared" si="22"/>
        <v>388.32521301258885</v>
      </c>
      <c r="AD49" s="135">
        <f>SUM(AA49:AC49)</f>
        <v>476.23217401273689</v>
      </c>
      <c r="AE49" s="108">
        <f t="shared" si="22"/>
        <v>318.4326605326699</v>
      </c>
      <c r="AF49" s="108">
        <f t="shared" si="22"/>
        <v>47.566385759010913</v>
      </c>
      <c r="AG49" s="109">
        <f t="shared" si="22"/>
        <v>220.05865951295533</v>
      </c>
    </row>
    <row r="50" spans="13:33" ht="13.5" thickBot="1" x14ac:dyDescent="0.35">
      <c r="X50" s="3"/>
      <c r="AD50" s="4"/>
    </row>
    <row r="51" spans="13:33" ht="13.5" thickBot="1" x14ac:dyDescent="0.35">
      <c r="W51" s="158" t="s">
        <v>5</v>
      </c>
      <c r="X51" s="3"/>
      <c r="Y51" s="31" t="s">
        <v>41</v>
      </c>
      <c r="Z51" s="70">
        <f>SUM(AA51:AC51)</f>
        <v>235.85330837902598</v>
      </c>
      <c r="AA51" s="32">
        <f>AE46</f>
        <v>235.85330837902598</v>
      </c>
      <c r="AB51" s="32">
        <f>AF46</f>
        <v>0</v>
      </c>
      <c r="AC51" s="14">
        <f>AG46</f>
        <v>0</v>
      </c>
      <c r="AD51" s="4"/>
    </row>
    <row r="52" spans="13:33" ht="13.5" thickBot="1" x14ac:dyDescent="0.35">
      <c r="M52" s="1" t="s">
        <v>16</v>
      </c>
      <c r="W52" s="159"/>
      <c r="Y52" s="31" t="s">
        <v>54</v>
      </c>
      <c r="Z52" s="15">
        <f>SUM(AA52:AC52)</f>
        <v>234.26094531253733</v>
      </c>
      <c r="AA52" s="67">
        <f t="shared" ref="AA52" si="23">AE47</f>
        <v>82.574601211231652</v>
      </c>
      <c r="AB52" s="67">
        <f>AF47</f>
        <v>25.119894384824953</v>
      </c>
      <c r="AC52" s="18">
        <f>AG47</f>
        <v>126.5664497164807</v>
      </c>
      <c r="AD52" s="4"/>
    </row>
    <row r="53" spans="13:33" ht="13.5" thickBot="1" x14ac:dyDescent="0.35">
      <c r="W53" s="160"/>
      <c r="Y53" s="68" t="s">
        <v>55</v>
      </c>
      <c r="Z53" s="25">
        <f>SUM(AA53:AC53)</f>
        <v>115.94345211307285</v>
      </c>
      <c r="AA53" s="27">
        <f t="shared" ref="AA53" si="24">AE48</f>
        <v>4.7509424122752419E-3</v>
      </c>
      <c r="AB53" s="27">
        <f>AF48</f>
        <v>22.446491374185957</v>
      </c>
      <c r="AC53" s="24">
        <f>AG48</f>
        <v>93.492209796474611</v>
      </c>
      <c r="AD53" s="4"/>
    </row>
    <row r="54" spans="13:33" x14ac:dyDescent="0.3">
      <c r="M54" s="20" t="s">
        <v>17</v>
      </c>
      <c r="N54" s="20"/>
    </row>
    <row r="55" spans="13:33" x14ac:dyDescent="0.3">
      <c r="M55" s="1" t="s">
        <v>18</v>
      </c>
      <c r="N55" s="1">
        <v>0</v>
      </c>
    </row>
    <row r="56" spans="13:33" x14ac:dyDescent="0.3">
      <c r="M56" s="1" t="s">
        <v>19</v>
      </c>
      <c r="N56" s="1">
        <v>0</v>
      </c>
    </row>
    <row r="57" spans="13:33" x14ac:dyDescent="0.3">
      <c r="M57" s="1" t="s">
        <v>20</v>
      </c>
      <c r="N57" s="1">
        <v>-4.3478260869565216E-2</v>
      </c>
    </row>
    <row r="58" spans="13:33" x14ac:dyDescent="0.3">
      <c r="M58" s="1" t="s">
        <v>21</v>
      </c>
      <c r="N58" s="1">
        <v>2880916.0198319084</v>
      </c>
    </row>
    <row r="59" spans="13:33" ht="13.5" thickBot="1" x14ac:dyDescent="0.35">
      <c r="M59" s="22" t="s">
        <v>22</v>
      </c>
      <c r="N59" s="22">
        <v>24</v>
      </c>
    </row>
    <row r="61" spans="13:33" ht="13.5" thickBot="1" x14ac:dyDescent="0.35">
      <c r="M61" s="1" t="s">
        <v>23</v>
      </c>
    </row>
    <row r="62" spans="13:33" x14ac:dyDescent="0.3">
      <c r="M62" s="23"/>
      <c r="N62" s="23" t="s">
        <v>24</v>
      </c>
      <c r="O62" s="23" t="s">
        <v>25</v>
      </c>
      <c r="P62" s="23" t="s">
        <v>26</v>
      </c>
      <c r="Q62" s="23" t="s">
        <v>27</v>
      </c>
      <c r="R62" s="23" t="s">
        <v>28</v>
      </c>
    </row>
    <row r="63" spans="13:33" x14ac:dyDescent="0.3">
      <c r="M63" s="1" t="s">
        <v>29</v>
      </c>
      <c r="N63" s="1">
        <v>1</v>
      </c>
      <c r="O63" s="1">
        <v>0</v>
      </c>
      <c r="P63" s="1">
        <v>0</v>
      </c>
      <c r="Q63" s="1">
        <v>0</v>
      </c>
      <c r="R63" s="1">
        <v>1</v>
      </c>
    </row>
    <row r="64" spans="13:33" x14ac:dyDescent="0.3">
      <c r="M64" s="1" t="s">
        <v>30</v>
      </c>
      <c r="N64" s="1">
        <v>23</v>
      </c>
      <c r="O64" s="1">
        <v>190892573606454.88</v>
      </c>
      <c r="P64" s="1">
        <v>8299677113324.125</v>
      </c>
    </row>
    <row r="65" spans="13:21" ht="13.5" thickBot="1" x14ac:dyDescent="0.35">
      <c r="M65" s="22" t="s">
        <v>31</v>
      </c>
      <c r="N65" s="22">
        <v>24</v>
      </c>
      <c r="O65" s="22">
        <v>190892573606454.88</v>
      </c>
      <c r="P65" s="22"/>
      <c r="Q65" s="22"/>
      <c r="R65" s="22"/>
    </row>
    <row r="66" spans="13:21" ht="13.5" thickBot="1" x14ac:dyDescent="0.35"/>
    <row r="67" spans="13:21" x14ac:dyDescent="0.3">
      <c r="M67" s="23"/>
      <c r="N67" s="23" t="s">
        <v>32</v>
      </c>
      <c r="O67" s="23" t="s">
        <v>21</v>
      </c>
      <c r="P67" s="23" t="s">
        <v>33</v>
      </c>
      <c r="Q67" s="23" t="s">
        <v>34</v>
      </c>
      <c r="R67" s="23" t="s">
        <v>35</v>
      </c>
      <c r="S67" s="23" t="s">
        <v>36</v>
      </c>
      <c r="T67" s="23" t="s">
        <v>37</v>
      </c>
      <c r="U67" s="23" t="s">
        <v>38</v>
      </c>
    </row>
    <row r="68" spans="13:21" x14ac:dyDescent="0.3">
      <c r="M68" s="1" t="s">
        <v>39</v>
      </c>
      <c r="N68" s="1">
        <v>0</v>
      </c>
      <c r="O68" s="1" t="e">
        <v>#N/A</v>
      </c>
      <c r="P68" s="1" t="e">
        <v>#N/A</v>
      </c>
      <c r="Q68" s="1" t="e">
        <v>#N/A</v>
      </c>
      <c r="R68" s="1" t="e">
        <v>#N/A</v>
      </c>
      <c r="S68" s="1" t="e">
        <v>#N/A</v>
      </c>
      <c r="T68" s="1" t="e">
        <v>#N/A</v>
      </c>
      <c r="U68" s="1" t="e">
        <v>#N/A</v>
      </c>
    </row>
    <row r="69" spans="13:21" ht="13.5" thickBot="1" x14ac:dyDescent="0.35">
      <c r="M69" s="22" t="s">
        <v>13</v>
      </c>
      <c r="N69" s="22">
        <v>0</v>
      </c>
      <c r="O69" s="22">
        <v>0</v>
      </c>
      <c r="P69" s="22">
        <v>65535</v>
      </c>
      <c r="Q69" s="22" t="e">
        <v>#NUM!</v>
      </c>
      <c r="R69" s="22">
        <v>0</v>
      </c>
      <c r="S69" s="22">
        <v>0</v>
      </c>
      <c r="T69" s="22">
        <v>0</v>
      </c>
      <c r="U69" s="22">
        <v>0</v>
      </c>
    </row>
    <row r="72" spans="13:21" x14ac:dyDescent="0.3">
      <c r="M72" s="1" t="s">
        <v>16</v>
      </c>
    </row>
    <row r="73" spans="13:21" ht="13.5" thickBot="1" x14ac:dyDescent="0.35"/>
    <row r="74" spans="13:21" x14ac:dyDescent="0.3">
      <c r="M74" s="20" t="s">
        <v>17</v>
      </c>
      <c r="N74" s="20"/>
    </row>
    <row r="75" spans="13:21" x14ac:dyDescent="0.3">
      <c r="M75" s="1" t="s">
        <v>18</v>
      </c>
      <c r="N75" s="21">
        <v>0.83073765928649101</v>
      </c>
    </row>
    <row r="76" spans="13:21" x14ac:dyDescent="0.3">
      <c r="M76" s="1" t="s">
        <v>19</v>
      </c>
      <c r="N76" s="21">
        <v>0.69012505855679795</v>
      </c>
    </row>
    <row r="77" spans="13:21" x14ac:dyDescent="0.3">
      <c r="M77" s="1" t="s">
        <v>20</v>
      </c>
      <c r="N77" s="21">
        <v>0.64664679768723266</v>
      </c>
    </row>
    <row r="78" spans="13:21" x14ac:dyDescent="0.3">
      <c r="M78" s="1" t="s">
        <v>21</v>
      </c>
      <c r="N78" s="1">
        <v>1603702.5782509665</v>
      </c>
    </row>
    <row r="79" spans="13:21" ht="13.5" thickBot="1" x14ac:dyDescent="0.35">
      <c r="M79" s="22" t="s">
        <v>22</v>
      </c>
      <c r="N79" s="22">
        <v>24</v>
      </c>
    </row>
    <row r="81" spans="13:21" ht="13.5" thickBot="1" x14ac:dyDescent="0.35">
      <c r="M81" s="1" t="s">
        <v>23</v>
      </c>
    </row>
    <row r="82" spans="13:21" x14ac:dyDescent="0.3">
      <c r="M82" s="23"/>
      <c r="N82" s="23" t="s">
        <v>24</v>
      </c>
      <c r="O82" s="23" t="s">
        <v>25</v>
      </c>
      <c r="P82" s="23" t="s">
        <v>26</v>
      </c>
      <c r="Q82" s="23" t="s">
        <v>27</v>
      </c>
      <c r="R82" s="23" t="s">
        <v>28</v>
      </c>
    </row>
    <row r="83" spans="13:21" x14ac:dyDescent="0.3">
      <c r="M83" s="1" t="s">
        <v>29</v>
      </c>
      <c r="N83" s="1">
        <v>1</v>
      </c>
      <c r="O83" s="1">
        <v>131739748538212.53</v>
      </c>
      <c r="P83" s="1">
        <v>131739748538212.53</v>
      </c>
      <c r="Q83" s="1">
        <v>51.223491234497715</v>
      </c>
      <c r="R83" s="1">
        <v>3.5596145931824972E-7</v>
      </c>
    </row>
    <row r="84" spans="13:21" x14ac:dyDescent="0.3">
      <c r="M84" s="1" t="s">
        <v>30</v>
      </c>
      <c r="N84" s="1">
        <v>23</v>
      </c>
      <c r="O84" s="1">
        <v>59152825068242.336</v>
      </c>
      <c r="P84" s="1">
        <v>2571861959488.7974</v>
      </c>
    </row>
    <row r="85" spans="13:21" ht="13.5" thickBot="1" x14ac:dyDescent="0.35">
      <c r="M85" s="22" t="s">
        <v>31</v>
      </c>
      <c r="N85" s="22">
        <v>24</v>
      </c>
      <c r="O85" s="22">
        <v>190892573606454.88</v>
      </c>
      <c r="P85" s="22"/>
      <c r="Q85" s="22"/>
      <c r="R85" s="22"/>
    </row>
    <row r="86" spans="13:21" ht="13.5" thickBot="1" x14ac:dyDescent="0.35"/>
    <row r="87" spans="13:21" x14ac:dyDescent="0.3">
      <c r="M87" s="23"/>
      <c r="N87" s="23" t="s">
        <v>32</v>
      </c>
      <c r="O87" s="23" t="s">
        <v>21</v>
      </c>
      <c r="P87" s="23" t="s">
        <v>33</v>
      </c>
      <c r="Q87" s="23" t="s">
        <v>34</v>
      </c>
      <c r="R87" s="23" t="s">
        <v>35</v>
      </c>
      <c r="S87" s="23" t="s">
        <v>36</v>
      </c>
      <c r="T87" s="23" t="s">
        <v>37</v>
      </c>
      <c r="U87" s="23" t="s">
        <v>38</v>
      </c>
    </row>
    <row r="88" spans="13:21" x14ac:dyDescent="0.3">
      <c r="M88" s="1" t="s">
        <v>39</v>
      </c>
      <c r="N88" s="1">
        <v>0</v>
      </c>
      <c r="O88" s="1" t="e">
        <v>#N/A</v>
      </c>
      <c r="P88" s="1" t="e">
        <v>#N/A</v>
      </c>
      <c r="Q88" s="1" t="e">
        <v>#N/A</v>
      </c>
      <c r="R88" s="1" t="e">
        <v>#N/A</v>
      </c>
      <c r="S88" s="1" t="e">
        <v>#N/A</v>
      </c>
      <c r="T88" s="1" t="e">
        <v>#N/A</v>
      </c>
      <c r="U88" s="1" t="e">
        <v>#N/A</v>
      </c>
    </row>
    <row r="89" spans="13:21" ht="13.5" thickBot="1" x14ac:dyDescent="0.35">
      <c r="M89" s="22" t="s">
        <v>14</v>
      </c>
      <c r="N89" s="22">
        <v>19182786.040832601</v>
      </c>
      <c r="O89" s="22">
        <v>2680261.0500429012</v>
      </c>
      <c r="P89" s="22">
        <v>7.1570588396699479</v>
      </c>
      <c r="Q89" s="22">
        <v>2.7417923732037636E-7</v>
      </c>
      <c r="R89" s="22">
        <v>13638243.621751603</v>
      </c>
      <c r="S89" s="22">
        <v>24727328.4599136</v>
      </c>
      <c r="T89" s="22">
        <v>13638243.621751603</v>
      </c>
      <c r="U89" s="22">
        <v>24727328.4599136</v>
      </c>
    </row>
    <row r="92" spans="13:21" x14ac:dyDescent="0.3">
      <c r="M92" s="1" t="s">
        <v>16</v>
      </c>
    </row>
    <row r="93" spans="13:21" ht="13.5" thickBot="1" x14ac:dyDescent="0.35"/>
    <row r="94" spans="13:21" x14ac:dyDescent="0.3">
      <c r="M94" s="20" t="s">
        <v>17</v>
      </c>
      <c r="N94" s="20"/>
    </row>
    <row r="95" spans="13:21" x14ac:dyDescent="0.3">
      <c r="M95" s="1" t="s">
        <v>18</v>
      </c>
      <c r="N95" s="21">
        <v>0.99525359443877248</v>
      </c>
    </row>
    <row r="96" spans="13:21" x14ac:dyDescent="0.3">
      <c r="M96" s="1" t="s">
        <v>19</v>
      </c>
      <c r="N96" s="21">
        <v>0.99052971724329653</v>
      </c>
    </row>
    <row r="97" spans="13:21" x14ac:dyDescent="0.3">
      <c r="M97" s="1" t="s">
        <v>20</v>
      </c>
      <c r="N97" s="21">
        <v>0.94200873793313433</v>
      </c>
    </row>
    <row r="98" spans="13:21" x14ac:dyDescent="0.3">
      <c r="M98" s="1" t="s">
        <v>21</v>
      </c>
      <c r="N98" s="1">
        <v>293404.21071798907</v>
      </c>
    </row>
    <row r="99" spans="13:21" ht="13.5" thickBot="1" x14ac:dyDescent="0.35">
      <c r="M99" s="22" t="s">
        <v>22</v>
      </c>
      <c r="N99" s="22">
        <v>24</v>
      </c>
    </row>
    <row r="101" spans="13:21" ht="13.5" thickBot="1" x14ac:dyDescent="0.35">
      <c r="M101" s="1" t="s">
        <v>23</v>
      </c>
    </row>
    <row r="102" spans="13:21" x14ac:dyDescent="0.3">
      <c r="M102" s="23"/>
      <c r="N102" s="23" t="s">
        <v>24</v>
      </c>
      <c r="O102" s="23" t="s">
        <v>25</v>
      </c>
      <c r="P102" s="23" t="s">
        <v>26</v>
      </c>
      <c r="Q102" s="23" t="s">
        <v>27</v>
      </c>
      <c r="R102" s="23" t="s">
        <v>28</v>
      </c>
    </row>
    <row r="103" spans="13:21" x14ac:dyDescent="0.3">
      <c r="M103" s="1" t="s">
        <v>29</v>
      </c>
      <c r="N103" s="1">
        <v>3</v>
      </c>
      <c r="O103" s="1">
        <v>189084766958246.91</v>
      </c>
      <c r="P103" s="1">
        <v>63028255652748.969</v>
      </c>
      <c r="Q103" s="1">
        <v>732.15427657585599</v>
      </c>
      <c r="R103" s="1">
        <v>1.3186353401216472E-20</v>
      </c>
    </row>
    <row r="104" spans="13:21" x14ac:dyDescent="0.3">
      <c r="M104" s="1" t="s">
        <v>30</v>
      </c>
      <c r="N104" s="1">
        <v>21</v>
      </c>
      <c r="O104" s="1">
        <v>1807806648207.9688</v>
      </c>
      <c r="P104" s="1">
        <v>86086030867.046127</v>
      </c>
    </row>
    <row r="105" spans="13:21" ht="13.5" thickBot="1" x14ac:dyDescent="0.35">
      <c r="M105" s="22" t="s">
        <v>31</v>
      </c>
      <c r="N105" s="22">
        <v>24</v>
      </c>
      <c r="O105" s="22">
        <v>190892573606454.88</v>
      </c>
      <c r="P105" s="22"/>
      <c r="Q105" s="22"/>
      <c r="R105" s="22"/>
    </row>
    <row r="106" spans="13:21" ht="13.5" thickBot="1" x14ac:dyDescent="0.35"/>
    <row r="107" spans="13:21" x14ac:dyDescent="0.3">
      <c r="M107" s="23"/>
      <c r="N107" s="23" t="s">
        <v>32</v>
      </c>
      <c r="O107" s="23" t="s">
        <v>21</v>
      </c>
      <c r="P107" s="23" t="s">
        <v>33</v>
      </c>
      <c r="Q107" s="23" t="s">
        <v>34</v>
      </c>
      <c r="R107" s="23" t="s">
        <v>35</v>
      </c>
      <c r="S107" s="23" t="s">
        <v>36</v>
      </c>
      <c r="T107" s="23" t="s">
        <v>37</v>
      </c>
      <c r="U107" s="23" t="s">
        <v>38</v>
      </c>
    </row>
    <row r="108" spans="13:21" x14ac:dyDescent="0.3">
      <c r="M108" s="1" t="s">
        <v>39</v>
      </c>
      <c r="N108" s="1">
        <v>0</v>
      </c>
      <c r="O108" s="1" t="e">
        <v>#N/A</v>
      </c>
      <c r="P108" s="1" t="e">
        <v>#N/A</v>
      </c>
      <c r="Q108" s="1" t="e">
        <v>#N/A</v>
      </c>
      <c r="R108" s="1" t="e">
        <v>#N/A</v>
      </c>
      <c r="S108" s="1" t="e">
        <v>#N/A</v>
      </c>
      <c r="T108" s="1" t="e">
        <v>#N/A</v>
      </c>
      <c r="U108" s="1" t="e">
        <v>#N/A</v>
      </c>
    </row>
    <row r="109" spans="13:21" x14ac:dyDescent="0.3">
      <c r="M109" s="1" t="s">
        <v>12</v>
      </c>
      <c r="N109" s="1">
        <v>8495476.9024833236</v>
      </c>
      <c r="O109" s="1">
        <v>329159.39650460531</v>
      </c>
      <c r="P109" s="1">
        <v>25.809613800177395</v>
      </c>
      <c r="Q109" s="1">
        <v>2.1685117530803603E-17</v>
      </c>
      <c r="R109" s="1">
        <v>7810952.4643901382</v>
      </c>
      <c r="S109" s="1">
        <v>9180001.340576509</v>
      </c>
      <c r="T109" s="1">
        <v>7810952.4643901382</v>
      </c>
      <c r="U109" s="1">
        <v>9180001.340576509</v>
      </c>
    </row>
    <row r="110" spans="13:21" x14ac:dyDescent="0.3">
      <c r="M110" s="1" t="s">
        <v>13</v>
      </c>
      <c r="N110" s="1">
        <v>0</v>
      </c>
      <c r="O110" s="1">
        <v>0</v>
      </c>
      <c r="P110" s="1">
        <v>65535</v>
      </c>
      <c r="Q110" s="1" t="e">
        <v>#NUM!</v>
      </c>
      <c r="R110" s="1">
        <v>0</v>
      </c>
      <c r="S110" s="1">
        <v>0</v>
      </c>
      <c r="T110" s="1">
        <v>0</v>
      </c>
      <c r="U110" s="1">
        <v>0</v>
      </c>
    </row>
    <row r="111" spans="13:21" ht="13.5" thickBot="1" x14ac:dyDescent="0.35">
      <c r="M111" s="22" t="s">
        <v>14</v>
      </c>
      <c r="N111" s="22">
        <v>8622842.2019864656</v>
      </c>
      <c r="O111" s="22">
        <v>638639.04163625184</v>
      </c>
      <c r="P111" s="22">
        <v>13.501902702180487</v>
      </c>
      <c r="Q111" s="22" t="e">
        <v>#NUM!</v>
      </c>
      <c r="R111" s="22">
        <v>7294719.6092160987</v>
      </c>
      <c r="S111" s="22">
        <v>9950964.7947568316</v>
      </c>
      <c r="T111" s="22">
        <v>7294719.6092160987</v>
      </c>
      <c r="U111" s="22">
        <v>9950964.7947568316</v>
      </c>
    </row>
  </sheetData>
  <mergeCells count="4">
    <mergeCell ref="C1:E1"/>
    <mergeCell ref="F1:H1"/>
    <mergeCell ref="W46:W48"/>
    <mergeCell ref="W51:W5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7"/>
  <sheetViews>
    <sheetView zoomScale="70" zoomScaleNormal="70" workbookViewId="0">
      <selection activeCell="G21" sqref="G21"/>
    </sheetView>
  </sheetViews>
  <sheetFormatPr defaultColWidth="9.1796875" defaultRowHeight="13" x14ac:dyDescent="0.3"/>
  <cols>
    <col min="1" max="1" width="20.7265625" style="1" customWidth="1"/>
    <col min="2" max="2" width="12" style="1" bestFit="1" customWidth="1"/>
    <col min="3" max="3" width="14.90625" style="1" customWidth="1"/>
    <col min="4" max="4" width="14" style="1" customWidth="1"/>
    <col min="5" max="5" width="12" style="1" bestFit="1" customWidth="1"/>
    <col min="6" max="6" width="11.1796875" style="1" bestFit="1" customWidth="1"/>
    <col min="7" max="7" width="13.54296875" style="1" bestFit="1" customWidth="1"/>
    <col min="8" max="8" width="11.453125" style="1" bestFit="1" customWidth="1"/>
    <col min="9" max="9" width="9.1796875" style="1"/>
    <col min="10" max="10" width="28.36328125" style="1" bestFit="1" customWidth="1"/>
    <col min="11" max="11" width="15.90625" style="1" bestFit="1" customWidth="1"/>
    <col min="12" max="13" width="10.7265625" style="1" bestFit="1" customWidth="1"/>
    <col min="14" max="14" width="12.1796875" style="1" bestFit="1" customWidth="1"/>
    <col min="15" max="18" width="28.81640625" style="1" bestFit="1" customWidth="1"/>
    <col min="19" max="19" width="23.08984375" style="1" bestFit="1" customWidth="1"/>
    <col min="20" max="20" width="33.6328125" style="1" bestFit="1" customWidth="1"/>
    <col min="21" max="22" width="18.90625" style="1" bestFit="1" customWidth="1"/>
    <col min="23" max="16384" width="9.1796875" style="1"/>
  </cols>
  <sheetData>
    <row r="1" spans="1:22" ht="13.5" thickBot="1" x14ac:dyDescent="0.35">
      <c r="A1" s="161" t="s">
        <v>41</v>
      </c>
      <c r="B1" s="162"/>
      <c r="C1" s="162"/>
      <c r="D1" s="162"/>
      <c r="E1" s="162"/>
      <c r="F1" s="162"/>
      <c r="G1" s="163"/>
    </row>
    <row r="2" spans="1:22" ht="13.5" thickBot="1" x14ac:dyDescent="0.35">
      <c r="A2" s="33" t="s">
        <v>45</v>
      </c>
      <c r="B2" s="34" t="s">
        <v>40</v>
      </c>
      <c r="C2" s="35" t="s">
        <v>46</v>
      </c>
      <c r="D2" s="35" t="s">
        <v>42</v>
      </c>
      <c r="E2" s="36" t="s">
        <v>43</v>
      </c>
      <c r="F2" s="35" t="s">
        <v>44</v>
      </c>
      <c r="G2" s="35" t="s">
        <v>47</v>
      </c>
      <c r="I2" s="1" t="s">
        <v>53</v>
      </c>
      <c r="K2" s="1">
        <v>85413.075081265823</v>
      </c>
    </row>
    <row r="3" spans="1:22" x14ac:dyDescent="0.3">
      <c r="A3" s="37" t="s">
        <v>48</v>
      </c>
      <c r="B3" s="49">
        <f>'Media Practice - duration'!AE46</f>
        <v>235.85330837902598</v>
      </c>
      <c r="C3" s="50">
        <f>K8</f>
        <v>2649178435</v>
      </c>
      <c r="D3" s="50">
        <f>K15</f>
        <v>13021991.090269998</v>
      </c>
      <c r="E3" s="113">
        <f>IFERROR(D3/C3,0)*1000</f>
        <v>4.9154828222320166</v>
      </c>
      <c r="F3" s="123">
        <f>IFERROR((B3/C3*10^6),0)</f>
        <v>8.902884957200928E-2</v>
      </c>
      <c r="G3" s="131">
        <f>(B3*$K$2)/D3</f>
        <v>1.5469950944594759</v>
      </c>
      <c r="H3" s="119"/>
    </row>
    <row r="4" spans="1:22" x14ac:dyDescent="0.3">
      <c r="A4" s="38" t="s">
        <v>49</v>
      </c>
      <c r="B4" s="52">
        <f>'Media Practice - duration'!AF46</f>
        <v>0</v>
      </c>
      <c r="C4" s="47">
        <f t="shared" ref="C4:C5" si="0">K9</f>
        <v>0</v>
      </c>
      <c r="D4" s="47">
        <f t="shared" ref="D4:D5" si="1">K16</f>
        <v>2399441.9626299958</v>
      </c>
      <c r="E4" s="114">
        <f t="shared" ref="E4:E5" si="2">IFERROR(D4/C4,0)*1000</f>
        <v>0</v>
      </c>
      <c r="F4" s="124">
        <f t="shared" ref="F4:F5" si="3">IFERROR((B4/C4*10^6),0)</f>
        <v>0</v>
      </c>
      <c r="G4" s="132">
        <f t="shared" ref="G4:G5" si="4">(B4*$K$2)/D4</f>
        <v>0</v>
      </c>
      <c r="H4" s="119"/>
    </row>
    <row r="5" spans="1:22" ht="13.5" thickBot="1" x14ac:dyDescent="0.35">
      <c r="A5" s="40" t="s">
        <v>50</v>
      </c>
      <c r="B5" s="53">
        <f>'Media Practice - duration'!AG46</f>
        <v>0</v>
      </c>
      <c r="C5" s="54">
        <f t="shared" si="0"/>
        <v>0</v>
      </c>
      <c r="D5" s="54">
        <f t="shared" si="1"/>
        <v>36443.919994999982</v>
      </c>
      <c r="E5" s="115">
        <f t="shared" si="2"/>
        <v>0</v>
      </c>
      <c r="F5" s="125">
        <f t="shared" si="3"/>
        <v>0</v>
      </c>
      <c r="G5" s="133">
        <f t="shared" si="4"/>
        <v>0</v>
      </c>
      <c r="H5" s="119"/>
      <c r="J5" s="91"/>
      <c r="K5" s="91"/>
      <c r="L5" s="91"/>
      <c r="M5" s="91"/>
    </row>
    <row r="6" spans="1:22" ht="15" thickBot="1" x14ac:dyDescent="0.4">
      <c r="J6"/>
      <c r="K6" s="110" t="s">
        <v>67</v>
      </c>
      <c r="L6"/>
      <c r="M6"/>
      <c r="N6"/>
      <c r="O6"/>
      <c r="P6"/>
      <c r="Q6"/>
      <c r="R6"/>
      <c r="S6"/>
      <c r="T6"/>
      <c r="U6"/>
      <c r="V6"/>
    </row>
    <row r="7" spans="1:22" ht="15" thickBot="1" x14ac:dyDescent="0.4">
      <c r="A7" s="161" t="s">
        <v>54</v>
      </c>
      <c r="B7" s="162"/>
      <c r="C7" s="162"/>
      <c r="D7" s="162"/>
      <c r="E7" s="162"/>
      <c r="F7" s="162"/>
      <c r="G7" s="163"/>
      <c r="J7" s="110" t="s">
        <v>68</v>
      </c>
      <c r="K7" t="s">
        <v>61</v>
      </c>
      <c r="L7" t="s">
        <v>62</v>
      </c>
      <c r="M7" t="s">
        <v>63</v>
      </c>
      <c r="N7" t="s">
        <v>60</v>
      </c>
      <c r="O7"/>
      <c r="P7"/>
      <c r="Q7"/>
      <c r="R7"/>
      <c r="S7"/>
      <c r="T7"/>
      <c r="U7"/>
      <c r="V7"/>
    </row>
    <row r="8" spans="1:22" ht="15" thickBot="1" x14ac:dyDescent="0.4">
      <c r="A8" s="33" t="s">
        <v>45</v>
      </c>
      <c r="B8" s="34" t="s">
        <v>40</v>
      </c>
      <c r="C8" s="35" t="s">
        <v>46</v>
      </c>
      <c r="D8" s="35" t="s">
        <v>42</v>
      </c>
      <c r="E8" s="35" t="s">
        <v>43</v>
      </c>
      <c r="F8" s="35" t="s">
        <v>44</v>
      </c>
      <c r="G8" s="35" t="s">
        <v>47</v>
      </c>
      <c r="J8" s="111" t="s">
        <v>64</v>
      </c>
      <c r="K8" s="112">
        <v>2649178435</v>
      </c>
      <c r="L8" s="112">
        <v>442458030</v>
      </c>
      <c r="M8" s="112">
        <v>4527397</v>
      </c>
      <c r="N8" s="112">
        <v>3096163862</v>
      </c>
      <c r="O8"/>
      <c r="P8"/>
      <c r="Q8"/>
      <c r="R8"/>
      <c r="S8"/>
      <c r="T8"/>
      <c r="U8"/>
      <c r="V8"/>
    </row>
    <row r="9" spans="1:22" ht="14.5" x14ac:dyDescent="0.35">
      <c r="A9" s="37" t="s">
        <v>48</v>
      </c>
      <c r="B9" s="49">
        <f>'Media Practice - duration'!AE47</f>
        <v>82.574601211231652</v>
      </c>
      <c r="C9" s="50">
        <f>L8</f>
        <v>442458030</v>
      </c>
      <c r="D9" s="50">
        <f>L15</f>
        <v>0</v>
      </c>
      <c r="E9" s="116">
        <f>IFERROR(D9/C9,0)*1000</f>
        <v>0</v>
      </c>
      <c r="F9" s="122">
        <f>IFERROR((B9/C9*10^6),0)</f>
        <v>0.186626969367539</v>
      </c>
      <c r="G9" s="126" t="e">
        <f>(B9*$K$2)/D9</f>
        <v>#DIV/0!</v>
      </c>
      <c r="H9" s="119"/>
      <c r="J9" s="111" t="s">
        <v>65</v>
      </c>
      <c r="K9" s="112"/>
      <c r="L9" s="112">
        <v>382993790</v>
      </c>
      <c r="M9" s="112">
        <v>383207658</v>
      </c>
      <c r="N9" s="112">
        <v>766201448</v>
      </c>
      <c r="O9"/>
      <c r="P9"/>
      <c r="Q9"/>
      <c r="R9"/>
      <c r="S9"/>
      <c r="T9"/>
      <c r="U9"/>
      <c r="V9"/>
    </row>
    <row r="10" spans="1:22" ht="14.5" x14ac:dyDescent="0.35">
      <c r="A10" s="38" t="s">
        <v>49</v>
      </c>
      <c r="B10" s="52">
        <f>'Media Practice - duration'!AF47</f>
        <v>25.119894384824953</v>
      </c>
      <c r="C10" s="47">
        <f t="shared" ref="C10:C11" si="5">L9</f>
        <v>382993790</v>
      </c>
      <c r="D10" s="47">
        <f t="shared" ref="D10:D11" si="6">L16</f>
        <v>6368577.470041994</v>
      </c>
      <c r="E10" s="117">
        <f t="shared" ref="E10:E11" si="7">IFERROR(D10/C10,0)*1000</f>
        <v>16.628409223141695</v>
      </c>
      <c r="F10" s="127">
        <f t="shared" ref="F10:F11" si="8">IFERROR((B10/C10*10^6),0)</f>
        <v>6.5588255059762068E-2</v>
      </c>
      <c r="G10" s="128">
        <f t="shared" ref="G10:G11" si="9">(B10*$K$2)/D10</f>
        <v>0.33689900691596258</v>
      </c>
      <c r="H10" s="119"/>
      <c r="J10" s="111" t="s">
        <v>66</v>
      </c>
      <c r="K10" s="112"/>
      <c r="L10" s="112">
        <v>838725971</v>
      </c>
      <c r="M10" s="112">
        <v>687955160</v>
      </c>
      <c r="N10" s="112">
        <v>1526681131</v>
      </c>
      <c r="O10"/>
      <c r="P10"/>
      <c r="Q10"/>
      <c r="R10"/>
      <c r="S10"/>
      <c r="T10"/>
      <c r="U10"/>
      <c r="V10"/>
    </row>
    <row r="11" spans="1:22" ht="15" thickBot="1" x14ac:dyDescent="0.4">
      <c r="A11" s="40" t="s">
        <v>50</v>
      </c>
      <c r="B11" s="53">
        <f>'Media Practice - duration'!AG47</f>
        <v>126.5664497164807</v>
      </c>
      <c r="C11" s="54">
        <f t="shared" si="5"/>
        <v>838725971</v>
      </c>
      <c r="D11" s="54">
        <f t="shared" si="6"/>
        <v>5697682.1904709982</v>
      </c>
      <c r="E11" s="118">
        <f t="shared" si="7"/>
        <v>6.7932583316547834</v>
      </c>
      <c r="F11" s="129">
        <f t="shared" si="8"/>
        <v>0.15090321999398384</v>
      </c>
      <c r="G11" s="130">
        <f t="shared" si="9"/>
        <v>1.8973381299649814</v>
      </c>
      <c r="H11" s="119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" thickBot="1" x14ac:dyDescent="0.4">
      <c r="A12" s="71"/>
      <c r="B12" s="39"/>
      <c r="C12" s="39"/>
      <c r="D12" s="39"/>
      <c r="E12" s="67"/>
      <c r="F12" s="39"/>
      <c r="G12" s="39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" thickBot="1" x14ac:dyDescent="0.4">
      <c r="A13" s="161" t="s">
        <v>55</v>
      </c>
      <c r="B13" s="162"/>
      <c r="C13" s="162"/>
      <c r="D13" s="162"/>
      <c r="E13" s="162"/>
      <c r="F13" s="162"/>
      <c r="G13" s="163"/>
      <c r="J13" s="120" t="s">
        <v>69</v>
      </c>
      <c r="K13" s="120"/>
      <c r="L13" s="120"/>
      <c r="M13" s="120"/>
      <c r="N13" s="120"/>
      <c r="O13"/>
      <c r="P13"/>
      <c r="Q13"/>
      <c r="R13"/>
      <c r="S13"/>
      <c r="T13"/>
      <c r="U13"/>
      <c r="V13"/>
    </row>
    <row r="14" spans="1:22" ht="15" thickBot="1" x14ac:dyDescent="0.4">
      <c r="A14" s="33" t="s">
        <v>45</v>
      </c>
      <c r="B14" s="34" t="s">
        <v>40</v>
      </c>
      <c r="C14" s="35" t="s">
        <v>46</v>
      </c>
      <c r="D14" s="35" t="s">
        <v>42</v>
      </c>
      <c r="E14" s="35" t="s">
        <v>43</v>
      </c>
      <c r="F14" s="35" t="s">
        <v>44</v>
      </c>
      <c r="G14" s="35" t="s">
        <v>47</v>
      </c>
      <c r="J14" s="148" t="s">
        <v>74</v>
      </c>
      <c r="K14" s="146">
        <v>0</v>
      </c>
      <c r="L14" s="146">
        <v>1</v>
      </c>
      <c r="M14" s="146">
        <v>2</v>
      </c>
      <c r="N14" s="146" t="s">
        <v>60</v>
      </c>
      <c r="O14"/>
      <c r="P14"/>
      <c r="Q14"/>
      <c r="R14"/>
      <c r="S14"/>
      <c r="T14"/>
      <c r="U14"/>
      <c r="V14"/>
    </row>
    <row r="15" spans="1:22" ht="14.5" x14ac:dyDescent="0.35">
      <c r="A15" s="37" t="s">
        <v>48</v>
      </c>
      <c r="B15" s="49">
        <f>'Media Practice - duration'!AE48</f>
        <v>4.7509424122752419E-3</v>
      </c>
      <c r="C15" s="50">
        <f>M8</f>
        <v>4527397</v>
      </c>
      <c r="D15" s="50">
        <f>M15</f>
        <v>0</v>
      </c>
      <c r="E15" s="51">
        <f>IFERROR(D15/C15,0)*1000</f>
        <v>0</v>
      </c>
      <c r="F15" s="122">
        <f>IFERROR((B15/C15*10^6),0)</f>
        <v>1.0493761453380921E-3</v>
      </c>
      <c r="G15" s="126" t="e">
        <f>(B15*$K$2)/D15</f>
        <v>#DIV/0!</v>
      </c>
      <c r="H15" s="119"/>
      <c r="J15" s="149">
        <v>2019</v>
      </c>
      <c r="K15" s="147">
        <v>13021991.090269998</v>
      </c>
      <c r="L15" s="147"/>
      <c r="M15" s="147"/>
      <c r="N15" s="147">
        <v>13021991.090269998</v>
      </c>
      <c r="O15"/>
      <c r="P15"/>
      <c r="Q15"/>
      <c r="R15"/>
      <c r="S15"/>
      <c r="T15"/>
      <c r="U15"/>
      <c r="V15"/>
    </row>
    <row r="16" spans="1:22" ht="14.5" x14ac:dyDescent="0.35">
      <c r="A16" s="38" t="s">
        <v>49</v>
      </c>
      <c r="B16" s="52">
        <f>'Media Practice - duration'!AF48</f>
        <v>22.446491374185957</v>
      </c>
      <c r="C16" s="47">
        <f t="shared" ref="C16:C17" si="10">M9</f>
        <v>383207658</v>
      </c>
      <c r="D16" s="47">
        <f t="shared" ref="D16:D17" si="11">M16</f>
        <v>7726715.9400249571</v>
      </c>
      <c r="E16" s="48">
        <f t="shared" ref="E16:E17" si="12">IFERROR(D16/C16,0)*1000</f>
        <v>20.163260777071834</v>
      </c>
      <c r="F16" s="127">
        <f t="shared" ref="F16:F17" si="13">IFERROR((B16/C16*10^6),0)</f>
        <v>5.8575268279701123E-2</v>
      </c>
      <c r="G16" s="128">
        <f t="shared" ref="G16:G17" si="14">(B16*$K$2)/D16</f>
        <v>0.24812920106496605</v>
      </c>
      <c r="H16" s="119"/>
      <c r="J16" s="149">
        <v>2020</v>
      </c>
      <c r="K16" s="147">
        <v>2399441.9626299958</v>
      </c>
      <c r="L16" s="147">
        <v>6368577.470041994</v>
      </c>
      <c r="M16" s="147">
        <v>7726715.9400249571</v>
      </c>
      <c r="N16" s="147">
        <v>16494735.372696947</v>
      </c>
      <c r="O16"/>
      <c r="P16"/>
      <c r="Q16"/>
      <c r="R16"/>
      <c r="S16"/>
      <c r="T16"/>
      <c r="U16"/>
      <c r="V16"/>
    </row>
    <row r="17" spans="1:22" ht="15" thickBot="1" x14ac:dyDescent="0.4">
      <c r="A17" s="40" t="s">
        <v>50</v>
      </c>
      <c r="B17" s="53">
        <f>'Media Practice - duration'!AG48</f>
        <v>93.492209796474611</v>
      </c>
      <c r="C17" s="54">
        <f t="shared" si="10"/>
        <v>687955160</v>
      </c>
      <c r="D17" s="54">
        <f t="shared" si="11"/>
        <v>6295814.8412249712</v>
      </c>
      <c r="E17" s="55">
        <f t="shared" si="12"/>
        <v>9.1514901076183097</v>
      </c>
      <c r="F17" s="129">
        <f t="shared" si="13"/>
        <v>0.1358986969390194</v>
      </c>
      <c r="G17" s="130">
        <f t="shared" si="14"/>
        <v>1.2683754742231299</v>
      </c>
      <c r="H17" s="119"/>
      <c r="J17" s="149">
        <v>2021</v>
      </c>
      <c r="K17" s="147">
        <v>36443.919994999982</v>
      </c>
      <c r="L17" s="147">
        <v>5697682.1904709982</v>
      </c>
      <c r="M17" s="147">
        <v>6295814.8412249712</v>
      </c>
      <c r="N17" s="147">
        <v>12029940.951690968</v>
      </c>
      <c r="O17"/>
      <c r="P17"/>
      <c r="Q17"/>
      <c r="R17"/>
      <c r="S17"/>
      <c r="T17"/>
      <c r="U17"/>
      <c r="V17"/>
    </row>
    <row r="18" spans="1:22" ht="15" thickBot="1" x14ac:dyDescent="0.4">
      <c r="A18" s="46"/>
      <c r="B18" s="72"/>
      <c r="C18" s="72"/>
      <c r="D18" s="72"/>
      <c r="E18" s="27"/>
      <c r="F18" s="72"/>
      <c r="G18" s="73"/>
      <c r="J18" s="150" t="s">
        <v>60</v>
      </c>
      <c r="K18" s="151">
        <v>15457876.972894995</v>
      </c>
      <c r="L18" s="151">
        <v>12066259.660512991</v>
      </c>
      <c r="M18" s="151">
        <v>14022530.781249929</v>
      </c>
      <c r="N18" s="151">
        <v>41546667.414657913</v>
      </c>
      <c r="O18"/>
      <c r="P18"/>
      <c r="Q18"/>
      <c r="R18"/>
      <c r="S18"/>
      <c r="T18"/>
      <c r="U18"/>
      <c r="V18"/>
    </row>
    <row r="19" spans="1:22" ht="15" thickBot="1" x14ac:dyDescent="0.4">
      <c r="A19" s="161" t="s">
        <v>31</v>
      </c>
      <c r="B19" s="162"/>
      <c r="C19" s="162"/>
      <c r="D19" s="162"/>
      <c r="E19" s="162"/>
      <c r="F19" s="162"/>
      <c r="G19" s="163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" thickBot="1" x14ac:dyDescent="0.4">
      <c r="A20" s="33" t="s">
        <v>51</v>
      </c>
      <c r="B20" s="34" t="s">
        <v>40</v>
      </c>
      <c r="C20" s="35" t="s">
        <v>46</v>
      </c>
      <c r="D20" s="35" t="s">
        <v>42</v>
      </c>
      <c r="E20" s="35" t="s">
        <v>43</v>
      </c>
      <c r="F20" s="35" t="s">
        <v>44</v>
      </c>
      <c r="G20" s="35" t="s">
        <v>47</v>
      </c>
      <c r="J20" s="145" t="s">
        <v>73</v>
      </c>
      <c r="K20"/>
      <c r="L20"/>
      <c r="M20"/>
      <c r="N20"/>
      <c r="O20"/>
      <c r="P20"/>
      <c r="Q20"/>
      <c r="R20"/>
      <c r="S20"/>
      <c r="T20"/>
      <c r="U20"/>
      <c r="V20"/>
    </row>
    <row r="21" spans="1:22" ht="14.5" x14ac:dyDescent="0.35">
      <c r="A21" s="44" t="s">
        <v>48</v>
      </c>
      <c r="B21" s="49">
        <f>B3+B9+B15</f>
        <v>318.4326605326699</v>
      </c>
      <c r="C21" s="50">
        <f>N8</f>
        <v>3096163862</v>
      </c>
      <c r="D21" s="50">
        <f>SUM(D3,D9,D15)</f>
        <v>13021991.090269998</v>
      </c>
      <c r="E21" s="51">
        <f>IFERROR(D21/C21,0)*1000</f>
        <v>4.2058468707332253</v>
      </c>
      <c r="F21" s="123">
        <f>IFERROR((B21/C21*10^6),0)</f>
        <v>0.10284748311963532</v>
      </c>
      <c r="G21" s="126">
        <f>(B21*$K$2)/D21</f>
        <v>2.0886447052422485</v>
      </c>
      <c r="H21" s="119"/>
      <c r="J21" s="140">
        <f>D21/$E$23</f>
        <v>1652579.0247350188</v>
      </c>
      <c r="K21" s="144">
        <f>J21*$F$23</f>
        <v>238205.8162232014</v>
      </c>
      <c r="L21" s="144">
        <f>K21/1000</f>
        <v>238.2058162232014</v>
      </c>
      <c r="P21"/>
      <c r="Q21"/>
      <c r="R21"/>
      <c r="S21"/>
      <c r="T21"/>
      <c r="U21"/>
      <c r="V21"/>
    </row>
    <row r="22" spans="1:22" ht="14.5" x14ac:dyDescent="0.35">
      <c r="A22" s="45" t="s">
        <v>49</v>
      </c>
      <c r="B22" s="52">
        <f t="shared" ref="B22:B23" si="15">B4+B10+B16</f>
        <v>47.566385759010913</v>
      </c>
      <c r="C22" s="47">
        <f t="shared" ref="C22:C23" si="16">N9</f>
        <v>766201448</v>
      </c>
      <c r="D22" s="47">
        <f t="shared" ref="D22:D23" si="17">SUM(D4,D10,D16)</f>
        <v>16494735.372696947</v>
      </c>
      <c r="E22" s="48">
        <f t="shared" ref="E22:E23" si="18">IFERROR(D22/C22,0)*1000</f>
        <v>21.527935526293795</v>
      </c>
      <c r="F22" s="124">
        <f t="shared" ref="F22:F23" si="19">IFERROR((B22/C22*10^6),0)</f>
        <v>6.2080782910515872E-2</v>
      </c>
      <c r="G22" s="128">
        <f t="shared" ref="G22:G23" si="20">(B22*$K$2)/D22</f>
        <v>0.24630836363121186</v>
      </c>
      <c r="H22" s="119"/>
      <c r="J22" s="140">
        <f>D22/$E$23</f>
        <v>2093293.8370570298</v>
      </c>
      <c r="K22" s="144">
        <f t="shared" ref="K22:K23" si="21">J22*$F$23</f>
        <v>301731.26948111906</v>
      </c>
      <c r="L22" s="144">
        <f>K22/1000</f>
        <v>301.73126948111906</v>
      </c>
    </row>
    <row r="23" spans="1:22" ht="15" thickBot="1" x14ac:dyDescent="0.4">
      <c r="A23" s="46" t="s">
        <v>50</v>
      </c>
      <c r="B23" s="53">
        <f t="shared" si="15"/>
        <v>220.05865951295533</v>
      </c>
      <c r="C23" s="54">
        <f t="shared" si="16"/>
        <v>1526681131</v>
      </c>
      <c r="D23" s="54">
        <f t="shared" si="17"/>
        <v>12029940.951690968</v>
      </c>
      <c r="E23" s="55">
        <f t="shared" si="18"/>
        <v>7.8797993290263353</v>
      </c>
      <c r="F23" s="125">
        <f t="shared" si="19"/>
        <v>0.14414186108975713</v>
      </c>
      <c r="G23" s="130">
        <f t="shared" si="20"/>
        <v>1.5624255250081467</v>
      </c>
      <c r="H23" s="119"/>
      <c r="J23" s="140">
        <f>D23/$E$23</f>
        <v>1526681.1310000003</v>
      </c>
      <c r="K23" s="144">
        <f t="shared" si="21"/>
        <v>220058.65951295535</v>
      </c>
      <c r="L23" s="144">
        <f>K23/1000</f>
        <v>220.05865951295536</v>
      </c>
    </row>
    <row r="24" spans="1:22" ht="14.5" x14ac:dyDescent="0.35">
      <c r="A24" s="42"/>
      <c r="B24" s="39"/>
      <c r="C24" s="39"/>
      <c r="D24" s="39"/>
      <c r="E24" s="17"/>
      <c r="F24" s="41"/>
      <c r="G24" s="17"/>
      <c r="J24" s="121"/>
      <c r="K24" s="5"/>
      <c r="L24" s="5"/>
    </row>
    <row r="25" spans="1:22" ht="14.5" x14ac:dyDescent="0.35">
      <c r="A25" s="43" t="s">
        <v>52</v>
      </c>
      <c r="B25" s="13"/>
      <c r="C25" s="13"/>
      <c r="D25" s="13"/>
      <c r="E25" s="13"/>
      <c r="F25" s="13"/>
      <c r="G25" s="13"/>
      <c r="J25"/>
      <c r="K25" s="141">
        <f>SUM(B21:B23)</f>
        <v>586.05770580463616</v>
      </c>
      <c r="L25" s="144">
        <f>SUM(L21:L23)</f>
        <v>759.99574521727584</v>
      </c>
      <c r="M25" s="142">
        <f>L25/K25-1</f>
        <v>0.29679336640378962</v>
      </c>
    </row>
    <row r="26" spans="1:22" ht="14.5" x14ac:dyDescent="0.35">
      <c r="J26"/>
    </row>
    <row r="27" spans="1:22" ht="14.5" x14ac:dyDescent="0.35">
      <c r="D27" s="142"/>
      <c r="J27"/>
    </row>
    <row r="28" spans="1:22" ht="14.5" x14ac:dyDescent="0.35">
      <c r="J28"/>
    </row>
    <row r="29" spans="1:22" ht="14.5" x14ac:dyDescent="0.35">
      <c r="J29"/>
    </row>
    <row r="30" spans="1:22" ht="14.5" x14ac:dyDescent="0.35">
      <c r="J30"/>
    </row>
    <row r="31" spans="1:22" ht="14.5" x14ac:dyDescent="0.35">
      <c r="J31"/>
    </row>
    <row r="32" spans="1:22" ht="14.5" x14ac:dyDescent="0.35">
      <c r="J32"/>
    </row>
    <row r="33" spans="10:10" ht="14.5" x14ac:dyDescent="0.35">
      <c r="J33"/>
    </row>
    <row r="34" spans="10:10" ht="14.5" x14ac:dyDescent="0.35">
      <c r="J34"/>
    </row>
    <row r="35" spans="10:10" ht="14.5" x14ac:dyDescent="0.35">
      <c r="J35"/>
    </row>
    <row r="36" spans="10:10" ht="14.5" x14ac:dyDescent="0.35">
      <c r="J36"/>
    </row>
    <row r="37" spans="10:10" ht="14.5" x14ac:dyDescent="0.35">
      <c r="J37"/>
    </row>
    <row r="38" spans="10:10" ht="14.5" x14ac:dyDescent="0.35">
      <c r="J38"/>
    </row>
    <row r="39" spans="10:10" ht="14.5" x14ac:dyDescent="0.35">
      <c r="J39"/>
    </row>
    <row r="40" spans="10:10" ht="14.5" x14ac:dyDescent="0.35">
      <c r="J40"/>
    </row>
    <row r="41" spans="10:10" ht="14.5" x14ac:dyDescent="0.35">
      <c r="J41"/>
    </row>
    <row r="42" spans="10:10" ht="14.5" x14ac:dyDescent="0.35">
      <c r="J42"/>
    </row>
    <row r="43" spans="10:10" ht="14.5" x14ac:dyDescent="0.35">
      <c r="J43"/>
    </row>
    <row r="44" spans="10:10" ht="14.5" x14ac:dyDescent="0.35">
      <c r="J44"/>
    </row>
    <row r="45" spans="10:10" ht="14.5" x14ac:dyDescent="0.35">
      <c r="J45"/>
    </row>
    <row r="46" spans="10:10" ht="14.5" x14ac:dyDescent="0.35">
      <c r="J46"/>
    </row>
    <row r="47" spans="10:10" ht="14.5" x14ac:dyDescent="0.35">
      <c r="J47"/>
    </row>
    <row r="48" spans="10:10" ht="14.5" x14ac:dyDescent="0.35">
      <c r="J48"/>
    </row>
    <row r="49" spans="10:10" ht="14.5" x14ac:dyDescent="0.35">
      <c r="J49"/>
    </row>
    <row r="50" spans="10:10" ht="14.5" x14ac:dyDescent="0.35">
      <c r="J50"/>
    </row>
    <row r="51" spans="10:10" ht="14.5" x14ac:dyDescent="0.35">
      <c r="J51"/>
    </row>
    <row r="52" spans="10:10" ht="14.5" x14ac:dyDescent="0.35">
      <c r="J52"/>
    </row>
    <row r="53" spans="10:10" ht="14.5" x14ac:dyDescent="0.35">
      <c r="J53"/>
    </row>
    <row r="54" spans="10:10" ht="14.5" x14ac:dyDescent="0.35">
      <c r="J54"/>
    </row>
    <row r="55" spans="10:10" ht="14.5" x14ac:dyDescent="0.35">
      <c r="J55"/>
    </row>
    <row r="56" spans="10:10" ht="14.5" x14ac:dyDescent="0.35">
      <c r="J56"/>
    </row>
    <row r="57" spans="10:10" ht="14.5" x14ac:dyDescent="0.35">
      <c r="J57"/>
    </row>
  </sheetData>
  <mergeCells count="4">
    <mergeCell ref="A1:G1"/>
    <mergeCell ref="A7:G7"/>
    <mergeCell ref="A19:G19"/>
    <mergeCell ref="A13:G13"/>
  </mergeCells>
  <pageMargins left="0.7" right="0.7" top="0.75" bottom="0.75" header="0.3" footer="0.3"/>
  <pageSetup paperSize="9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 Practice - duration</vt:lpstr>
      <vt:lpstr>Media Practice - duration - 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jimitshah</dc:creator>
  <cp:lastModifiedBy>naveenchattwani</cp:lastModifiedBy>
  <dcterms:created xsi:type="dcterms:W3CDTF">2021-12-07T09:06:38Z</dcterms:created>
  <dcterms:modified xsi:type="dcterms:W3CDTF">2022-03-17T10:01:05Z</dcterms:modified>
</cp:coreProperties>
</file>