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yaBhat\Desktop\"/>
    </mc:Choice>
  </mc:AlternateContent>
  <xr:revisionPtr revIDLastSave="0" documentId="13_ncr:1_{7BC073D1-A09F-4AD9-912E-20D400F2C2AD}" xr6:coauthVersionLast="47" xr6:coauthVersionMax="47" xr10:uidLastSave="{00000000-0000-0000-0000-000000000000}"/>
  <bookViews>
    <workbookView xWindow="-120" yWindow="-120" windowWidth="20730" windowHeight="11160" xr2:uid="{9C632F41-B014-4297-87EF-83EEBA2A070E}"/>
  </bookViews>
  <sheets>
    <sheet name="Sheet1" sheetId="1" r:id="rId1"/>
    <sheet name="Sheet2" sheetId="3" r:id="rId2"/>
    <sheet name="Sheet1 (2)" sheetId="2" state="hidden" r:id="rId3"/>
  </sheets>
  <externalReferences>
    <externalReference r:id="rId4"/>
  </externalReferences>
  <definedNames>
    <definedName name="_xlnm._FilterDatabase" localSheetId="0" hidden="1">Sheet1!$A$6:$AL$15</definedName>
    <definedName name="_xlnm._FilterDatabase" localSheetId="2" hidden="1">'Sheet1 (2)'!$A$6:$AL$15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C32" i="1" l="1"/>
  <c r="B1" i="3"/>
  <c r="Y32" i="1"/>
  <c r="W32" i="1"/>
  <c r="I1" i="3"/>
  <c r="D2" i="3"/>
  <c r="D3" i="3" s="1"/>
  <c r="W8" i="1"/>
  <c r="X8" i="1"/>
  <c r="W9" i="1"/>
  <c r="X9" i="1"/>
  <c r="W10" i="1"/>
  <c r="X10" i="1"/>
  <c r="W11" i="1"/>
  <c r="X11" i="1"/>
  <c r="X7" i="1"/>
  <c r="W7" i="1"/>
  <c r="AJ91" i="1"/>
  <c r="AJ66" i="1"/>
  <c r="AJ65" i="1"/>
  <c r="Y60" i="1"/>
  <c r="Y62" i="1"/>
  <c r="Y41" i="1"/>
  <c r="L39" i="1"/>
  <c r="Y37" i="1"/>
  <c r="Y39" i="1"/>
  <c r="Y38" i="1"/>
  <c r="AC39" i="1"/>
  <c r="Y40" i="1"/>
  <c r="AJ23" i="1"/>
  <c r="AL20" i="1"/>
  <c r="AL19" i="1"/>
  <c r="Y83" i="1"/>
  <c r="X83" i="1"/>
  <c r="U83" i="1"/>
  <c r="X84" i="1"/>
  <c r="X85" i="1"/>
  <c r="X86" i="1"/>
  <c r="X82" i="1"/>
  <c r="W79" i="1"/>
  <c r="X79" i="1"/>
  <c r="W80" i="1"/>
  <c r="X80" i="1"/>
  <c r="W81" i="1"/>
  <c r="X81" i="1"/>
  <c r="W82" i="1"/>
  <c r="W78" i="1"/>
  <c r="X78" i="1"/>
  <c r="G89" i="1"/>
  <c r="H89" i="1"/>
  <c r="I89" i="1"/>
  <c r="G90" i="1"/>
  <c r="H90" i="1"/>
  <c r="I90" i="1"/>
  <c r="G91" i="1"/>
  <c r="H91" i="1"/>
  <c r="I91" i="1"/>
  <c r="G92" i="1"/>
  <c r="H92" i="1"/>
  <c r="I92" i="1"/>
  <c r="I88" i="1"/>
  <c r="H88" i="1"/>
  <c r="G88" i="1"/>
  <c r="I65" i="1" l="1"/>
  <c r="I66" i="1"/>
  <c r="I67" i="1"/>
  <c r="I68" i="1"/>
  <c r="I64" i="1"/>
  <c r="I44" i="1"/>
  <c r="I45" i="1"/>
  <c r="I46" i="1"/>
  <c r="I47" i="1"/>
  <c r="I43" i="1"/>
  <c r="G21" i="1"/>
  <c r="H21" i="1"/>
  <c r="I21" i="1"/>
  <c r="G17" i="1"/>
  <c r="L37" i="1"/>
  <c r="K37" i="1"/>
  <c r="K36" i="1"/>
  <c r="G20" i="1"/>
  <c r="I20" i="1"/>
  <c r="I19" i="1"/>
  <c r="I18" i="1"/>
  <c r="I17" i="1"/>
  <c r="E18" i="1"/>
  <c r="E19" i="1"/>
  <c r="E20" i="1"/>
  <c r="E23" i="1"/>
  <c r="E17" i="1"/>
  <c r="D23" i="1"/>
  <c r="C17" i="1"/>
  <c r="D19" i="1"/>
  <c r="D18" i="1"/>
  <c r="C18" i="1"/>
  <c r="C19" i="1"/>
  <c r="C20" i="1"/>
  <c r="D20" i="1"/>
  <c r="C23" i="1"/>
  <c r="D17" i="1"/>
  <c r="H17" i="1"/>
  <c r="AL78" i="1" l="1"/>
  <c r="AL86" i="1"/>
  <c r="AL79" i="1"/>
  <c r="AL83" i="1"/>
  <c r="AL80" i="1"/>
  <c r="AL85" i="1"/>
  <c r="AL81" i="1"/>
  <c r="AL82" i="1"/>
  <c r="AL84" i="1"/>
  <c r="AL7" i="1"/>
  <c r="AL9" i="1"/>
  <c r="AL11" i="1"/>
  <c r="AL39" i="1"/>
  <c r="AL12" i="1" l="1"/>
  <c r="AL14" i="1"/>
  <c r="AL10" i="1"/>
  <c r="AL36" i="1"/>
  <c r="AL38" i="1"/>
  <c r="AL32" i="1"/>
  <c r="AL34" i="1"/>
  <c r="AL59" i="1"/>
  <c r="AL57" i="1"/>
  <c r="AL58" i="1"/>
  <c r="AL56" i="1"/>
  <c r="AL60" i="1"/>
  <c r="AL62" i="1"/>
  <c r="AL61" i="1"/>
  <c r="AL33" i="1"/>
  <c r="AL41" i="1"/>
  <c r="AL37" i="1"/>
  <c r="AL40" i="1"/>
  <c r="AL35" i="1"/>
  <c r="AL8" i="1"/>
  <c r="AL15" i="1" l="1"/>
  <c r="AL13" i="1"/>
  <c r="O86" i="1" l="1"/>
  <c r="O78" i="1"/>
  <c r="O56" i="1"/>
  <c r="K56" i="1"/>
  <c r="BC79" i="1"/>
  <c r="BD79" i="1"/>
  <c r="BC80" i="1"/>
  <c r="BD80" i="1"/>
  <c r="BC81" i="1"/>
  <c r="BD81" i="1"/>
  <c r="BC82" i="1"/>
  <c r="BD82" i="1"/>
  <c r="BC83" i="1"/>
  <c r="BD83" i="1"/>
  <c r="BC84" i="1"/>
  <c r="BD84" i="1"/>
  <c r="BC85" i="1"/>
  <c r="BD85" i="1"/>
  <c r="BC86" i="1"/>
  <c r="BD86" i="1"/>
  <c r="BD78" i="1"/>
  <c r="BC78" i="1"/>
  <c r="AA79" i="1"/>
  <c r="AM79" i="1" s="1"/>
  <c r="AB79" i="1"/>
  <c r="AN79" i="1" s="1"/>
  <c r="AA80" i="1"/>
  <c r="AE80" i="1" s="1"/>
  <c r="AI80" i="1" s="1"/>
  <c r="AB80" i="1"/>
  <c r="AF80" i="1" s="1"/>
  <c r="AJ80" i="1" s="1"/>
  <c r="AA81" i="1"/>
  <c r="AE81" i="1" s="1"/>
  <c r="AI81" i="1" s="1"/>
  <c r="AB81" i="1"/>
  <c r="AF81" i="1" s="1"/>
  <c r="AJ81" i="1" s="1"/>
  <c r="AA82" i="1"/>
  <c r="AM82" i="1" s="1"/>
  <c r="AB82" i="1"/>
  <c r="AF82" i="1" s="1"/>
  <c r="AJ82" i="1" s="1"/>
  <c r="AA83" i="1"/>
  <c r="AE83" i="1" s="1"/>
  <c r="AI83" i="1" s="1"/>
  <c r="AB83" i="1"/>
  <c r="AF83" i="1" s="1"/>
  <c r="AJ83" i="1" s="1"/>
  <c r="AA84" i="1"/>
  <c r="AM84" i="1" s="1"/>
  <c r="AB84" i="1"/>
  <c r="AN84" i="1" s="1"/>
  <c r="AA85" i="1"/>
  <c r="AM85" i="1" s="1"/>
  <c r="AB85" i="1"/>
  <c r="AN85" i="1" s="1"/>
  <c r="AA86" i="1"/>
  <c r="AM86" i="1" s="1"/>
  <c r="AB86" i="1"/>
  <c r="AF86" i="1" s="1"/>
  <c r="AJ86" i="1" s="1"/>
  <c r="AB78" i="1"/>
  <c r="AF78" i="1" s="1"/>
  <c r="AJ78" i="1" s="1"/>
  <c r="AA78" i="1"/>
  <c r="AM78" i="1" s="1"/>
  <c r="O84" i="1"/>
  <c r="O79" i="1"/>
  <c r="P79" i="1"/>
  <c r="O80" i="1"/>
  <c r="P80" i="1"/>
  <c r="O81" i="1"/>
  <c r="P81" i="1"/>
  <c r="O82" i="1"/>
  <c r="P82" i="1"/>
  <c r="O83" i="1"/>
  <c r="P83" i="1"/>
  <c r="P84" i="1"/>
  <c r="O85" i="1"/>
  <c r="P85" i="1"/>
  <c r="P86" i="1"/>
  <c r="P78" i="1"/>
  <c r="L86" i="1"/>
  <c r="K83" i="1"/>
  <c r="L83" i="1"/>
  <c r="K84" i="1"/>
  <c r="L84" i="1"/>
  <c r="K85" i="1"/>
  <c r="L85" i="1"/>
  <c r="K86" i="1"/>
  <c r="E83" i="1"/>
  <c r="E84" i="1"/>
  <c r="E85" i="1"/>
  <c r="E86" i="1"/>
  <c r="I83" i="1"/>
  <c r="I84" i="1"/>
  <c r="BE84" i="1" s="1"/>
  <c r="I85" i="1"/>
  <c r="I86" i="1"/>
  <c r="I74" i="1"/>
  <c r="H74" i="1"/>
  <c r="T80" i="1" s="1"/>
  <c r="G74" i="1"/>
  <c r="S80" i="1" s="1"/>
  <c r="D74" i="1"/>
  <c r="D75" i="1" s="1"/>
  <c r="C74" i="1"/>
  <c r="C75" i="1" s="1"/>
  <c r="BC62" i="1"/>
  <c r="P56" i="1"/>
  <c r="P61" i="1"/>
  <c r="O61" i="1"/>
  <c r="O62" i="1"/>
  <c r="P62" i="1"/>
  <c r="L62" i="1"/>
  <c r="K62" i="1"/>
  <c r="L61" i="1"/>
  <c r="K61" i="1"/>
  <c r="I61" i="1"/>
  <c r="BE61" i="1" s="1"/>
  <c r="I62" i="1"/>
  <c r="BC57" i="1"/>
  <c r="BD57" i="1"/>
  <c r="BC58" i="1"/>
  <c r="BD58" i="1"/>
  <c r="BC59" i="1"/>
  <c r="BD59" i="1"/>
  <c r="BC60" i="1"/>
  <c r="BD60" i="1"/>
  <c r="BC61" i="1"/>
  <c r="BD61" i="1"/>
  <c r="BD62" i="1"/>
  <c r="BD56" i="1"/>
  <c r="BC56" i="1"/>
  <c r="AA62" i="1"/>
  <c r="AM62" i="1" s="1"/>
  <c r="AA61" i="1"/>
  <c r="AM61" i="1" s="1"/>
  <c r="AB61" i="1"/>
  <c r="AN61" i="1" s="1"/>
  <c r="AB62" i="1"/>
  <c r="AF62" i="1" s="1"/>
  <c r="AJ62" i="1" s="1"/>
  <c r="L56" i="1"/>
  <c r="O32" i="1"/>
  <c r="K32" i="1"/>
  <c r="BC33" i="1"/>
  <c r="BD33" i="1"/>
  <c r="BC34" i="1"/>
  <c r="BD34" i="1"/>
  <c r="BC35" i="1"/>
  <c r="BD35" i="1"/>
  <c r="BC36" i="1"/>
  <c r="BD36" i="1"/>
  <c r="BC37" i="1"/>
  <c r="BD37" i="1"/>
  <c r="BC38" i="1"/>
  <c r="BD38" i="1"/>
  <c r="BC39" i="1"/>
  <c r="BD39" i="1"/>
  <c r="BC40" i="1"/>
  <c r="BD40" i="1"/>
  <c r="BC41" i="1"/>
  <c r="BD41" i="1"/>
  <c r="BD32" i="1"/>
  <c r="AA37" i="1"/>
  <c r="AE37" i="1" s="1"/>
  <c r="AB37" i="1"/>
  <c r="AF37" i="1" s="1"/>
  <c r="AA38" i="1"/>
  <c r="AE38" i="1" s="1"/>
  <c r="AB38" i="1"/>
  <c r="AF38" i="1" s="1"/>
  <c r="AA39" i="1"/>
  <c r="AE39" i="1" s="1"/>
  <c r="AB39" i="1"/>
  <c r="AF39" i="1" s="1"/>
  <c r="AA40" i="1"/>
  <c r="AM40" i="1" s="1"/>
  <c r="AB40" i="1"/>
  <c r="AN40" i="1" s="1"/>
  <c r="AA41" i="1"/>
  <c r="AM41" i="1" s="1"/>
  <c r="AB41" i="1"/>
  <c r="AN41" i="1" s="1"/>
  <c r="O57" i="1"/>
  <c r="P57" i="1"/>
  <c r="O58" i="1"/>
  <c r="P58" i="1"/>
  <c r="O59" i="1"/>
  <c r="P59" i="1"/>
  <c r="O60" i="1"/>
  <c r="P60" i="1"/>
  <c r="L82" i="1"/>
  <c r="K82" i="1"/>
  <c r="I82" i="1"/>
  <c r="E82" i="1"/>
  <c r="L81" i="1"/>
  <c r="K81" i="1"/>
  <c r="I81" i="1"/>
  <c r="BE81" i="1" s="1"/>
  <c r="E81" i="1"/>
  <c r="AM80" i="1"/>
  <c r="L80" i="1"/>
  <c r="K80" i="1"/>
  <c r="I80" i="1"/>
  <c r="E80" i="1"/>
  <c r="L79" i="1"/>
  <c r="K79" i="1"/>
  <c r="I79" i="1"/>
  <c r="BE79" i="1" s="1"/>
  <c r="E79" i="1"/>
  <c r="L78" i="1"/>
  <c r="K78" i="1"/>
  <c r="I78" i="1"/>
  <c r="BE78" i="1" s="1"/>
  <c r="E78" i="1"/>
  <c r="L60" i="1"/>
  <c r="K60" i="1"/>
  <c r="I60" i="1"/>
  <c r="E60" i="1"/>
  <c r="L59" i="1"/>
  <c r="K59" i="1"/>
  <c r="I59" i="1"/>
  <c r="E59" i="1"/>
  <c r="L58" i="1"/>
  <c r="K58" i="1"/>
  <c r="I58" i="1"/>
  <c r="E58" i="1"/>
  <c r="L57" i="1"/>
  <c r="K57" i="1"/>
  <c r="I57" i="1"/>
  <c r="E57" i="1"/>
  <c r="I56" i="1"/>
  <c r="E56" i="1"/>
  <c r="BE59" i="1" l="1"/>
  <c r="G67" i="1"/>
  <c r="H67" i="1"/>
  <c r="H64" i="1"/>
  <c r="G64" i="1"/>
  <c r="G65" i="1"/>
  <c r="H65" i="1"/>
  <c r="BE58" i="1"/>
  <c r="G66" i="1"/>
  <c r="H66" i="1"/>
  <c r="BE60" i="1"/>
  <c r="G68" i="1"/>
  <c r="H68" i="1"/>
  <c r="AN82" i="1"/>
  <c r="AM81" i="1"/>
  <c r="AN81" i="1"/>
  <c r="AN80" i="1"/>
  <c r="AE40" i="1"/>
  <c r="AF84" i="1"/>
  <c r="AJ84" i="1" s="1"/>
  <c r="M83" i="1"/>
  <c r="AE84" i="1"/>
  <c r="AI84" i="1" s="1"/>
  <c r="Q62" i="1"/>
  <c r="Q80" i="1"/>
  <c r="BE80" i="1"/>
  <c r="Q60" i="1"/>
  <c r="BE62" i="1"/>
  <c r="Q57" i="1"/>
  <c r="AN78" i="1"/>
  <c r="Q59" i="1"/>
  <c r="Q86" i="1"/>
  <c r="M86" i="1"/>
  <c r="AF61" i="1"/>
  <c r="AJ61" i="1" s="1"/>
  <c r="AE62" i="1"/>
  <c r="AI62" i="1" s="1"/>
  <c r="Q85" i="1"/>
  <c r="S79" i="1"/>
  <c r="BE86" i="1"/>
  <c r="Q82" i="1"/>
  <c r="AE61" i="1"/>
  <c r="AI61" i="1" s="1"/>
  <c r="BE83" i="1"/>
  <c r="Q61" i="1"/>
  <c r="Q58" i="1"/>
  <c r="M61" i="1"/>
  <c r="M84" i="1"/>
  <c r="Q56" i="1"/>
  <c r="Q84" i="1"/>
  <c r="BE85" i="1"/>
  <c r="Q79" i="1"/>
  <c r="AF41" i="1"/>
  <c r="AJ41" i="1" s="1"/>
  <c r="BE57" i="1"/>
  <c r="AN62" i="1"/>
  <c r="Q83" i="1"/>
  <c r="AE79" i="1"/>
  <c r="AI79" i="1" s="1"/>
  <c r="BE82" i="1"/>
  <c r="Q81" i="1"/>
  <c r="AE41" i="1"/>
  <c r="AI41" i="1" s="1"/>
  <c r="BE56" i="1"/>
  <c r="U84" i="1"/>
  <c r="Y84" i="1" s="1"/>
  <c r="AC84" i="1" s="1"/>
  <c r="AO84" i="1" s="1"/>
  <c r="Q78" i="1"/>
  <c r="T85" i="1"/>
  <c r="M85" i="1"/>
  <c r="AF40" i="1"/>
  <c r="AJ40" i="1" s="1"/>
  <c r="M56" i="1"/>
  <c r="M62" i="1"/>
  <c r="T84" i="1"/>
  <c r="AE78" i="1"/>
  <c r="AI78" i="1" s="1"/>
  <c r="T81" i="1"/>
  <c r="AF85" i="1"/>
  <c r="AJ85" i="1" s="1"/>
  <c r="AC83" i="1"/>
  <c r="AG83" i="1" s="1"/>
  <c r="AK83" i="1" s="1"/>
  <c r="U78" i="1"/>
  <c r="Y78" i="1" s="1"/>
  <c r="AC78" i="1" s="1"/>
  <c r="AG78" i="1" s="1"/>
  <c r="AK78" i="1" s="1"/>
  <c r="U81" i="1"/>
  <c r="Y81" i="1" s="1"/>
  <c r="AC81" i="1" s="1"/>
  <c r="AG81" i="1" s="1"/>
  <c r="AK81" i="1" s="1"/>
  <c r="U82" i="1"/>
  <c r="Y82" i="1" s="1"/>
  <c r="AC82" i="1" s="1"/>
  <c r="AG82" i="1" s="1"/>
  <c r="AK82" i="1" s="1"/>
  <c r="U86" i="1"/>
  <c r="Y86" i="1" s="1"/>
  <c r="AC86" i="1" s="1"/>
  <c r="AG86" i="1" s="1"/>
  <c r="AK86" i="1" s="1"/>
  <c r="U85" i="1"/>
  <c r="Y85" i="1" s="1"/>
  <c r="AC85" i="1" s="1"/>
  <c r="AG85" i="1" s="1"/>
  <c r="AK85" i="1" s="1"/>
  <c r="U80" i="1"/>
  <c r="Y80" i="1" s="1"/>
  <c r="AC80" i="1" s="1"/>
  <c r="AG80" i="1" s="1"/>
  <c r="AK80" i="1" s="1"/>
  <c r="U79" i="1"/>
  <c r="Y79" i="1" s="1"/>
  <c r="AC79" i="1" s="1"/>
  <c r="AG79" i="1" s="1"/>
  <c r="AK79" i="1" s="1"/>
  <c r="S78" i="1"/>
  <c r="S85" i="1"/>
  <c r="T82" i="1"/>
  <c r="AE85" i="1"/>
  <c r="AI85" i="1" s="1"/>
  <c r="AN83" i="1"/>
  <c r="T78" i="1"/>
  <c r="S82" i="1"/>
  <c r="T79" i="1"/>
  <c r="AE82" i="1"/>
  <c r="AI82" i="1" s="1"/>
  <c r="AF79" i="1"/>
  <c r="AJ79" i="1" s="1"/>
  <c r="AN86" i="1"/>
  <c r="S84" i="1"/>
  <c r="AM83" i="1"/>
  <c r="T86" i="1"/>
  <c r="S81" i="1"/>
  <c r="S86" i="1"/>
  <c r="T83" i="1"/>
  <c r="AE86" i="1"/>
  <c r="AI86" i="1" s="1"/>
  <c r="S83" i="1"/>
  <c r="M81" i="1"/>
  <c r="M79" i="1"/>
  <c r="M78" i="1"/>
  <c r="M58" i="1"/>
  <c r="M82" i="1"/>
  <c r="M80" i="1"/>
  <c r="M60" i="1"/>
  <c r="M57" i="1"/>
  <c r="M59" i="1"/>
  <c r="I53" i="1"/>
  <c r="U57" i="1" s="1"/>
  <c r="H53" i="1"/>
  <c r="G53" i="1"/>
  <c r="D53" i="1"/>
  <c r="D54" i="1" s="1"/>
  <c r="C53" i="1"/>
  <c r="C54" i="1" s="1"/>
  <c r="G28" i="1"/>
  <c r="I28" i="1"/>
  <c r="H28" i="1"/>
  <c r="D28" i="1"/>
  <c r="D29" i="1" s="1"/>
  <c r="C28" i="1"/>
  <c r="C29" i="1" s="1"/>
  <c r="BE39" i="2"/>
  <c r="BD39" i="2"/>
  <c r="BC39" i="2"/>
  <c r="AK39" i="2"/>
  <c r="AJ39" i="2"/>
  <c r="AI39" i="2"/>
  <c r="P39" i="2"/>
  <c r="O39" i="2"/>
  <c r="L39" i="2"/>
  <c r="K39" i="2"/>
  <c r="I39" i="2"/>
  <c r="Q39" i="2" s="1"/>
  <c r="E39" i="2"/>
  <c r="BD38" i="2"/>
  <c r="BC38" i="2"/>
  <c r="AK38" i="2"/>
  <c r="AJ38" i="2"/>
  <c r="AI38" i="2"/>
  <c r="P38" i="2"/>
  <c r="O38" i="2"/>
  <c r="M38" i="2"/>
  <c r="L38" i="2"/>
  <c r="K38" i="2"/>
  <c r="I38" i="2"/>
  <c r="BE38" i="2" s="1"/>
  <c r="E38" i="2"/>
  <c r="BE37" i="2"/>
  <c r="BD37" i="2"/>
  <c r="BC37" i="2"/>
  <c r="AN37" i="2"/>
  <c r="AM37" i="2"/>
  <c r="AK37" i="2"/>
  <c r="AJ37" i="2"/>
  <c r="AI37" i="2"/>
  <c r="S37" i="2"/>
  <c r="P37" i="2"/>
  <c r="O37" i="2"/>
  <c r="L37" i="2"/>
  <c r="K37" i="2"/>
  <c r="I37" i="2"/>
  <c r="M37" i="2" s="1"/>
  <c r="E37" i="2"/>
  <c r="AO37" i="2" s="1"/>
  <c r="BD36" i="2"/>
  <c r="BC36" i="2"/>
  <c r="AN36" i="2"/>
  <c r="AM36" i="2"/>
  <c r="AK36" i="2"/>
  <c r="AJ36" i="2"/>
  <c r="AI36" i="2"/>
  <c r="P36" i="2"/>
  <c r="O36" i="2"/>
  <c r="M36" i="2"/>
  <c r="L36" i="2"/>
  <c r="K36" i="2"/>
  <c r="I36" i="2"/>
  <c r="Q36" i="2" s="1"/>
  <c r="E36" i="2"/>
  <c r="AO36" i="2" s="1"/>
  <c r="BE35" i="2"/>
  <c r="BD35" i="2"/>
  <c r="BC35" i="2"/>
  <c r="AN35" i="2"/>
  <c r="AM35" i="2"/>
  <c r="AK35" i="2"/>
  <c r="AJ35" i="2"/>
  <c r="AI35" i="2"/>
  <c r="S35" i="2"/>
  <c r="P35" i="2"/>
  <c r="O35" i="2"/>
  <c r="L35" i="2"/>
  <c r="K35" i="2"/>
  <c r="I35" i="2"/>
  <c r="M35" i="2" s="1"/>
  <c r="E35" i="2"/>
  <c r="AO35" i="2" s="1"/>
  <c r="BD34" i="2"/>
  <c r="BC34" i="2"/>
  <c r="AN34" i="2"/>
  <c r="AM34" i="2"/>
  <c r="AK34" i="2"/>
  <c r="AJ34" i="2"/>
  <c r="AI34" i="2"/>
  <c r="P34" i="2"/>
  <c r="O34" i="2"/>
  <c r="M34" i="2"/>
  <c r="L34" i="2"/>
  <c r="K34" i="2"/>
  <c r="I34" i="2"/>
  <c r="Q34" i="2" s="1"/>
  <c r="E34" i="2"/>
  <c r="AO34" i="2" s="1"/>
  <c r="BE33" i="2"/>
  <c r="BD33" i="2"/>
  <c r="BC33" i="2"/>
  <c r="AN33" i="2"/>
  <c r="AM33" i="2"/>
  <c r="AK33" i="2"/>
  <c r="AJ33" i="2"/>
  <c r="AI33" i="2"/>
  <c r="S33" i="2"/>
  <c r="P33" i="2"/>
  <c r="O33" i="2"/>
  <c r="L33" i="2"/>
  <c r="K33" i="2"/>
  <c r="I33" i="2"/>
  <c r="M33" i="2" s="1"/>
  <c r="E33" i="2"/>
  <c r="AO33" i="2" s="1"/>
  <c r="BD32" i="2"/>
  <c r="BC32" i="2"/>
  <c r="AN32" i="2"/>
  <c r="AM32" i="2"/>
  <c r="AK32" i="2"/>
  <c r="AJ32" i="2"/>
  <c r="AI32" i="2"/>
  <c r="P32" i="2"/>
  <c r="O32" i="2"/>
  <c r="M32" i="2"/>
  <c r="L32" i="2"/>
  <c r="K32" i="2"/>
  <c r="I32" i="2"/>
  <c r="Q32" i="2" s="1"/>
  <c r="E32" i="2"/>
  <c r="AO32" i="2" s="1"/>
  <c r="BE31" i="2"/>
  <c r="BD31" i="2"/>
  <c r="BC31" i="2"/>
  <c r="AN31" i="2"/>
  <c r="AM31" i="2"/>
  <c r="AK31" i="2"/>
  <c r="AJ31" i="2"/>
  <c r="AI31" i="2"/>
  <c r="S31" i="2"/>
  <c r="P31" i="2"/>
  <c r="O31" i="2"/>
  <c r="L31" i="2"/>
  <c r="K31" i="2"/>
  <c r="I31" i="2"/>
  <c r="M31" i="2" s="1"/>
  <c r="E31" i="2"/>
  <c r="AO31" i="2" s="1"/>
  <c r="BD30" i="2"/>
  <c r="BC30" i="2"/>
  <c r="AN30" i="2"/>
  <c r="AM30" i="2"/>
  <c r="AK30" i="2"/>
  <c r="AJ30" i="2"/>
  <c r="AI30" i="2"/>
  <c r="P30" i="2"/>
  <c r="O30" i="2"/>
  <c r="M30" i="2"/>
  <c r="L30" i="2"/>
  <c r="K30" i="2"/>
  <c r="I30" i="2"/>
  <c r="Q30" i="2" s="1"/>
  <c r="E30" i="2"/>
  <c r="AO30" i="2" s="1"/>
  <c r="H21" i="2"/>
  <c r="G21" i="2"/>
  <c r="H20" i="2"/>
  <c r="G20" i="2"/>
  <c r="H19" i="2"/>
  <c r="G19" i="2"/>
  <c r="H18" i="2"/>
  <c r="G18" i="2"/>
  <c r="H17" i="2"/>
  <c r="G17" i="2"/>
  <c r="BE15" i="2"/>
  <c r="BD15" i="2"/>
  <c r="BC15" i="2"/>
  <c r="AA15" i="2"/>
  <c r="AM15" i="2" s="1"/>
  <c r="U15" i="2"/>
  <c r="Y15" i="2" s="1"/>
  <c r="AC15" i="2" s="1"/>
  <c r="Q15" i="2"/>
  <c r="P15" i="2"/>
  <c r="O15" i="2"/>
  <c r="M15" i="2"/>
  <c r="L15" i="2"/>
  <c r="K15" i="2"/>
  <c r="BE14" i="2"/>
  <c r="BD14" i="2"/>
  <c r="BC14" i="2"/>
  <c r="AM14" i="2"/>
  <c r="AA14" i="2"/>
  <c r="AE14" i="2" s="1"/>
  <c r="AI14" i="2" s="1"/>
  <c r="Q14" i="2"/>
  <c r="P14" i="2"/>
  <c r="O14" i="2"/>
  <c r="M14" i="2"/>
  <c r="L14" i="2"/>
  <c r="K14" i="2"/>
  <c r="BE13" i="2"/>
  <c r="BD13" i="2"/>
  <c r="BC13" i="2"/>
  <c r="AM13" i="2"/>
  <c r="AA13" i="2"/>
  <c r="AE13" i="2" s="1"/>
  <c r="AI13" i="2" s="1"/>
  <c r="Q13" i="2"/>
  <c r="P13" i="2"/>
  <c r="O13" i="2"/>
  <c r="M13" i="2"/>
  <c r="L13" i="2"/>
  <c r="K13" i="2"/>
  <c r="BE12" i="2"/>
  <c r="BD12" i="2"/>
  <c r="BC12" i="2"/>
  <c r="AE12" i="2"/>
  <c r="AI12" i="2" s="1"/>
  <c r="AA12" i="2"/>
  <c r="AM12" i="2" s="1"/>
  <c r="S12" i="2"/>
  <c r="Q12" i="2"/>
  <c r="P12" i="2"/>
  <c r="O12" i="2"/>
  <c r="M12" i="2"/>
  <c r="L12" i="2"/>
  <c r="K12" i="2"/>
  <c r="BE11" i="2"/>
  <c r="BD11" i="2"/>
  <c r="BC11" i="2"/>
  <c r="AN11" i="2"/>
  <c r="AF11" i="2"/>
  <c r="AJ11" i="2" s="1"/>
  <c r="AB11" i="2"/>
  <c r="AA11" i="2"/>
  <c r="AM11" i="2" s="1"/>
  <c r="Q11" i="2"/>
  <c r="P11" i="2"/>
  <c r="O11" i="2"/>
  <c r="M11" i="2"/>
  <c r="L11" i="2"/>
  <c r="K11" i="2"/>
  <c r="BE10" i="2"/>
  <c r="BD10" i="2"/>
  <c r="BC10" i="2"/>
  <c r="AM10" i="2"/>
  <c r="AI10" i="2"/>
  <c r="AE10" i="2"/>
  <c r="AB10" i="2"/>
  <c r="AN10" i="2" s="1"/>
  <c r="AA10" i="2"/>
  <c r="U10" i="2"/>
  <c r="Y10" i="2" s="1"/>
  <c r="AC10" i="2" s="1"/>
  <c r="Q10" i="2"/>
  <c r="P10" i="2"/>
  <c r="O10" i="2"/>
  <c r="M10" i="2"/>
  <c r="L10" i="2"/>
  <c r="K10" i="2"/>
  <c r="BE9" i="2"/>
  <c r="BD9" i="2"/>
  <c r="BC9" i="2"/>
  <c r="AN9" i="2"/>
  <c r="AJ9" i="2"/>
  <c r="AF9" i="2"/>
  <c r="AB9" i="2"/>
  <c r="AA9" i="2"/>
  <c r="AE9" i="2" s="1"/>
  <c r="AI9" i="2" s="1"/>
  <c r="S9" i="2"/>
  <c r="Q9" i="2"/>
  <c r="P9" i="2"/>
  <c r="O9" i="2"/>
  <c r="M9" i="2"/>
  <c r="L9" i="2"/>
  <c r="K9" i="2"/>
  <c r="BE8" i="2"/>
  <c r="BD8" i="2"/>
  <c r="BC8" i="2"/>
  <c r="AB8" i="2"/>
  <c r="AF8" i="2" s="1"/>
  <c r="AJ8" i="2" s="1"/>
  <c r="AA8" i="2"/>
  <c r="AE8" i="2" s="1"/>
  <c r="AI8" i="2" s="1"/>
  <c r="Q8" i="2"/>
  <c r="P8" i="2"/>
  <c r="O8" i="2"/>
  <c r="M8" i="2"/>
  <c r="L8" i="2"/>
  <c r="K8" i="2"/>
  <c r="BE7" i="2"/>
  <c r="BD7" i="2"/>
  <c r="BC7" i="2"/>
  <c r="AM7" i="2"/>
  <c r="AB7" i="2"/>
  <c r="AF7" i="2" s="1"/>
  <c r="AJ7" i="2" s="1"/>
  <c r="AA7" i="2"/>
  <c r="AE7" i="2" s="1"/>
  <c r="AI7" i="2" s="1"/>
  <c r="U7" i="2"/>
  <c r="Y7" i="2" s="1"/>
  <c r="S7" i="2"/>
  <c r="Q7" i="2"/>
  <c r="P7" i="2"/>
  <c r="O7" i="2"/>
  <c r="M7" i="2"/>
  <c r="L7" i="2"/>
  <c r="K7" i="2"/>
  <c r="D4" i="2"/>
  <c r="I3" i="2"/>
  <c r="U13" i="2" s="1"/>
  <c r="Y13" i="2" s="1"/>
  <c r="AC13" i="2" s="1"/>
  <c r="H3" i="2"/>
  <c r="T38" i="2" s="1"/>
  <c r="G3" i="2"/>
  <c r="S39" i="2" s="1"/>
  <c r="D3" i="2"/>
  <c r="C3" i="2"/>
  <c r="C4" i="2" s="1"/>
  <c r="AN39" i="1"/>
  <c r="AM39" i="1"/>
  <c r="AN38" i="1"/>
  <c r="AM38" i="1"/>
  <c r="AN37" i="1"/>
  <c r="AM37" i="1"/>
  <c r="AI37" i="1"/>
  <c r="AJ37" i="1"/>
  <c r="AI38" i="1"/>
  <c r="AJ38" i="1"/>
  <c r="AI39" i="1"/>
  <c r="AJ39" i="1"/>
  <c r="AI40" i="1"/>
  <c r="P33" i="1"/>
  <c r="P34" i="1"/>
  <c r="P35" i="1"/>
  <c r="P36" i="1"/>
  <c r="P37" i="1"/>
  <c r="P38" i="1"/>
  <c r="P39" i="1"/>
  <c r="P40" i="1"/>
  <c r="P41" i="1"/>
  <c r="P32" i="1"/>
  <c r="O33" i="1"/>
  <c r="O34" i="1"/>
  <c r="O35" i="1"/>
  <c r="O36" i="1"/>
  <c r="O37" i="1"/>
  <c r="O38" i="1"/>
  <c r="O39" i="1"/>
  <c r="O40" i="1"/>
  <c r="O41" i="1"/>
  <c r="L41" i="1"/>
  <c r="K33" i="1"/>
  <c r="L33" i="1"/>
  <c r="K34" i="1"/>
  <c r="L34" i="1"/>
  <c r="K35" i="1"/>
  <c r="L35" i="1"/>
  <c r="L36" i="1"/>
  <c r="K38" i="1"/>
  <c r="L38" i="1"/>
  <c r="K39" i="1"/>
  <c r="K40" i="1"/>
  <c r="L40" i="1"/>
  <c r="K41" i="1"/>
  <c r="L32" i="1"/>
  <c r="E33" i="1"/>
  <c r="E34" i="1"/>
  <c r="E35" i="1"/>
  <c r="E36" i="1"/>
  <c r="E37" i="1"/>
  <c r="E38" i="1"/>
  <c r="E39" i="1"/>
  <c r="E40" i="1"/>
  <c r="E41" i="1"/>
  <c r="I32" i="1"/>
  <c r="E32" i="1"/>
  <c r="I33" i="1"/>
  <c r="I34" i="1"/>
  <c r="I35" i="1"/>
  <c r="I36" i="1"/>
  <c r="I37" i="1"/>
  <c r="I38" i="1"/>
  <c r="I39" i="1"/>
  <c r="I40" i="1"/>
  <c r="I41" i="1"/>
  <c r="Y57" i="1" l="1"/>
  <c r="H44" i="1"/>
  <c r="X33" i="1" s="1"/>
  <c r="AB33" i="1" s="1"/>
  <c r="G44" i="1"/>
  <c r="W33" i="1" s="1"/>
  <c r="AA33" i="1" s="1"/>
  <c r="H45" i="1"/>
  <c r="G45" i="1"/>
  <c r="G46" i="1"/>
  <c r="H46" i="1"/>
  <c r="H47" i="1"/>
  <c r="G47" i="1"/>
  <c r="U39" i="1"/>
  <c r="AG39" i="1" s="1"/>
  <c r="AK39" i="1" s="1"/>
  <c r="H43" i="1"/>
  <c r="G43" i="1"/>
  <c r="AG84" i="1"/>
  <c r="AK84" i="1" s="1"/>
  <c r="U59" i="1"/>
  <c r="Y59" i="1" s="1"/>
  <c r="AO79" i="1"/>
  <c r="AO85" i="1"/>
  <c r="U56" i="1"/>
  <c r="T61" i="1"/>
  <c r="T59" i="1"/>
  <c r="T58" i="1"/>
  <c r="T57" i="1"/>
  <c r="T62" i="1"/>
  <c r="T60" i="1"/>
  <c r="T56" i="1"/>
  <c r="BE41" i="1"/>
  <c r="U41" i="1"/>
  <c r="BE33" i="1"/>
  <c r="U33" i="1"/>
  <c r="AC33" i="1" s="1"/>
  <c r="AG33" i="1" s="1"/>
  <c r="AK33" i="1" s="1"/>
  <c r="U60" i="1"/>
  <c r="U62" i="1"/>
  <c r="AC62" i="1" s="1"/>
  <c r="AO80" i="1"/>
  <c r="AO82" i="1"/>
  <c r="U58" i="1"/>
  <c r="Y58" i="1" s="1"/>
  <c r="U34" i="1"/>
  <c r="Y34" i="1" s="1"/>
  <c r="BE34" i="1"/>
  <c r="U40" i="1"/>
  <c r="BE40" i="1"/>
  <c r="BE39" i="1"/>
  <c r="U32" i="1"/>
  <c r="BE32" i="1"/>
  <c r="BE38" i="1"/>
  <c r="U38" i="1"/>
  <c r="AC38" i="1" s="1"/>
  <c r="AG38" i="1" s="1"/>
  <c r="AK38" i="1" s="1"/>
  <c r="S40" i="1"/>
  <c r="S34" i="1"/>
  <c r="S37" i="1"/>
  <c r="S35" i="1"/>
  <c r="S38" i="1"/>
  <c r="S39" i="1"/>
  <c r="S32" i="1"/>
  <c r="S33" i="1"/>
  <c r="S41" i="1"/>
  <c r="S36" i="1"/>
  <c r="AO81" i="1"/>
  <c r="AO86" i="1"/>
  <c r="AO78" i="1"/>
  <c r="T37" i="1"/>
  <c r="T40" i="1"/>
  <c r="T36" i="1"/>
  <c r="T34" i="1"/>
  <c r="T35" i="1"/>
  <c r="T39" i="1"/>
  <c r="T38" i="1"/>
  <c r="T32" i="1"/>
  <c r="T33" i="1"/>
  <c r="T41" i="1"/>
  <c r="U37" i="1"/>
  <c r="AC37" i="1" s="1"/>
  <c r="AG37" i="1" s="1"/>
  <c r="AK37" i="1" s="1"/>
  <c r="BE37" i="1"/>
  <c r="BE36" i="1"/>
  <c r="U36" i="1"/>
  <c r="Y36" i="1" s="1"/>
  <c r="BE35" i="1"/>
  <c r="U35" i="1"/>
  <c r="Y35" i="1" s="1"/>
  <c r="S57" i="1"/>
  <c r="S62" i="1"/>
  <c r="S60" i="1"/>
  <c r="S61" i="1"/>
  <c r="S58" i="1"/>
  <c r="S56" i="1"/>
  <c r="S59" i="1"/>
  <c r="AO83" i="1"/>
  <c r="U61" i="1"/>
  <c r="Y61" i="1" s="1"/>
  <c r="AC61" i="1" s="1"/>
  <c r="M33" i="1"/>
  <c r="M38" i="1"/>
  <c r="Q36" i="1"/>
  <c r="Q39" i="1"/>
  <c r="Q35" i="1"/>
  <c r="Q34" i="1"/>
  <c r="M39" i="1"/>
  <c r="AC7" i="2"/>
  <c r="AG15" i="2"/>
  <c r="AK15" i="2" s="1"/>
  <c r="AO15" i="2"/>
  <c r="AG13" i="2"/>
  <c r="AK13" i="2" s="1"/>
  <c r="AO13" i="2"/>
  <c r="AO10" i="2"/>
  <c r="AG10" i="2"/>
  <c r="AK10" i="2" s="1"/>
  <c r="T11" i="2"/>
  <c r="U8" i="2"/>
  <c r="Y8" i="2" s="1"/>
  <c r="AC8" i="2" s="1"/>
  <c r="T9" i="2"/>
  <c r="S10" i="2"/>
  <c r="AF10" i="2"/>
  <c r="AJ10" i="2" s="1"/>
  <c r="AE11" i="2"/>
  <c r="AI11" i="2" s="1"/>
  <c r="U14" i="2"/>
  <c r="Y14" i="2" s="1"/>
  <c r="AC14" i="2" s="1"/>
  <c r="S15" i="2"/>
  <c r="AE15" i="2"/>
  <c r="AI15" i="2" s="1"/>
  <c r="U30" i="2"/>
  <c r="U32" i="2"/>
  <c r="U34" i="2"/>
  <c r="U36" i="2"/>
  <c r="U38" i="2"/>
  <c r="T39" i="2"/>
  <c r="U9" i="2"/>
  <c r="Y9" i="2" s="1"/>
  <c r="AC9" i="2" s="1"/>
  <c r="T10" i="2"/>
  <c r="S11" i="2"/>
  <c r="T15" i="2"/>
  <c r="X15" i="2" s="1"/>
  <c r="AB15" i="2" s="1"/>
  <c r="BE30" i="2"/>
  <c r="Q31" i="2"/>
  <c r="BE32" i="2"/>
  <c r="Q33" i="2"/>
  <c r="BE34" i="2"/>
  <c r="Q35" i="2"/>
  <c r="BE36" i="2"/>
  <c r="Q37" i="2"/>
  <c r="U39" i="2"/>
  <c r="AN7" i="2"/>
  <c r="AM8" i="2"/>
  <c r="U11" i="2"/>
  <c r="Y11" i="2" s="1"/>
  <c r="AC11" i="2" s="1"/>
  <c r="T12" i="2"/>
  <c r="X12" i="2" s="1"/>
  <c r="AB12" i="2" s="1"/>
  <c r="T31" i="2"/>
  <c r="T33" i="2"/>
  <c r="T35" i="2"/>
  <c r="T37" i="2"/>
  <c r="M39" i="2"/>
  <c r="AN8" i="2"/>
  <c r="AM9" i="2"/>
  <c r="U12" i="2"/>
  <c r="Y12" i="2" s="1"/>
  <c r="AC12" i="2" s="1"/>
  <c r="S13" i="2"/>
  <c r="U31" i="2"/>
  <c r="U33" i="2"/>
  <c r="U35" i="2"/>
  <c r="U37" i="2"/>
  <c r="T13" i="2"/>
  <c r="X13" i="2" s="1"/>
  <c r="AB13" i="2" s="1"/>
  <c r="Q38" i="2"/>
  <c r="T7" i="2"/>
  <c r="S8" i="2"/>
  <c r="S14" i="2"/>
  <c r="S30" i="2"/>
  <c r="S32" i="2"/>
  <c r="S34" i="2"/>
  <c r="S36" i="2"/>
  <c r="S38" i="2"/>
  <c r="T8" i="2"/>
  <c r="T14" i="2"/>
  <c r="X14" i="2" s="1"/>
  <c r="AB14" i="2" s="1"/>
  <c r="T30" i="2"/>
  <c r="T32" i="2"/>
  <c r="T34" i="2"/>
  <c r="T36" i="2"/>
  <c r="M35" i="1"/>
  <c r="Q41" i="1"/>
  <c r="Q33" i="1"/>
  <c r="M40" i="1"/>
  <c r="Q40" i="1"/>
  <c r="M37" i="1"/>
  <c r="M41" i="1"/>
  <c r="M34" i="1"/>
  <c r="Q38" i="1"/>
  <c r="Q37" i="1"/>
  <c r="M36" i="1"/>
  <c r="M32" i="1"/>
  <c r="Q32" i="1"/>
  <c r="AC59" i="1" l="1"/>
  <c r="AG59" i="1" s="1"/>
  <c r="AK59" i="1" s="1"/>
  <c r="W59" i="1"/>
  <c r="AA59" i="1" s="1"/>
  <c r="X59" i="1"/>
  <c r="AB59" i="1" s="1"/>
  <c r="AC60" i="1"/>
  <c r="W60" i="1"/>
  <c r="AA60" i="1" s="1"/>
  <c r="X60" i="1"/>
  <c r="AB60" i="1" s="1"/>
  <c r="AC58" i="1"/>
  <c r="AG58" i="1" s="1"/>
  <c r="AK58" i="1" s="1"/>
  <c r="X58" i="1"/>
  <c r="AB58" i="1" s="1"/>
  <c r="W58" i="1"/>
  <c r="AA58" i="1" s="1"/>
  <c r="Y56" i="1"/>
  <c r="X57" i="1"/>
  <c r="AB57" i="1" s="1"/>
  <c r="W57" i="1"/>
  <c r="AA57" i="1" s="1"/>
  <c r="AC57" i="1"/>
  <c r="AE33" i="1"/>
  <c r="AI33" i="1" s="1"/>
  <c r="AM33" i="1"/>
  <c r="AF33" i="1"/>
  <c r="AJ33" i="1" s="1"/>
  <c r="AN33" i="1"/>
  <c r="AO39" i="1"/>
  <c r="AO37" i="1"/>
  <c r="AC35" i="1"/>
  <c r="AG35" i="1" s="1"/>
  <c r="AK35" i="1" s="1"/>
  <c r="W35" i="1"/>
  <c r="AA35" i="1" s="1"/>
  <c r="AC34" i="1"/>
  <c r="X34" i="1"/>
  <c r="AB34" i="1" s="1"/>
  <c r="W34" i="1"/>
  <c r="AA34" i="1" s="1"/>
  <c r="AC41" i="1"/>
  <c r="AB35" i="1"/>
  <c r="AC32" i="1"/>
  <c r="AG32" i="1" s="1"/>
  <c r="AK32" i="1" s="1"/>
  <c r="X32" i="1"/>
  <c r="AB32" i="1" s="1"/>
  <c r="AA32" i="1"/>
  <c r="AC36" i="1"/>
  <c r="AG36" i="1" s="1"/>
  <c r="AK36" i="1" s="1"/>
  <c r="W36" i="1"/>
  <c r="AA36" i="1" s="1"/>
  <c r="X36" i="1"/>
  <c r="AB36" i="1" s="1"/>
  <c r="AC40" i="1"/>
  <c r="AO33" i="1"/>
  <c r="AG62" i="1"/>
  <c r="AK62" i="1" s="1"/>
  <c r="AO62" i="1"/>
  <c r="AO38" i="1"/>
  <c r="AG60" i="1"/>
  <c r="AK60" i="1" s="1"/>
  <c r="AO60" i="1"/>
  <c r="AG61" i="1"/>
  <c r="AK61" i="1" s="1"/>
  <c r="AO61" i="1"/>
  <c r="AG11" i="2"/>
  <c r="AK11" i="2" s="1"/>
  <c r="AO11" i="2"/>
  <c r="AO14" i="2"/>
  <c r="AG14" i="2"/>
  <c r="AK14" i="2" s="1"/>
  <c r="AF12" i="2"/>
  <c r="AJ12" i="2" s="1"/>
  <c r="AN12" i="2"/>
  <c r="AN15" i="2"/>
  <c r="AF15" i="2"/>
  <c r="AJ15" i="2" s="1"/>
  <c r="AO12" i="2"/>
  <c r="AG12" i="2"/>
  <c r="AK12" i="2" s="1"/>
  <c r="AG8" i="2"/>
  <c r="AK8" i="2" s="1"/>
  <c r="AO8" i="2"/>
  <c r="AG7" i="2"/>
  <c r="AK7" i="2" s="1"/>
  <c r="AO7" i="2"/>
  <c r="AO9" i="2"/>
  <c r="AG9" i="2"/>
  <c r="AK9" i="2" s="1"/>
  <c r="AF13" i="2"/>
  <c r="AJ13" i="2" s="1"/>
  <c r="AN13" i="2"/>
  <c r="AF14" i="2"/>
  <c r="AJ14" i="2" s="1"/>
  <c r="AN14" i="2"/>
  <c r="Y5" i="2"/>
  <c r="AO59" i="1" l="1"/>
  <c r="AF58" i="1"/>
  <c r="AJ58" i="1" s="1"/>
  <c r="AN58" i="1"/>
  <c r="AE57" i="1"/>
  <c r="AI57" i="1" s="1"/>
  <c r="AM57" i="1"/>
  <c r="AE60" i="1"/>
  <c r="AI60" i="1" s="1"/>
  <c r="AM60" i="1"/>
  <c r="AF57" i="1"/>
  <c r="AJ57" i="1" s="1"/>
  <c r="AN57" i="1"/>
  <c r="AG57" i="1"/>
  <c r="AK57" i="1" s="1"/>
  <c r="AO57" i="1"/>
  <c r="AO58" i="1"/>
  <c r="X56" i="1"/>
  <c r="AB56" i="1" s="1"/>
  <c r="W56" i="1"/>
  <c r="AA56" i="1" s="1"/>
  <c r="AF59" i="1"/>
  <c r="AJ59" i="1" s="1"/>
  <c r="AN59" i="1"/>
  <c r="AF60" i="1"/>
  <c r="AJ60" i="1" s="1"/>
  <c r="AN60" i="1"/>
  <c r="AC56" i="1"/>
  <c r="AM59" i="1"/>
  <c r="AE59" i="1"/>
  <c r="AI59" i="1" s="1"/>
  <c r="AE58" i="1"/>
  <c r="AI58" i="1" s="1"/>
  <c r="AM58" i="1"/>
  <c r="AO35" i="1"/>
  <c r="AO32" i="1"/>
  <c r="AO36" i="1"/>
  <c r="AO40" i="1"/>
  <c r="AG40" i="1"/>
  <c r="AK40" i="1" s="1"/>
  <c r="AG41" i="1"/>
  <c r="AK41" i="1" s="1"/>
  <c r="AO41" i="1"/>
  <c r="AF35" i="1"/>
  <c r="AJ35" i="1" s="1"/>
  <c r="AN35" i="1"/>
  <c r="AE34" i="1"/>
  <c r="AI34" i="1" s="1"/>
  <c r="AM34" i="1"/>
  <c r="AE36" i="1"/>
  <c r="AI36" i="1" s="1"/>
  <c r="AM36" i="1"/>
  <c r="AF34" i="1"/>
  <c r="AJ34" i="1" s="1"/>
  <c r="AN34" i="1"/>
  <c r="AF36" i="1"/>
  <c r="AJ36" i="1" s="1"/>
  <c r="AN36" i="1"/>
  <c r="AG34" i="1"/>
  <c r="AK34" i="1" s="1"/>
  <c r="AO34" i="1"/>
  <c r="AF32" i="1"/>
  <c r="AJ32" i="1" s="1"/>
  <c r="AN32" i="1"/>
  <c r="AE35" i="1"/>
  <c r="AI35" i="1" s="1"/>
  <c r="AM35" i="1"/>
  <c r="AM32" i="1"/>
  <c r="AE32" i="1"/>
  <c r="AI32" i="1" s="1"/>
  <c r="G18" i="1"/>
  <c r="H18" i="1"/>
  <c r="G19" i="1"/>
  <c r="H19" i="1"/>
  <c r="H20" i="1"/>
  <c r="AA7" i="1"/>
  <c r="AE7" i="1" s="1"/>
  <c r="C3" i="1"/>
  <c r="C4" i="1" s="1"/>
  <c r="D3" i="1"/>
  <c r="D4" i="1" s="1"/>
  <c r="AA8" i="1"/>
  <c r="AM8" i="1" s="1"/>
  <c r="AB8" i="1"/>
  <c r="AN8" i="1" s="1"/>
  <c r="AA9" i="1"/>
  <c r="AM9" i="1" s="1"/>
  <c r="AB9" i="1"/>
  <c r="AF9" i="1" s="1"/>
  <c r="AJ9" i="1" s="1"/>
  <c r="AA10" i="1"/>
  <c r="AE10" i="1" s="1"/>
  <c r="AI10" i="1" s="1"/>
  <c r="AB10" i="1"/>
  <c r="AF10" i="1" s="1"/>
  <c r="AJ10" i="1" s="1"/>
  <c r="AA11" i="1"/>
  <c r="AM11" i="1" s="1"/>
  <c r="AA12" i="1"/>
  <c r="AE12" i="1" s="1"/>
  <c r="AI12" i="1" s="1"/>
  <c r="AA13" i="1"/>
  <c r="AE13" i="1" s="1"/>
  <c r="AI13" i="1" s="1"/>
  <c r="AA14" i="1"/>
  <c r="AM14" i="1" s="1"/>
  <c r="AA15" i="1"/>
  <c r="AE15" i="1" s="1"/>
  <c r="AI15" i="1" s="1"/>
  <c r="BC8" i="1"/>
  <c r="BD8" i="1"/>
  <c r="BE8" i="1"/>
  <c r="BC9" i="1"/>
  <c r="BD9" i="1"/>
  <c r="BE9" i="1"/>
  <c r="BC10" i="1"/>
  <c r="BD10" i="1"/>
  <c r="BE10" i="1"/>
  <c r="BC11" i="1"/>
  <c r="BD11" i="1"/>
  <c r="BE11" i="1"/>
  <c r="BC12" i="1"/>
  <c r="BD12" i="1"/>
  <c r="BE12" i="1"/>
  <c r="BC13" i="1"/>
  <c r="BD13" i="1"/>
  <c r="BE13" i="1"/>
  <c r="BC14" i="1"/>
  <c r="BD14" i="1"/>
  <c r="BE14" i="1"/>
  <c r="BC15" i="1"/>
  <c r="BD15" i="1"/>
  <c r="BE15" i="1"/>
  <c r="BD7" i="1"/>
  <c r="BE7" i="1"/>
  <c r="BC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Q7" i="1"/>
  <c r="P7" i="1"/>
  <c r="O7" i="1"/>
  <c r="H3" i="1"/>
  <c r="I3" i="1"/>
  <c r="G3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L7" i="1"/>
  <c r="M7" i="1"/>
  <c r="K7" i="1"/>
  <c r="K15" i="1"/>
  <c r="L15" i="1"/>
  <c r="M15" i="1"/>
  <c r="AM56" i="1" l="1"/>
  <c r="AE56" i="1"/>
  <c r="AI56" i="1" s="1"/>
  <c r="AF56" i="1"/>
  <c r="AJ56" i="1" s="1"/>
  <c r="AN56" i="1"/>
  <c r="AO56" i="1"/>
  <c r="AG56" i="1"/>
  <c r="AK56" i="1" s="1"/>
  <c r="T11" i="1"/>
  <c r="S14" i="1"/>
  <c r="S15" i="1"/>
  <c r="U15" i="1"/>
  <c r="Y15" i="1" s="1"/>
  <c r="AC15" i="1" s="1"/>
  <c r="AG15" i="1" s="1"/>
  <c r="AK15" i="1" s="1"/>
  <c r="AM7" i="1"/>
  <c r="AI7" i="1"/>
  <c r="AM13" i="1"/>
  <c r="AN10" i="1"/>
  <c r="AM10" i="1"/>
  <c r="AM15" i="1"/>
  <c r="AM12" i="1"/>
  <c r="AN9" i="1"/>
  <c r="AE9" i="1"/>
  <c r="AI9" i="1" s="1"/>
  <c r="AE11" i="1"/>
  <c r="AI11" i="1" s="1"/>
  <c r="AE8" i="1"/>
  <c r="AI8" i="1" s="1"/>
  <c r="AF8" i="1"/>
  <c r="AJ8" i="1" s="1"/>
  <c r="AE14" i="1"/>
  <c r="AI14" i="1" s="1"/>
  <c r="T7" i="1"/>
  <c r="U12" i="1"/>
  <c r="Y12" i="1" s="1"/>
  <c r="AC12" i="1" s="1"/>
  <c r="AG12" i="1" s="1"/>
  <c r="AK12" i="1" s="1"/>
  <c r="T10" i="1"/>
  <c r="S11" i="1"/>
  <c r="S10" i="1"/>
  <c r="T15" i="1"/>
  <c r="S9" i="1"/>
  <c r="T14" i="1"/>
  <c r="T8" i="1"/>
  <c r="T13" i="1"/>
  <c r="S8" i="1"/>
  <c r="S7" i="1"/>
  <c r="S13" i="1"/>
  <c r="T12" i="1"/>
  <c r="U9" i="1"/>
  <c r="U14" i="1"/>
  <c r="Y14" i="1" s="1"/>
  <c r="AC14" i="1" s="1"/>
  <c r="AG14" i="1" s="1"/>
  <c r="AK14" i="1" s="1"/>
  <c r="S12" i="1"/>
  <c r="T9" i="1"/>
  <c r="U11" i="1"/>
  <c r="U8" i="1"/>
  <c r="Y8" i="1" s="1"/>
  <c r="U13" i="1"/>
  <c r="Y13" i="1" s="1"/>
  <c r="AC13" i="1" s="1"/>
  <c r="AO13" i="1" s="1"/>
  <c r="U10" i="1"/>
  <c r="Y10" i="1" s="1"/>
  <c r="U7" i="1"/>
  <c r="Y7" i="1" s="1"/>
  <c r="X17" i="1" l="1"/>
  <c r="W17" i="1"/>
  <c r="W18" i="1"/>
  <c r="X18" i="1"/>
  <c r="AC10" i="1"/>
  <c r="AO10" i="1" s="1"/>
  <c r="W20" i="1"/>
  <c r="X20" i="1"/>
  <c r="AB7" i="1"/>
  <c r="AN7" i="1" s="1"/>
  <c r="AC8" i="1"/>
  <c r="AO8" i="1" s="1"/>
  <c r="Y9" i="1"/>
  <c r="X14" i="1"/>
  <c r="AB14" i="1" s="1"/>
  <c r="AO15" i="1"/>
  <c r="X15" i="1"/>
  <c r="AB15" i="1" s="1"/>
  <c r="X13" i="1"/>
  <c r="AB13" i="1" s="1"/>
  <c r="X12" i="1"/>
  <c r="AB12" i="1" s="1"/>
  <c r="Y11" i="1"/>
  <c r="AO12" i="1"/>
  <c r="AO14" i="1"/>
  <c r="AG13" i="1"/>
  <c r="AK13" i="1" s="1"/>
  <c r="AC7" i="1"/>
  <c r="AO7" i="1" s="1"/>
  <c r="AF7" i="1" l="1"/>
  <c r="AJ7" i="1" s="1"/>
  <c r="AG10" i="1"/>
  <c r="AK10" i="1" s="1"/>
  <c r="X21" i="1"/>
  <c r="W21" i="1"/>
  <c r="X19" i="1"/>
  <c r="W19" i="1"/>
  <c r="AG8" i="1"/>
  <c r="AK8" i="1" s="1"/>
  <c r="AC9" i="1"/>
  <c r="AG9" i="1" s="1"/>
  <c r="AK9" i="1" s="1"/>
  <c r="AC11" i="1"/>
  <c r="AO11" i="1" s="1"/>
  <c r="AB11" i="1"/>
  <c r="Y5" i="1"/>
  <c r="AF12" i="1"/>
  <c r="AJ12" i="1" s="1"/>
  <c r="AN12" i="1"/>
  <c r="AN13" i="1"/>
  <c r="AF13" i="1"/>
  <c r="AJ13" i="1" s="1"/>
  <c r="AF15" i="1"/>
  <c r="AJ15" i="1" s="1"/>
  <c r="AN15" i="1"/>
  <c r="AN14" i="1"/>
  <c r="AF14" i="1"/>
  <c r="AJ14" i="1" s="1"/>
  <c r="AG7" i="1"/>
  <c r="AK7" i="1" s="1"/>
  <c r="AO9" i="1" l="1"/>
  <c r="AG11" i="1"/>
  <c r="AK11" i="1" s="1"/>
  <c r="AN11" i="1"/>
  <c r="AF11" i="1"/>
  <c r="AJ11" i="1" s="1"/>
</calcChain>
</file>

<file path=xl/sharedStrings.xml><?xml version="1.0" encoding="utf-8"?>
<sst xmlns="http://schemas.openxmlformats.org/spreadsheetml/2006/main" count="244" uniqueCount="42">
  <si>
    <t>Media Tactics</t>
  </si>
  <si>
    <t>FB TON</t>
  </si>
  <si>
    <t>FB STONE LEADS</t>
  </si>
  <si>
    <t>FB STONE SA</t>
  </si>
  <si>
    <t>G STONE</t>
  </si>
  <si>
    <t>G TON</t>
  </si>
  <si>
    <t>Bing</t>
  </si>
  <si>
    <t>Criteo</t>
  </si>
  <si>
    <t>TikTok</t>
  </si>
  <si>
    <t>Affiliate</t>
  </si>
  <si>
    <t>Spends</t>
  </si>
  <si>
    <t>CPP</t>
  </si>
  <si>
    <t>Spend share</t>
  </si>
  <si>
    <t>Revenue Ratio</t>
  </si>
  <si>
    <t>spends to no of machine Ratio</t>
  </si>
  <si>
    <t>Total</t>
  </si>
  <si>
    <t>IMP</t>
  </si>
  <si>
    <t>000</t>
  </si>
  <si>
    <t>KPI</t>
  </si>
  <si>
    <t>REVENUE</t>
  </si>
  <si>
    <t>Avg</t>
  </si>
  <si>
    <t>Contri</t>
  </si>
  <si>
    <t>sales</t>
  </si>
  <si>
    <t>ROI</t>
  </si>
  <si>
    <t>EFF</t>
  </si>
  <si>
    <t>D</t>
  </si>
  <si>
    <t>B</t>
  </si>
  <si>
    <t>eff - roi</t>
  </si>
  <si>
    <t>000000</t>
  </si>
  <si>
    <t>On AIR</t>
  </si>
  <si>
    <t>Avg Weekly</t>
  </si>
  <si>
    <t>Corr</t>
  </si>
  <si>
    <t>AutoCred</t>
  </si>
  <si>
    <t>Inbound</t>
  </si>
  <si>
    <t>PayTV</t>
  </si>
  <si>
    <t>Open TV</t>
  </si>
  <si>
    <t>PayTV(Spends only)</t>
  </si>
  <si>
    <t>Polo</t>
  </si>
  <si>
    <t>Renda</t>
  </si>
  <si>
    <t>C coeff</t>
  </si>
  <si>
    <t>C ROI</t>
  </si>
  <si>
    <t>E 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</si>
</sst>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  <numFmt numFmtId="167" formatCode="_(* #,##0.0000_);_(* \(#,##0.0000\);_(* &quot;-&quot;??_);_(@_)"/>
    <numFmt numFmtId="168" formatCode="0.000%"/>
    <numFmt numFmtId="169" formatCode="0.00000"/>
    <numFmt numFmtId="170" formatCode="_(* #,##0.00000_);_(* \(#,##0.000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12121"/>
      <name val="Roboto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43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0" fontId="0" fillId="0" borderId="0" xfId="0" quotePrefix="1"/>
    <xf numFmtId="9" fontId="0" fillId="0" borderId="0" xfId="2" applyFont="1"/>
    <xf numFmtId="166" fontId="0" fillId="0" borderId="0" xfId="2" applyNumberFormat="1" applyFont="1"/>
    <xf numFmtId="10" fontId="0" fillId="0" borderId="0" xfId="2" applyNumberFormat="1" applyFont="1"/>
    <xf numFmtId="165" fontId="0" fillId="0" borderId="0" xfId="0" applyNumberFormat="1"/>
    <xf numFmtId="9" fontId="0" fillId="0" borderId="0" xfId="2" applyFont="1" applyBorder="1"/>
    <xf numFmtId="166" fontId="0" fillId="0" borderId="0" xfId="2" applyNumberFormat="1" applyFont="1" applyBorder="1"/>
    <xf numFmtId="167" fontId="0" fillId="0" borderId="0" xfId="1" applyNumberFormat="1" applyFont="1" applyBorder="1"/>
    <xf numFmtId="9" fontId="0" fillId="0" borderId="0" xfId="0" applyNumberFormat="1"/>
    <xf numFmtId="3" fontId="0" fillId="0" borderId="0" xfId="0" applyNumberFormat="1"/>
    <xf numFmtId="165" fontId="0" fillId="2" borderId="0" xfId="1" applyNumberFormat="1" applyFont="1" applyFill="1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0" fillId="4" borderId="0" xfId="0" applyFill="1"/>
    <xf numFmtId="0" fontId="0" fillId="5" borderId="0" xfId="0" applyFill="1"/>
    <xf numFmtId="0" fontId="2" fillId="0" borderId="0" xfId="0" applyFont="1"/>
    <xf numFmtId="0" fontId="0" fillId="0" borderId="3" xfId="0" applyBorder="1"/>
    <xf numFmtId="166" fontId="0" fillId="0" borderId="0" xfId="0" applyNumberFormat="1"/>
    <xf numFmtId="10" fontId="0" fillId="0" borderId="0" xfId="2" applyNumberFormat="1" applyFont="1" applyBorder="1"/>
    <xf numFmtId="166" fontId="3" fillId="0" borderId="0" xfId="0" applyNumberFormat="1" applyFont="1"/>
    <xf numFmtId="166" fontId="3" fillId="0" borderId="0" xfId="2" applyNumberFormat="1" applyFont="1" applyBorder="1"/>
    <xf numFmtId="9" fontId="3" fillId="0" borderId="0" xfId="0" applyNumberFormat="1" applyFont="1"/>
    <xf numFmtId="10" fontId="3" fillId="0" borderId="0" xfId="0" applyNumberFormat="1" applyFont="1"/>
    <xf numFmtId="0" fontId="3" fillId="0" borderId="0" xfId="0" applyFont="1"/>
    <xf numFmtId="10" fontId="3" fillId="0" borderId="0" xfId="2" applyNumberFormat="1" applyFont="1" applyBorder="1"/>
    <xf numFmtId="168" fontId="3" fillId="0" borderId="0" xfId="2" applyNumberFormat="1" applyFont="1" applyBorder="1"/>
    <xf numFmtId="43" fontId="0" fillId="4" borderId="0" xfId="0" applyNumberFormat="1" applyFill="1"/>
    <xf numFmtId="0" fontId="4" fillId="0" borderId="0" xfId="0" applyFont="1"/>
    <xf numFmtId="169" fontId="4" fillId="0" borderId="0" xfId="0" applyNumberFormat="1" applyFont="1"/>
    <xf numFmtId="0" fontId="0" fillId="6" borderId="0" xfId="0" applyFill="1"/>
    <xf numFmtId="168" fontId="0" fillId="0" borderId="0" xfId="2" applyNumberFormat="1" applyFont="1"/>
    <xf numFmtId="167" fontId="0" fillId="0" borderId="0" xfId="1" applyNumberFormat="1" applyFont="1"/>
    <xf numFmtId="2" fontId="0" fillId="0" borderId="0" xfId="0" applyNumberFormat="1"/>
    <xf numFmtId="169" fontId="0" fillId="0" borderId="0" xfId="0" applyNumberFormat="1"/>
    <xf numFmtId="170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avya%20Bhat-8.13.2021\SynologyDrive\MMM%20Stone%20Brazil\OneDrive_2022-06-21%20Raw%20Data\Working%20files%20&amp;%20Spend%20summary\FBStoneCo_Summary_Sheet%20draft%20version%20wo%20dec%202021%2019th%20Sep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Model Fit"/>
      <sheetName val="2. Contribution"/>
      <sheetName val="2. Contribution (2)"/>
      <sheetName val="2. Contribution Spend vs Contri"/>
      <sheetName val="2. Contribution ROI vs Contri"/>
      <sheetName val="2. Contribution Total level"/>
      <sheetName val="3. Media DueTos "/>
      <sheetName val="Contri use this"/>
      <sheetName val="Contribution working sheet"/>
      <sheetName val="Mapping"/>
    </sheetNames>
    <sheetDataSet>
      <sheetData sheetId="0" refreshError="1"/>
      <sheetData sheetId="1">
        <row r="7">
          <cell r="R7">
            <v>1.9330111180174419</v>
          </cell>
        </row>
        <row r="8">
          <cell r="R8">
            <v>3.5737326672510039</v>
          </cell>
        </row>
        <row r="9">
          <cell r="R9">
            <v>2.8109580175638054</v>
          </cell>
        </row>
        <row r="10">
          <cell r="R10">
            <v>1.6681929084309919</v>
          </cell>
        </row>
        <row r="11">
          <cell r="R11">
            <v>1.96238631651218</v>
          </cell>
        </row>
        <row r="12">
          <cell r="R12">
            <v>1.6552315566620455</v>
          </cell>
        </row>
        <row r="13">
          <cell r="R13">
            <v>2.2902283341649992</v>
          </cell>
        </row>
        <row r="14">
          <cell r="R14">
            <v>1.7831338265746455</v>
          </cell>
        </row>
        <row r="15">
          <cell r="R15">
            <v>2.1273647879389932</v>
          </cell>
        </row>
        <row r="17">
          <cell r="R17">
            <v>1.63902694943454</v>
          </cell>
        </row>
        <row r="18">
          <cell r="R18">
            <v>2.4536762243757475</v>
          </cell>
        </row>
        <row r="19">
          <cell r="R19">
            <v>1.3795265149019007</v>
          </cell>
        </row>
        <row r="20">
          <cell r="R20">
            <v>1.537218453252545</v>
          </cell>
        </row>
        <row r="21">
          <cell r="R21">
            <v>1.2121190352161777</v>
          </cell>
        </row>
        <row r="22">
          <cell r="R22">
            <v>1.5589844379819955</v>
          </cell>
        </row>
        <row r="23">
          <cell r="R23">
            <v>2.0650230489352168</v>
          </cell>
        </row>
        <row r="24">
          <cell r="R24">
            <v>1.8000828424119468</v>
          </cell>
        </row>
        <row r="25">
          <cell r="R25">
            <v>1.0777187912022466</v>
          </cell>
        </row>
        <row r="26">
          <cell r="R26">
            <v>1.5332208844813253</v>
          </cell>
        </row>
        <row r="29">
          <cell r="R29">
            <v>1.7640140154558741</v>
          </cell>
        </row>
        <row r="30">
          <cell r="R30">
            <v>3.6213290374360718</v>
          </cell>
        </row>
        <row r="31">
          <cell r="R31">
            <v>1.815822269735957</v>
          </cell>
        </row>
        <row r="32">
          <cell r="R32">
            <v>1.1628610516332474</v>
          </cell>
        </row>
        <row r="33">
          <cell r="R33">
            <v>1.1050873520889783</v>
          </cell>
        </row>
        <row r="34">
          <cell r="R34">
            <v>1.1932082814157006</v>
          </cell>
        </row>
        <row r="35">
          <cell r="R35">
            <v>1.2890985405366482</v>
          </cell>
        </row>
        <row r="38">
          <cell r="Q38">
            <v>1.2354650740600097</v>
          </cell>
        </row>
        <row r="39">
          <cell r="Q39">
            <v>2.7700898481819105</v>
          </cell>
        </row>
        <row r="40">
          <cell r="Q40">
            <v>1.4878177366544918</v>
          </cell>
        </row>
        <row r="41">
          <cell r="Q41">
            <v>1.0583370593283428</v>
          </cell>
        </row>
        <row r="42">
          <cell r="Q42">
            <v>1.015595878167955</v>
          </cell>
        </row>
        <row r="43">
          <cell r="Q43">
            <v>1.1416217220249394</v>
          </cell>
        </row>
        <row r="44">
          <cell r="Q44">
            <v>1.5847024501334377</v>
          </cell>
        </row>
        <row r="45">
          <cell r="Q45">
            <v>1.1652520331426872</v>
          </cell>
        </row>
        <row r="46">
          <cell r="Q46">
            <v>1.3112734851199683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1E089-DA99-424D-BDAB-5814251AED90}">
  <dimension ref="A1:BE94"/>
  <sheetViews>
    <sheetView tabSelected="1" zoomScale="80" zoomScaleNormal="80" workbookViewId="0">
      <pane xSplit="2" ySplit="6" topLeftCell="F72" activePane="bottomRight" state="frozen"/>
      <selection pane="topRight" activeCell="C1" sqref="C1"/>
      <selection pane="bottomLeft" activeCell="A6" sqref="A6"/>
      <selection pane="bottomRight" activeCell="T85" sqref="T85"/>
    </sheetView>
  </sheetViews>
  <sheetFormatPr defaultRowHeight="15" x14ac:dyDescent="0.25"/>
  <cols>
    <col min="1" max="1" width="10" bestFit="1" customWidth="1"/>
    <col min="2" max="2" width="22.5703125" customWidth="1"/>
    <col min="3" max="5" width="17.85546875" bestFit="1" customWidth="1"/>
    <col min="6" max="6" width="2.85546875" customWidth="1"/>
    <col min="7" max="8" width="15.140625" bestFit="1" customWidth="1"/>
    <col min="9" max="9" width="16.28515625" bestFit="1" customWidth="1"/>
    <col min="10" max="10" width="2.5703125" customWidth="1"/>
    <col min="14" max="14" width="2.85546875" customWidth="1"/>
    <col min="15" max="15" width="11.85546875" bestFit="1" customWidth="1"/>
    <col min="16" max="17" width="11.85546875" customWidth="1"/>
    <col min="18" max="18" width="2.42578125" customWidth="1"/>
    <col min="19" max="21" width="11.85546875" customWidth="1"/>
    <col min="22" max="22" width="3.140625" customWidth="1"/>
    <col min="23" max="23" width="22" bestFit="1" customWidth="1"/>
    <col min="24" max="25" width="13.7109375" customWidth="1"/>
    <col min="26" max="26" width="4.5703125" customWidth="1"/>
    <col min="27" max="28" width="13.7109375" hidden="1" customWidth="1"/>
    <col min="29" max="29" width="9.5703125" hidden="1" customWidth="1"/>
    <col min="30" max="30" width="5.85546875" hidden="1" customWidth="1"/>
    <col min="31" max="31" width="8.5703125" hidden="1" customWidth="1"/>
    <col min="32" max="32" width="10.42578125" hidden="1" customWidth="1"/>
    <col min="33" max="33" width="10.140625" hidden="1" customWidth="1"/>
    <col min="34" max="34" width="3.5703125" customWidth="1"/>
    <col min="36" max="36" width="10" bestFit="1" customWidth="1"/>
    <col min="37" max="37" width="10.140625" bestFit="1" customWidth="1"/>
    <col min="38" max="38" width="10.7109375" customWidth="1"/>
    <col min="41" max="41" width="11.28515625" bestFit="1" customWidth="1"/>
    <col min="42" max="42" width="4.140625" customWidth="1"/>
    <col min="43" max="43" width="7.7109375" bestFit="1" customWidth="1"/>
    <col min="44" max="44" width="5.5703125" bestFit="1" customWidth="1"/>
    <col min="45" max="45" width="6.28515625" bestFit="1" customWidth="1"/>
    <col min="46" max="46" width="4.140625" customWidth="1"/>
    <col min="47" max="47" width="15.140625" bestFit="1" customWidth="1"/>
    <col min="48" max="49" width="16.28515625" bestFit="1" customWidth="1"/>
    <col min="50" max="50" width="4.140625" customWidth="1"/>
    <col min="51" max="53" width="9" hidden="1" customWidth="1"/>
    <col min="54" max="54" width="4.140625" hidden="1" customWidth="1"/>
    <col min="55" max="55" width="9.7109375" customWidth="1"/>
  </cols>
  <sheetData>
    <row r="1" spans="1:57" x14ac:dyDescent="0.25">
      <c r="B1" s="15" t="s">
        <v>18</v>
      </c>
      <c r="C1" s="3">
        <v>212600000</v>
      </c>
      <c r="D1" s="13">
        <v>213993437</v>
      </c>
      <c r="G1" s="14">
        <v>111080</v>
      </c>
      <c r="H1" s="14">
        <v>348283</v>
      </c>
      <c r="I1" s="14">
        <v>459363</v>
      </c>
      <c r="AU1">
        <v>1000000</v>
      </c>
    </row>
    <row r="2" spans="1:57" x14ac:dyDescent="0.25">
      <c r="B2" s="15" t="s">
        <v>20</v>
      </c>
      <c r="C2" s="12">
        <v>0.6</v>
      </c>
      <c r="D2" s="12">
        <v>0.6</v>
      </c>
      <c r="G2" s="14">
        <v>2104.311197827546</v>
      </c>
      <c r="H2" s="14">
        <v>3885.2356403397698</v>
      </c>
      <c r="I2" s="14">
        <v>2986.2928265002702</v>
      </c>
    </row>
    <row r="3" spans="1:57" x14ac:dyDescent="0.25">
      <c r="B3" s="15" t="s">
        <v>19</v>
      </c>
      <c r="C3" s="3">
        <f>C1*C2</f>
        <v>127560000</v>
      </c>
      <c r="D3" s="3">
        <f>D1*D2</f>
        <v>128396062.19999999</v>
      </c>
      <c r="G3" s="14">
        <f>G2*G1</f>
        <v>233746887.85468382</v>
      </c>
      <c r="H3" s="14">
        <f>H2*H1</f>
        <v>1353161524.524456</v>
      </c>
      <c r="I3" s="14">
        <f>I2*I1</f>
        <v>1371792431.6596437</v>
      </c>
    </row>
    <row r="4" spans="1:57" x14ac:dyDescent="0.25">
      <c r="B4" s="15"/>
      <c r="C4" s="3">
        <f>(C8/C3)</f>
        <v>15.65148387985486</v>
      </c>
      <c r="D4" s="3">
        <f>(D8/D3)</f>
        <v>22.195971065936856</v>
      </c>
      <c r="G4" s="14"/>
      <c r="H4" s="14"/>
      <c r="I4" s="14"/>
    </row>
    <row r="5" spans="1:57" x14ac:dyDescent="0.25">
      <c r="D5" s="19" t="s">
        <v>16</v>
      </c>
      <c r="G5" s="19" t="s">
        <v>10</v>
      </c>
      <c r="K5" s="19" t="s">
        <v>11</v>
      </c>
      <c r="L5" s="4" t="s">
        <v>17</v>
      </c>
      <c r="O5" s="19" t="s">
        <v>12</v>
      </c>
      <c r="S5" s="19" t="s">
        <v>13</v>
      </c>
      <c r="W5" s="19" t="s">
        <v>21</v>
      </c>
      <c r="Y5" s="12">
        <f>SUM(Y7:Y15)</f>
        <v>0.53743040740213877</v>
      </c>
      <c r="AA5" t="s">
        <v>22</v>
      </c>
      <c r="AE5" t="s">
        <v>27</v>
      </c>
      <c r="AI5" s="19" t="s">
        <v>23</v>
      </c>
      <c r="AM5" s="19" t="s">
        <v>24</v>
      </c>
      <c r="AN5" s="4" t="s">
        <v>28</v>
      </c>
      <c r="AQ5" s="19" t="s">
        <v>29</v>
      </c>
      <c r="AU5" s="19" t="s">
        <v>30</v>
      </c>
      <c r="AY5" t="s">
        <v>31</v>
      </c>
      <c r="BC5" s="19" t="s">
        <v>14</v>
      </c>
    </row>
    <row r="6" spans="1:57" x14ac:dyDescent="0.25">
      <c r="A6" s="18" t="s">
        <v>32</v>
      </c>
      <c r="B6" s="20" t="s">
        <v>0</v>
      </c>
      <c r="C6" s="20">
        <v>2020</v>
      </c>
      <c r="D6" s="20">
        <v>2021</v>
      </c>
      <c r="E6" s="20" t="s">
        <v>15</v>
      </c>
      <c r="F6" s="20"/>
      <c r="G6" s="20">
        <v>2020</v>
      </c>
      <c r="H6" s="20">
        <v>2021</v>
      </c>
      <c r="I6" s="20" t="s">
        <v>15</v>
      </c>
      <c r="J6" s="20"/>
      <c r="K6" s="20">
        <v>2020</v>
      </c>
      <c r="L6" s="20">
        <v>2021</v>
      </c>
      <c r="M6" s="20" t="s">
        <v>15</v>
      </c>
      <c r="N6" s="20"/>
      <c r="O6" s="20">
        <v>2020</v>
      </c>
      <c r="P6" s="20">
        <v>2021</v>
      </c>
      <c r="Q6" s="20" t="s">
        <v>15</v>
      </c>
      <c r="R6" s="20"/>
      <c r="S6" s="20">
        <v>2020</v>
      </c>
      <c r="T6" s="20">
        <v>2021</v>
      </c>
      <c r="U6" s="20" t="s">
        <v>15</v>
      </c>
      <c r="V6" s="20"/>
      <c r="W6" s="20">
        <v>2020</v>
      </c>
      <c r="X6" s="20">
        <v>2021</v>
      </c>
      <c r="Y6" s="20" t="s">
        <v>15</v>
      </c>
      <c r="Z6" s="20"/>
      <c r="AA6" s="20">
        <v>2020</v>
      </c>
      <c r="AB6" s="20">
        <v>2021</v>
      </c>
      <c r="AC6" s="20" t="s">
        <v>15</v>
      </c>
      <c r="AD6" s="20"/>
      <c r="AE6" s="20">
        <v>2020</v>
      </c>
      <c r="AF6" s="20">
        <v>2021</v>
      </c>
      <c r="AG6" s="20" t="s">
        <v>15</v>
      </c>
      <c r="AH6" s="20"/>
      <c r="AI6" s="20">
        <v>2020</v>
      </c>
      <c r="AJ6" s="20">
        <v>2021</v>
      </c>
      <c r="AK6" s="20" t="s">
        <v>15</v>
      </c>
      <c r="AL6" s="20"/>
      <c r="AM6" s="20">
        <v>2020</v>
      </c>
      <c r="AN6" s="20">
        <v>2021</v>
      </c>
      <c r="AO6" s="20" t="s">
        <v>15</v>
      </c>
      <c r="AP6" s="20"/>
      <c r="AQ6" s="20">
        <v>2020</v>
      </c>
      <c r="AR6" s="20">
        <v>2021</v>
      </c>
      <c r="AS6" s="20" t="s">
        <v>15</v>
      </c>
      <c r="AT6" s="20"/>
      <c r="AU6" s="20">
        <v>2020</v>
      </c>
      <c r="AV6" s="20">
        <v>2021</v>
      </c>
      <c r="AW6" s="20" t="s">
        <v>15</v>
      </c>
      <c r="AX6" s="20"/>
      <c r="AY6" s="20">
        <v>2020</v>
      </c>
      <c r="AZ6" s="20">
        <v>2021</v>
      </c>
      <c r="BA6" s="20" t="s">
        <v>15</v>
      </c>
      <c r="BB6" s="20"/>
      <c r="BC6" s="20">
        <v>2020</v>
      </c>
      <c r="BD6" s="20">
        <v>2021</v>
      </c>
      <c r="BE6" s="20" t="s">
        <v>15</v>
      </c>
    </row>
    <row r="7" spans="1:57" x14ac:dyDescent="0.25">
      <c r="A7" t="s">
        <v>25</v>
      </c>
      <c r="B7" t="s">
        <v>1</v>
      </c>
      <c r="C7" s="3">
        <v>1526869231.7142859</v>
      </c>
      <c r="D7" s="3">
        <v>7308252248.5714283</v>
      </c>
      <c r="E7" s="3">
        <v>8835121480.2857132</v>
      </c>
      <c r="F7" s="3"/>
      <c r="G7" s="3">
        <v>19300273.691428568</v>
      </c>
      <c r="H7" s="3">
        <v>86450094.66285716</v>
      </c>
      <c r="I7" s="3">
        <v>105750368.35428573</v>
      </c>
      <c r="K7" s="2">
        <f>IFERROR(G7/C7,0)*1000</f>
        <v>12.640423482605167</v>
      </c>
      <c r="L7" s="2">
        <f>IFERROR(H7/D7,0)*1000</f>
        <v>11.829106566451081</v>
      </c>
      <c r="M7" s="2">
        <f>IFERROR(I7/E7,0)*1000</f>
        <v>11.969316844171559</v>
      </c>
      <c r="O7" s="5">
        <f t="shared" ref="O7:O15" si="0">G7/SUM($G$7:$G$15)</f>
        <v>0.36650054570256746</v>
      </c>
      <c r="P7" s="5">
        <f t="shared" ref="P7:P15" si="1">H7/SUM($H$7:$H$15)</f>
        <v>0.45405040255944712</v>
      </c>
      <c r="Q7" s="5">
        <f t="shared" ref="Q7:Q15" si="2">I7/SUM($I$7:$I$15)</f>
        <v>0.43508188482851845</v>
      </c>
      <c r="S7" s="6">
        <f t="shared" ref="S7:S14" si="3">G7/G$3</f>
        <v>8.2569115116635033E-2</v>
      </c>
      <c r="T7" s="6">
        <f t="shared" ref="T7:T15" si="4">H7/H$3</f>
        <v>6.3887490958064647E-2</v>
      </c>
      <c r="U7" s="6">
        <f t="shared" ref="U7:U15" si="5">I7/I$3</f>
        <v>7.7089190692169907E-2</v>
      </c>
      <c r="W7" s="24">
        <f t="shared" ref="W7:X11" si="6">$Y7*G17</f>
        <v>4.502202693876281E-2</v>
      </c>
      <c r="X7" s="24">
        <f t="shared" si="6"/>
        <v>0.20166338327618089</v>
      </c>
      <c r="Y7" s="25">
        <f>U7*3.2</f>
        <v>0.24668541021494372</v>
      </c>
      <c r="AA7" s="8">
        <f t="shared" ref="AA7:AA15" si="7">W7*G$1</f>
        <v>5001.0467523577727</v>
      </c>
      <c r="AB7" s="8">
        <f t="shared" ref="AB7:AB15" si="8">X7*H$1</f>
        <v>70235.928117578107</v>
      </c>
      <c r="AC7" s="8">
        <f t="shared" ref="AC7:AC15" si="9">Y7*I$1</f>
        <v>113318.1500925672</v>
      </c>
      <c r="AE7" s="11">
        <f>IFERROR(AA7/G7,0)*1000</f>
        <v>0.2591179188603312</v>
      </c>
      <c r="AF7" s="11">
        <f>IFERROR(AB7/H7,0)</f>
        <v>8.1244477974822405E-4</v>
      </c>
      <c r="AG7" s="11">
        <f>IFERROR(AC7/I7,0)</f>
        <v>1.0715626986085554E-3</v>
      </c>
      <c r="AI7" s="1">
        <f t="shared" ref="AI7:AI15" si="10">IFERROR(AE7*G$2,0)</f>
        <v>545.26473821556442</v>
      </c>
      <c r="AJ7" s="1">
        <f t="shared" ref="AJ7:AJ15" si="11">IFERROR(AF7*H$2,0)</f>
        <v>3.1565394140857945</v>
      </c>
      <c r="AK7" s="1">
        <f>IFERROR(AG7*I$2,0)</f>
        <v>3.2</v>
      </c>
      <c r="AL7" s="31">
        <f>'[1]2. Contribution'!$R$9</f>
        <v>2.8109580175638054</v>
      </c>
      <c r="AM7" s="1">
        <f>IFERROR(AA7/C7,0)*1000000</f>
        <v>3.2753602263259105</v>
      </c>
      <c r="AN7" s="1">
        <f>IFERROR(AB7/D7,0)*1000000</f>
        <v>9.6104958789986199</v>
      </c>
      <c r="AO7" s="1">
        <f>IFERROR(AC7/E7,0)*1000000</f>
        <v>12.825873458041313</v>
      </c>
      <c r="AQ7" s="3">
        <v>45</v>
      </c>
      <c r="AR7" s="3">
        <v>52</v>
      </c>
      <c r="AS7" s="3">
        <v>97</v>
      </c>
      <c r="AT7" s="3"/>
      <c r="AU7" s="3">
        <v>35299182.269841269</v>
      </c>
      <c r="AV7" s="3">
        <v>146646702.86263734</v>
      </c>
      <c r="AW7" s="3">
        <v>94990636.608247429</v>
      </c>
      <c r="BC7" s="3">
        <f t="shared" ref="BC7:BC15" si="12">G7/G$1</f>
        <v>173.75111353464681</v>
      </c>
      <c r="BD7" s="3">
        <f t="shared" ref="BD7:BD15" si="13">H7/H$1</f>
        <v>248.21795684215755</v>
      </c>
      <c r="BE7" s="3">
        <f t="shared" ref="BE7:BE15" si="14">I7/I$1</f>
        <v>230.21089716473841</v>
      </c>
    </row>
    <row r="8" spans="1:57" x14ac:dyDescent="0.25">
      <c r="A8" t="s">
        <v>26</v>
      </c>
      <c r="B8" t="s">
        <v>2</v>
      </c>
      <c r="C8" s="3">
        <v>1996503283.7142859</v>
      </c>
      <c r="D8" s="3">
        <v>2849875281.5714288</v>
      </c>
      <c r="E8" s="3">
        <v>4846378565.2857151</v>
      </c>
      <c r="F8" s="3"/>
      <c r="G8" s="3">
        <v>17586054.725714285</v>
      </c>
      <c r="H8" s="3">
        <v>37981590.135714293</v>
      </c>
      <c r="I8" s="3">
        <v>55567644.861428574</v>
      </c>
      <c r="K8" s="2">
        <f t="shared" ref="K8:K14" si="15">IFERROR(G8/C8,0)*1000</f>
        <v>8.8084276490631499</v>
      </c>
      <c r="L8" s="2">
        <f t="shared" ref="L8:L14" si="16">IFERROR(H8/D8,0)*1000</f>
        <v>13.327456952702555</v>
      </c>
      <c r="M8" s="2">
        <f t="shared" ref="M8:M14" si="17">IFERROR(I8/E8,0)*1000</f>
        <v>11.465807739299585</v>
      </c>
      <c r="O8" s="5">
        <f t="shared" si="0"/>
        <v>0.33394856242851717</v>
      </c>
      <c r="P8" s="5">
        <f t="shared" si="1"/>
        <v>0.19948568429247152</v>
      </c>
      <c r="Q8" s="5">
        <f t="shared" si="2"/>
        <v>0.22861835885805956</v>
      </c>
      <c r="S8" s="6">
        <f t="shared" si="3"/>
        <v>7.5235460403850235E-2</v>
      </c>
      <c r="T8" s="6">
        <f t="shared" si="4"/>
        <v>2.8068777782506216E-2</v>
      </c>
      <c r="U8" s="6">
        <f t="shared" si="5"/>
        <v>4.0507327186665436E-2</v>
      </c>
      <c r="W8" s="24">
        <f t="shared" si="6"/>
        <v>3.8459290895280801E-2</v>
      </c>
      <c r="X8" s="24">
        <f t="shared" si="6"/>
        <v>8.3062690664715499E-2</v>
      </c>
      <c r="Y8" s="25">
        <f>U8*3</f>
        <v>0.1215219815599963</v>
      </c>
      <c r="AA8" s="8">
        <f t="shared" si="7"/>
        <v>4272.0580326477912</v>
      </c>
      <c r="AB8" s="8">
        <f t="shared" si="8"/>
        <v>28929.323092779108</v>
      </c>
      <c r="AC8" s="8">
        <f t="shared" si="9"/>
        <v>55822.702015344577</v>
      </c>
      <c r="AE8" s="11">
        <f t="shared" ref="AE8:AE15" si="18">IFERROR(AA8/G8,0)</f>
        <v>2.4292304893156044E-4</v>
      </c>
      <c r="AF8" s="11">
        <f t="shared" ref="AF8:AF15" si="19">IFERROR(AB8/H8,0)</f>
        <v>7.6166698101395999E-4</v>
      </c>
      <c r="AG8" s="11">
        <f t="shared" ref="AG8:AG15" si="20">IFERROR(AC8/I8,0)</f>
        <v>1.0045900299455205E-3</v>
      </c>
      <c r="AI8" s="1">
        <f t="shared" si="10"/>
        <v>0.51118569207709152</v>
      </c>
      <c r="AJ8" s="1">
        <f t="shared" si="11"/>
        <v>2.9592557007054321</v>
      </c>
      <c r="AK8" s="1">
        <f t="shared" ref="AK8:AK15" si="21">IFERROR(AG8*I$2,0)</f>
        <v>2.9999999999999996</v>
      </c>
      <c r="AL8" s="31">
        <f>'[1]2. Contribution'!$R$7</f>
        <v>1.9330111180174419</v>
      </c>
      <c r="AM8" s="1">
        <f t="shared" ref="AM8:AM15" si="22">IFERROR(AA8/C8,0)*1000000</f>
        <v>2.1397701008034775</v>
      </c>
      <c r="AN8" s="1">
        <f t="shared" ref="AN8:AN15" si="23">IFERROR(AB8/D8,0)*1000000</f>
        <v>10.151083901758467</v>
      </c>
      <c r="AO8" s="1">
        <f t="shared" ref="AO8:AO15" si="24">IFERROR(AC8/E8,0)*1000000</f>
        <v>11.518436140172552</v>
      </c>
      <c r="AQ8">
        <v>53</v>
      </c>
      <c r="AR8">
        <v>52</v>
      </c>
      <c r="AS8">
        <v>105</v>
      </c>
      <c r="AU8" s="3">
        <v>39214804.320754714</v>
      </c>
      <c r="AV8" s="3">
        <v>56972636.269230776</v>
      </c>
      <c r="AW8" s="3">
        <v>48009159.190476179</v>
      </c>
      <c r="BC8" s="3">
        <f t="shared" si="12"/>
        <v>158.31882180153301</v>
      </c>
      <c r="BD8" s="3">
        <f t="shared" si="13"/>
        <v>109.05381582137025</v>
      </c>
      <c r="BE8" s="3">
        <f t="shared" si="14"/>
        <v>120.96674059823837</v>
      </c>
    </row>
    <row r="9" spans="1:57" x14ac:dyDescent="0.25">
      <c r="A9" t="s">
        <v>26</v>
      </c>
      <c r="B9" t="s">
        <v>3</v>
      </c>
      <c r="C9" s="3">
        <v>361453745</v>
      </c>
      <c r="D9" s="3">
        <v>387783774</v>
      </c>
      <c r="E9" s="3">
        <v>749237519</v>
      </c>
      <c r="F9" s="3"/>
      <c r="G9" s="3">
        <v>481306.29000000004</v>
      </c>
      <c r="H9" s="3">
        <v>1421886.0900000003</v>
      </c>
      <c r="I9" s="3">
        <v>1903192.3800000004</v>
      </c>
      <c r="K9" s="2">
        <f t="shared" si="15"/>
        <v>1.3315847370733427</v>
      </c>
      <c r="L9" s="2">
        <f t="shared" si="16"/>
        <v>3.6666982615935866</v>
      </c>
      <c r="M9" s="2">
        <f t="shared" si="17"/>
        <v>2.5401722841378427</v>
      </c>
      <c r="O9" s="5">
        <f t="shared" si="0"/>
        <v>9.1397158794395052E-3</v>
      </c>
      <c r="P9" s="5">
        <f t="shared" si="1"/>
        <v>7.4679843217749595E-3</v>
      </c>
      <c r="Q9" s="5">
        <f t="shared" si="2"/>
        <v>7.8301810269591939E-3</v>
      </c>
      <c r="S9" s="6">
        <f t="shared" si="3"/>
        <v>2.0590917569744049E-3</v>
      </c>
      <c r="T9" s="6">
        <f t="shared" si="4"/>
        <v>1.0507881463003438E-3</v>
      </c>
      <c r="U9" s="6">
        <f t="shared" si="5"/>
        <v>1.3873763523373941E-3</v>
      </c>
      <c r="W9" s="24">
        <f t="shared" si="6"/>
        <v>1.7542970747319929E-3</v>
      </c>
      <c r="X9" s="24">
        <f t="shared" si="6"/>
        <v>5.1825846869549778E-3</v>
      </c>
      <c r="Y9" s="25">
        <f>U9*5</f>
        <v>6.9368817616869711E-3</v>
      </c>
      <c r="AA9" s="8">
        <f t="shared" si="7"/>
        <v>194.86731906122978</v>
      </c>
      <c r="AB9" s="8">
        <f t="shared" si="8"/>
        <v>1805.0061425267406</v>
      </c>
      <c r="AC9" s="8">
        <f t="shared" si="9"/>
        <v>3186.5468166938122</v>
      </c>
      <c r="AE9" s="11">
        <f t="shared" si="18"/>
        <v>4.0487174821926753E-4</v>
      </c>
      <c r="AF9" s="11">
        <f t="shared" si="19"/>
        <v>1.2694449683566004E-3</v>
      </c>
      <c r="AG9" s="11">
        <f t="shared" si="20"/>
        <v>1.674316716575868E-3</v>
      </c>
      <c r="AI9" s="1">
        <f t="shared" si="10"/>
        <v>0.85197615346181943</v>
      </c>
      <c r="AJ9" s="1">
        <f t="shared" si="11"/>
        <v>4.9320928345090556</v>
      </c>
      <c r="AK9" s="1">
        <f t="shared" si="21"/>
        <v>5.0000000000000009</v>
      </c>
      <c r="AL9" s="31">
        <f>'[1]2. Contribution'!$R$8</f>
        <v>3.5737326672510039</v>
      </c>
      <c r="AM9" s="1">
        <f t="shared" si="22"/>
        <v>0.53912104040097797</v>
      </c>
      <c r="AN9" s="1">
        <f t="shared" si="23"/>
        <v>4.6546716586618722</v>
      </c>
      <c r="AO9" s="1">
        <f t="shared" si="24"/>
        <v>4.2530529183146957</v>
      </c>
      <c r="AQ9">
        <v>52</v>
      </c>
      <c r="AR9">
        <v>48</v>
      </c>
      <c r="AS9">
        <v>100</v>
      </c>
      <c r="AU9" s="3">
        <v>7173813.8846153859</v>
      </c>
      <c r="AV9" s="3">
        <v>8051009.4166666642</v>
      </c>
      <c r="AW9" s="3">
        <v>7594867.7399999993</v>
      </c>
      <c r="BC9" s="3">
        <f t="shared" si="12"/>
        <v>4.3329698415556361</v>
      </c>
      <c r="BD9" s="3">
        <f t="shared" si="13"/>
        <v>4.0825595564526562</v>
      </c>
      <c r="BE9" s="3">
        <f t="shared" si="14"/>
        <v>4.1431120486412718</v>
      </c>
    </row>
    <row r="10" spans="1:57" x14ac:dyDescent="0.25">
      <c r="A10" t="s">
        <v>26</v>
      </c>
      <c r="B10" t="s">
        <v>4</v>
      </c>
      <c r="C10" s="3">
        <v>533034211</v>
      </c>
      <c r="D10" s="3">
        <v>394952913</v>
      </c>
      <c r="E10" s="3">
        <v>927987124</v>
      </c>
      <c r="F10" s="3"/>
      <c r="G10" s="3">
        <v>5436189.879999999</v>
      </c>
      <c r="H10" s="3">
        <v>10851116.98</v>
      </c>
      <c r="I10" s="3">
        <v>16287306.859999999</v>
      </c>
      <c r="K10" s="2">
        <f t="shared" si="15"/>
        <v>10.198575940935241</v>
      </c>
      <c r="L10" s="2">
        <f t="shared" si="16"/>
        <v>27.474457391835973</v>
      </c>
      <c r="M10" s="2">
        <f t="shared" si="17"/>
        <v>17.551220743015396</v>
      </c>
      <c r="O10" s="5">
        <f t="shared" si="0"/>
        <v>0.10322996395888431</v>
      </c>
      <c r="P10" s="5">
        <f t="shared" si="1"/>
        <v>5.699188707893333E-2</v>
      </c>
      <c r="Q10" s="5">
        <f t="shared" si="2"/>
        <v>6.7009810724144608E-2</v>
      </c>
      <c r="S10" s="6">
        <f t="shared" si="3"/>
        <v>2.3256736934095905E-2</v>
      </c>
      <c r="T10" s="6">
        <f t="shared" si="4"/>
        <v>8.0190847754213444E-3</v>
      </c>
      <c r="U10" s="6">
        <f t="shared" si="5"/>
        <v>1.1873011167072144E-2</v>
      </c>
      <c r="W10" s="24">
        <f t="shared" si="6"/>
        <v>9.90709263759223E-3</v>
      </c>
      <c r="X10" s="24">
        <f t="shared" si="6"/>
        <v>1.9775435280088131E-2</v>
      </c>
      <c r="Y10" s="25">
        <f>U10*2.5</f>
        <v>2.9682527917680359E-2</v>
      </c>
      <c r="AA10" s="8">
        <f t="shared" si="7"/>
        <v>1100.4798501837449</v>
      </c>
      <c r="AB10" s="8">
        <f t="shared" si="8"/>
        <v>6887.4479256549348</v>
      </c>
      <c r="AC10" s="8">
        <f t="shared" si="9"/>
        <v>13635.055071849403</v>
      </c>
      <c r="AE10" s="11">
        <f t="shared" si="18"/>
        <v>2.0243587410963376E-4</v>
      </c>
      <c r="AF10" s="11">
        <f t="shared" si="19"/>
        <v>6.3472248417830021E-4</v>
      </c>
      <c r="AG10" s="11">
        <f t="shared" si="20"/>
        <v>8.3715835828793389E-4</v>
      </c>
      <c r="AI10" s="1">
        <f t="shared" si="10"/>
        <v>0.42598807673090971</v>
      </c>
      <c r="AJ10" s="1">
        <f t="shared" si="11"/>
        <v>2.4660464172545278</v>
      </c>
      <c r="AK10" s="1">
        <f t="shared" si="21"/>
        <v>2.5</v>
      </c>
      <c r="AL10" s="31">
        <f>'[1]2. Contribution'!$R$10</f>
        <v>1.6681929084309919</v>
      </c>
      <c r="AM10" s="1">
        <f t="shared" si="22"/>
        <v>2.0645576352767065</v>
      </c>
      <c r="AN10" s="1">
        <f t="shared" si="23"/>
        <v>17.438655847196991</v>
      </c>
      <c r="AO10" s="1">
        <f t="shared" si="24"/>
        <v>14.6931511431719</v>
      </c>
      <c r="AQ10">
        <v>53</v>
      </c>
      <c r="AR10">
        <v>52</v>
      </c>
      <c r="AS10">
        <v>105</v>
      </c>
      <c r="AU10" s="3">
        <v>10117132.792452833</v>
      </c>
      <c r="AV10" s="3">
        <v>7709113.788461538</v>
      </c>
      <c r="AW10" s="3">
        <v>8924590.0476190504</v>
      </c>
      <c r="BC10" s="3">
        <f t="shared" si="12"/>
        <v>48.939411955347488</v>
      </c>
      <c r="BD10" s="3">
        <f t="shared" si="13"/>
        <v>31.156033972373042</v>
      </c>
      <c r="BE10" s="3">
        <f t="shared" si="14"/>
        <v>35.456288077185143</v>
      </c>
    </row>
    <row r="11" spans="1:57" x14ac:dyDescent="0.25">
      <c r="A11" t="s">
        <v>25</v>
      </c>
      <c r="B11" t="s">
        <v>5</v>
      </c>
      <c r="C11" s="3">
        <v>578094390</v>
      </c>
      <c r="D11" s="3">
        <v>2417368533</v>
      </c>
      <c r="E11" s="3">
        <v>2995462923</v>
      </c>
      <c r="F11" s="3"/>
      <c r="G11" s="3">
        <v>9857143.9100000001</v>
      </c>
      <c r="H11" s="3">
        <v>50264318.289999999</v>
      </c>
      <c r="I11" s="3">
        <v>60121462.200000003</v>
      </c>
      <c r="K11" s="2">
        <f t="shared" si="15"/>
        <v>17.051097676280857</v>
      </c>
      <c r="L11" s="2">
        <f t="shared" si="16"/>
        <v>20.792989403076671</v>
      </c>
      <c r="M11" s="2">
        <f t="shared" si="17"/>
        <v>20.070841718109961</v>
      </c>
      <c r="O11" s="5">
        <f t="shared" si="0"/>
        <v>0.1871812120305916</v>
      </c>
      <c r="P11" s="5">
        <f t="shared" si="1"/>
        <v>0.26399663346761221</v>
      </c>
      <c r="Q11" s="5">
        <f t="shared" si="2"/>
        <v>0.24735383431468147</v>
      </c>
      <c r="S11" s="6">
        <f t="shared" si="3"/>
        <v>4.2170161068103749E-2</v>
      </c>
      <c r="T11" s="6">
        <f t="shared" si="4"/>
        <v>3.7145837639497234E-2</v>
      </c>
      <c r="U11" s="6">
        <f t="shared" si="5"/>
        <v>4.3826938254253892E-2</v>
      </c>
      <c r="W11" s="24">
        <f t="shared" si="6"/>
        <v>2.0838223538247672E-2</v>
      </c>
      <c r="X11" s="24">
        <f t="shared" si="6"/>
        <v>0.1062598973990886</v>
      </c>
      <c r="Y11" s="25">
        <f>U11*2.9</f>
        <v>0.12709812093733627</v>
      </c>
      <c r="AA11" s="8">
        <f t="shared" si="7"/>
        <v>2314.7098706285515</v>
      </c>
      <c r="AB11" s="8">
        <f t="shared" si="8"/>
        <v>37008.515845846778</v>
      </c>
      <c r="AC11" s="8">
        <f t="shared" si="9"/>
        <v>58384.174128137602</v>
      </c>
      <c r="AE11" s="11">
        <f t="shared" si="18"/>
        <v>2.3482561396717514E-4</v>
      </c>
      <c r="AF11" s="11">
        <f t="shared" si="19"/>
        <v>7.3627808164682812E-4</v>
      </c>
      <c r="AG11" s="11">
        <f t="shared" si="20"/>
        <v>9.7110369561400321E-4</v>
      </c>
      <c r="AI11" s="1">
        <f t="shared" si="10"/>
        <v>0.49414616900785524</v>
      </c>
      <c r="AJ11" s="1">
        <f t="shared" si="11"/>
        <v>2.8606138440152518</v>
      </c>
      <c r="AK11" s="1">
        <f t="shared" si="21"/>
        <v>2.8999999999999995</v>
      </c>
      <c r="AL11" s="31">
        <f>'[1]2. Contribution'!$R$11</f>
        <v>1.96238631651218</v>
      </c>
      <c r="AM11" s="1">
        <f t="shared" si="22"/>
        <v>4.0040344806469266</v>
      </c>
      <c r="AN11" s="1">
        <f t="shared" si="23"/>
        <v>15.309422349400117</v>
      </c>
      <c r="AO11" s="1">
        <f t="shared" si="24"/>
        <v>19.490868566540289</v>
      </c>
      <c r="AQ11">
        <v>48</v>
      </c>
      <c r="AR11">
        <v>52</v>
      </c>
      <c r="AS11">
        <v>100</v>
      </c>
      <c r="AU11" s="3">
        <v>12043633.124999998</v>
      </c>
      <c r="AV11" s="3">
        <v>49022856.384615384</v>
      </c>
      <c r="AW11" s="3">
        <v>31272829.219999995</v>
      </c>
      <c r="BC11" s="3">
        <f t="shared" si="12"/>
        <v>88.73914214980195</v>
      </c>
      <c r="BD11" s="3">
        <f t="shared" si="13"/>
        <v>144.32033228724916</v>
      </c>
      <c r="BE11" s="3">
        <f t="shared" si="14"/>
        <v>130.88007131614867</v>
      </c>
    </row>
    <row r="12" spans="1:57" x14ac:dyDescent="0.25">
      <c r="A12" t="s">
        <v>25</v>
      </c>
      <c r="B12" t="s">
        <v>6</v>
      </c>
      <c r="C12" s="3">
        <v>0</v>
      </c>
      <c r="D12" s="3">
        <v>2134771</v>
      </c>
      <c r="E12" s="3">
        <v>2134771</v>
      </c>
      <c r="F12" s="3"/>
      <c r="G12" s="3">
        <v>0</v>
      </c>
      <c r="H12" s="3">
        <v>253976.16000000056</v>
      </c>
      <c r="I12" s="3">
        <v>253976.16000000056</v>
      </c>
      <c r="K12" s="2">
        <f t="shared" si="15"/>
        <v>0</v>
      </c>
      <c r="L12" s="3">
        <f t="shared" si="16"/>
        <v>118.97114959871601</v>
      </c>
      <c r="M12" s="3">
        <f t="shared" si="17"/>
        <v>118.97114959871601</v>
      </c>
      <c r="O12" s="7">
        <f t="shared" si="0"/>
        <v>0</v>
      </c>
      <c r="P12" s="7">
        <f t="shared" si="1"/>
        <v>1.3339254067705327E-3</v>
      </c>
      <c r="Q12" s="7">
        <f t="shared" si="2"/>
        <v>1.0449176500653898E-3</v>
      </c>
      <c r="S12" s="6">
        <f t="shared" si="3"/>
        <v>0</v>
      </c>
      <c r="T12" s="6">
        <f t="shared" si="4"/>
        <v>1.8769094110125239E-4</v>
      </c>
      <c r="U12" s="7">
        <f t="shared" si="5"/>
        <v>1.8514182914154958E-4</v>
      </c>
      <c r="W12" s="28">
        <v>0</v>
      </c>
      <c r="X12" s="25">
        <f>2*T12</f>
        <v>3.7538188220250478E-4</v>
      </c>
      <c r="Y12" s="29">
        <f>2*U12</f>
        <v>3.7028365828309915E-4</v>
      </c>
      <c r="AA12" s="8">
        <f t="shared" si="7"/>
        <v>0</v>
      </c>
      <c r="AB12" s="8">
        <f t="shared" si="8"/>
        <v>130.73912807913496</v>
      </c>
      <c r="AC12" s="8">
        <f t="shared" si="9"/>
        <v>170.09461211989927</v>
      </c>
      <c r="AE12" s="11">
        <f t="shared" si="18"/>
        <v>0</v>
      </c>
      <c r="AF12" s="11">
        <f t="shared" si="19"/>
        <v>5.1476929204353149E-4</v>
      </c>
      <c r="AG12" s="11">
        <f t="shared" si="20"/>
        <v>6.6972668663034713E-4</v>
      </c>
      <c r="AI12" s="1">
        <f t="shared" si="10"/>
        <v>0</v>
      </c>
      <c r="AJ12" s="1">
        <f t="shared" si="11"/>
        <v>2</v>
      </c>
      <c r="AK12" s="1">
        <f t="shared" si="21"/>
        <v>2</v>
      </c>
      <c r="AL12" s="31">
        <f>'[1]2. Contribution'!$R$14</f>
        <v>1.7831338265746455</v>
      </c>
      <c r="AM12" s="1">
        <f t="shared" si="22"/>
        <v>0</v>
      </c>
      <c r="AN12" s="1">
        <f t="shared" si="23"/>
        <v>61.242694452536107</v>
      </c>
      <c r="AO12" s="1">
        <f t="shared" si="24"/>
        <v>79.678153825351416</v>
      </c>
      <c r="AQ12">
        <v>0</v>
      </c>
      <c r="AR12">
        <v>37</v>
      </c>
      <c r="AS12">
        <v>37</v>
      </c>
      <c r="AU12" s="3">
        <v>0</v>
      </c>
      <c r="AV12" s="3">
        <v>58260.972972972988</v>
      </c>
      <c r="AW12" s="3">
        <v>58260.972972972988</v>
      </c>
      <c r="BC12" s="3">
        <f t="shared" si="12"/>
        <v>0</v>
      </c>
      <c r="BD12" s="3">
        <f t="shared" si="13"/>
        <v>0.72922353373549831</v>
      </c>
      <c r="BE12" s="3">
        <f t="shared" si="14"/>
        <v>0.55288771625054811</v>
      </c>
    </row>
    <row r="13" spans="1:57" x14ac:dyDescent="0.25">
      <c r="A13" t="s">
        <v>25</v>
      </c>
      <c r="B13" t="s">
        <v>7</v>
      </c>
      <c r="C13" s="3">
        <v>0</v>
      </c>
      <c r="D13" s="3">
        <v>409346718</v>
      </c>
      <c r="E13" s="3">
        <v>409346718</v>
      </c>
      <c r="F13" s="3"/>
      <c r="G13" s="3">
        <v>0</v>
      </c>
      <c r="H13" s="3">
        <v>1848581.0920000002</v>
      </c>
      <c r="I13" s="3">
        <v>1848581.0920000002</v>
      </c>
      <c r="K13" s="2">
        <f t="shared" si="15"/>
        <v>0</v>
      </c>
      <c r="L13" s="3">
        <f t="shared" si="16"/>
        <v>4.5159299212947399</v>
      </c>
      <c r="M13" s="3">
        <f t="shared" si="17"/>
        <v>4.5159299212947399</v>
      </c>
      <c r="O13" s="7">
        <f t="shared" si="0"/>
        <v>0</v>
      </c>
      <c r="P13" s="7">
        <f t="shared" si="1"/>
        <v>9.7090580670816141E-3</v>
      </c>
      <c r="Q13" s="7">
        <f t="shared" si="2"/>
        <v>7.6054973451364421E-3</v>
      </c>
      <c r="S13" s="6">
        <f t="shared" si="3"/>
        <v>0</v>
      </c>
      <c r="T13" s="6">
        <f t="shared" si="4"/>
        <v>1.366120051816911E-3</v>
      </c>
      <c r="U13" s="7">
        <f t="shared" si="5"/>
        <v>1.3475661837290651E-3</v>
      </c>
      <c r="W13" s="28">
        <v>0</v>
      </c>
      <c r="X13" s="25">
        <f>2.2*T13</f>
        <v>3.0054641139972043E-3</v>
      </c>
      <c r="Y13" s="25">
        <f>2.2*U13</f>
        <v>2.9646456042039435E-3</v>
      </c>
      <c r="AA13" s="8">
        <f t="shared" si="7"/>
        <v>0</v>
      </c>
      <c r="AB13" s="8">
        <f t="shared" si="8"/>
        <v>1046.7520580152882</v>
      </c>
      <c r="AC13" s="8">
        <f t="shared" si="9"/>
        <v>1361.8484986839362</v>
      </c>
      <c r="AE13" s="11">
        <f t="shared" si="18"/>
        <v>0</v>
      </c>
      <c r="AF13" s="11">
        <f t="shared" si="19"/>
        <v>5.6624622124788455E-4</v>
      </c>
      <c r="AG13" s="11">
        <f t="shared" si="20"/>
        <v>7.3669935529338201E-4</v>
      </c>
      <c r="AI13" s="1">
        <f t="shared" si="10"/>
        <v>0</v>
      </c>
      <c r="AJ13" s="1">
        <f t="shared" si="11"/>
        <v>2.1999999999999997</v>
      </c>
      <c r="AK13" s="1">
        <f t="shared" si="21"/>
        <v>2.2000000000000006</v>
      </c>
      <c r="AL13" s="31">
        <f>'[1]2. Contribution'!$R$15</f>
        <v>2.1273647879389932</v>
      </c>
      <c r="AM13" s="1">
        <f t="shared" si="22"/>
        <v>0</v>
      </c>
      <c r="AN13" s="1">
        <f t="shared" si="23"/>
        <v>2.5571282533534032</v>
      </c>
      <c r="AO13" s="1">
        <f t="shared" si="24"/>
        <v>3.3268826615679283</v>
      </c>
      <c r="AQ13">
        <v>0</v>
      </c>
      <c r="AR13">
        <v>31</v>
      </c>
      <c r="AS13">
        <v>31</v>
      </c>
      <c r="AU13" s="3">
        <v>0</v>
      </c>
      <c r="AV13" s="3">
        <v>14800431.838709679</v>
      </c>
      <c r="AW13" s="3">
        <v>14800431.838709679</v>
      </c>
      <c r="BC13" s="3">
        <f t="shared" si="12"/>
        <v>0</v>
      </c>
      <c r="BD13" s="3">
        <f t="shared" si="13"/>
        <v>5.3076983143018754</v>
      </c>
      <c r="BE13" s="3">
        <f t="shared" si="14"/>
        <v>4.0242272277044524</v>
      </c>
    </row>
    <row r="14" spans="1:57" x14ac:dyDescent="0.25">
      <c r="A14" t="s">
        <v>25</v>
      </c>
      <c r="B14" t="s">
        <v>8</v>
      </c>
      <c r="C14" s="3">
        <v>0</v>
      </c>
      <c r="D14" s="3">
        <v>282697422</v>
      </c>
      <c r="E14" s="3">
        <v>282697422</v>
      </c>
      <c r="F14" s="3"/>
      <c r="G14" s="3">
        <v>0</v>
      </c>
      <c r="H14" s="3">
        <v>916267.48999999953</v>
      </c>
      <c r="I14" s="3">
        <v>916267.48999999953</v>
      </c>
      <c r="K14" s="2">
        <f t="shared" si="15"/>
        <v>0</v>
      </c>
      <c r="L14" s="3">
        <f t="shared" si="16"/>
        <v>3.2411596947636809</v>
      </c>
      <c r="M14" s="3">
        <f t="shared" si="17"/>
        <v>3.2411596947636809</v>
      </c>
      <c r="O14" s="7">
        <f t="shared" si="0"/>
        <v>0</v>
      </c>
      <c r="P14" s="7">
        <f t="shared" si="1"/>
        <v>4.8123905972468507E-3</v>
      </c>
      <c r="Q14" s="7">
        <f t="shared" si="2"/>
        <v>3.7697399333941838E-3</v>
      </c>
      <c r="S14" s="6">
        <f t="shared" si="3"/>
        <v>0</v>
      </c>
      <c r="T14" s="6">
        <f t="shared" si="4"/>
        <v>6.7713090669054097E-4</v>
      </c>
      <c r="U14" s="7">
        <f t="shared" si="5"/>
        <v>6.6793449858260719E-4</v>
      </c>
      <c r="W14" s="28">
        <v>0</v>
      </c>
      <c r="X14" s="25">
        <f>2.4*T14</f>
        <v>1.6251141760572983E-3</v>
      </c>
      <c r="Y14" s="29">
        <f>2.4*U14</f>
        <v>1.6030427965982572E-3</v>
      </c>
      <c r="AA14" s="8">
        <f t="shared" si="7"/>
        <v>0</v>
      </c>
      <c r="AB14" s="8">
        <f t="shared" si="8"/>
        <v>565.99964057976399</v>
      </c>
      <c r="AC14" s="8">
        <f t="shared" si="9"/>
        <v>736.37854817376524</v>
      </c>
      <c r="AE14" s="11">
        <f t="shared" si="18"/>
        <v>0</v>
      </c>
      <c r="AF14" s="11">
        <f t="shared" si="19"/>
        <v>6.1772315045223783E-4</v>
      </c>
      <c r="AG14" s="11">
        <f t="shared" si="20"/>
        <v>8.0367202395641645E-4</v>
      </c>
      <c r="AI14" s="1">
        <f t="shared" si="10"/>
        <v>0</v>
      </c>
      <c r="AJ14" s="1">
        <f t="shared" si="11"/>
        <v>2.4000000000000004</v>
      </c>
      <c r="AK14" s="1">
        <f t="shared" si="21"/>
        <v>2.4</v>
      </c>
      <c r="AL14" s="31">
        <f>'[1]2. Contribution'!$R$13</f>
        <v>2.2902283341649992</v>
      </c>
      <c r="AM14" s="1">
        <f t="shared" si="22"/>
        <v>0</v>
      </c>
      <c r="AN14" s="1">
        <f t="shared" si="23"/>
        <v>2.0021393777682346</v>
      </c>
      <c r="AO14" s="1">
        <f t="shared" si="24"/>
        <v>2.6048293718566886</v>
      </c>
      <c r="AQ14">
        <v>0</v>
      </c>
      <c r="AR14">
        <v>29</v>
      </c>
      <c r="AS14">
        <v>29</v>
      </c>
      <c r="AU14" s="3">
        <v>0</v>
      </c>
      <c r="AV14" s="3">
        <v>9973690.8620689642</v>
      </c>
      <c r="AW14" s="3">
        <v>9973690.8620689642</v>
      </c>
      <c r="BC14" s="3">
        <f t="shared" si="12"/>
        <v>0</v>
      </c>
      <c r="BD14" s="3">
        <f t="shared" si="13"/>
        <v>2.6308131318496728</v>
      </c>
      <c r="BE14" s="3">
        <f t="shared" si="14"/>
        <v>1.9946480016892949</v>
      </c>
    </row>
    <row r="15" spans="1:57" x14ac:dyDescent="0.25">
      <c r="A15" t="s">
        <v>25</v>
      </c>
      <c r="B15" s="18" t="s">
        <v>9</v>
      </c>
      <c r="C15" s="3">
        <v>0</v>
      </c>
      <c r="D15" s="3">
        <v>3414.5174193548387</v>
      </c>
      <c r="E15" s="3">
        <v>3414.5174193548387</v>
      </c>
      <c r="F15" s="3"/>
      <c r="G15" s="3">
        <v>0</v>
      </c>
      <c r="H15" s="3">
        <v>409742.09032258019</v>
      </c>
      <c r="I15" s="3">
        <v>409742.09032258019</v>
      </c>
      <c r="K15" s="1">
        <f>IFERROR(G15/C15,0)</f>
        <v>0</v>
      </c>
      <c r="L15" s="3">
        <f>IFERROR(H15/D15,0)</f>
        <v>119.99999999999987</v>
      </c>
      <c r="M15" s="3">
        <f>IFERROR(I15/E15,0)</f>
        <v>119.99999999999987</v>
      </c>
      <c r="O15" s="7">
        <f t="shared" si="0"/>
        <v>0</v>
      </c>
      <c r="P15" s="7">
        <f t="shared" si="1"/>
        <v>2.1520342086617694E-3</v>
      </c>
      <c r="Q15" s="7">
        <f t="shared" si="2"/>
        <v>1.6857753190407726E-3</v>
      </c>
      <c r="S15" s="6">
        <f>G15/G$3</f>
        <v>0</v>
      </c>
      <c r="T15" s="6">
        <f t="shared" si="4"/>
        <v>3.0280353298293533E-4</v>
      </c>
      <c r="U15" s="7">
        <f t="shared" si="5"/>
        <v>2.9869102705783228E-4</v>
      </c>
      <c r="W15" s="28">
        <v>0</v>
      </c>
      <c r="X15" s="25">
        <f>1.9*T15</f>
        <v>5.7532671266757711E-4</v>
      </c>
      <c r="Y15" s="29">
        <f>1.9*U15</f>
        <v>5.6751295140988127E-4</v>
      </c>
      <c r="AA15" s="8">
        <f t="shared" si="7"/>
        <v>0</v>
      </c>
      <c r="AB15" s="8">
        <f t="shared" si="8"/>
        <v>200.37651346800175</v>
      </c>
      <c r="AC15" s="8">
        <f t="shared" si="9"/>
        <v>260.69445189849728</v>
      </c>
      <c r="AE15" s="11">
        <f t="shared" si="18"/>
        <v>0</v>
      </c>
      <c r="AF15" s="11">
        <f t="shared" si="19"/>
        <v>4.8903082744135491E-4</v>
      </c>
      <c r="AG15" s="11">
        <f t="shared" si="20"/>
        <v>6.3624035229882959E-4</v>
      </c>
      <c r="AI15" s="1">
        <f t="shared" si="10"/>
        <v>0</v>
      </c>
      <c r="AJ15" s="1">
        <f t="shared" si="11"/>
        <v>1.9</v>
      </c>
      <c r="AK15" s="1">
        <f t="shared" si="21"/>
        <v>1.8999999999999995</v>
      </c>
      <c r="AL15" s="31">
        <f>'[1]2. Contribution'!$R$12</f>
        <v>1.6552315566620455</v>
      </c>
      <c r="AM15" s="1">
        <f t="shared" si="22"/>
        <v>0</v>
      </c>
      <c r="AN15" s="1">
        <f t="shared" si="23"/>
        <v>58683.699292962512</v>
      </c>
      <c r="AO15" s="3">
        <f t="shared" si="24"/>
        <v>76348.842275859453</v>
      </c>
      <c r="AQ15">
        <v>0</v>
      </c>
      <c r="AR15">
        <v>27</v>
      </c>
      <c r="AS15">
        <v>27</v>
      </c>
      <c r="AU15" s="3">
        <v>0</v>
      </c>
      <c r="AV15" s="3">
        <v>17071.753333333327</v>
      </c>
      <c r="AW15" s="3">
        <v>17071.753333333327</v>
      </c>
      <c r="BC15" s="3">
        <f t="shared" si="12"/>
        <v>0</v>
      </c>
      <c r="BD15" s="3">
        <f t="shared" si="13"/>
        <v>1.1764630783660994</v>
      </c>
      <c r="BE15" s="3">
        <f t="shared" si="14"/>
        <v>0.89197887144280275</v>
      </c>
    </row>
    <row r="17" spans="1:57" x14ac:dyDescent="0.25">
      <c r="C17" s="5">
        <f t="shared" ref="C17:D20" si="25">C7/$E7</f>
        <v>0.17281813669696247</v>
      </c>
      <c r="D17" s="5">
        <f t="shared" si="25"/>
        <v>0.82718186330303767</v>
      </c>
      <c r="E17" s="5">
        <f>D7/C7-1</f>
        <v>3.7864297064694394</v>
      </c>
      <c r="G17" s="5">
        <f t="shared" ref="G17:H21" si="26">G7/$I7</f>
        <v>0.18250786254255527</v>
      </c>
      <c r="H17" s="5">
        <f t="shared" si="26"/>
        <v>0.81749213745744465</v>
      </c>
      <c r="I17" s="5">
        <f>H7/G7-1</f>
        <v>3.4792159968824929</v>
      </c>
      <c r="W17" s="22">
        <f t="shared" ref="W17:X21" si="27">$Y7*G17</f>
        <v>4.502202693876281E-2</v>
      </c>
      <c r="X17" s="22">
        <f t="shared" si="27"/>
        <v>0.20166338327618089</v>
      </c>
    </row>
    <row r="18" spans="1:57" x14ac:dyDescent="0.25">
      <c r="C18" s="5">
        <f t="shared" si="25"/>
        <v>0.41195776533329548</v>
      </c>
      <c r="D18" s="5">
        <f t="shared" si="25"/>
        <v>0.58804223466670447</v>
      </c>
      <c r="E18" s="5">
        <f>D8/C8-1</f>
        <v>0.42743330542864588</v>
      </c>
      <c r="G18" s="5">
        <f t="shared" si="26"/>
        <v>0.31648011661407255</v>
      </c>
      <c r="H18" s="5">
        <f t="shared" si="26"/>
        <v>0.68351988338592751</v>
      </c>
      <c r="I18" s="5">
        <f>H8/G8-1</f>
        <v>1.1597561663547942</v>
      </c>
      <c r="W18" s="22">
        <f t="shared" si="27"/>
        <v>3.8459290895280801E-2</v>
      </c>
      <c r="X18" s="22">
        <f t="shared" si="27"/>
        <v>8.3062690664715499E-2</v>
      </c>
      <c r="AK18" t="s">
        <v>39</v>
      </c>
      <c r="AL18" s="33">
        <v>8.7000000000000001E-4</v>
      </c>
      <c r="AM18">
        <v>3.6549259734078956</v>
      </c>
      <c r="AN18" t="s">
        <v>40</v>
      </c>
    </row>
    <row r="19" spans="1:57" x14ac:dyDescent="0.25">
      <c r="C19" s="5">
        <f t="shared" si="25"/>
        <v>0.4824287837085745</v>
      </c>
      <c r="D19" s="5">
        <f t="shared" si="25"/>
        <v>0.51757121629142544</v>
      </c>
      <c r="E19" s="5">
        <f>D9/C9-1</f>
        <v>7.2844808953355766E-2</v>
      </c>
      <c r="G19" s="5">
        <f t="shared" si="26"/>
        <v>0.25289418718668888</v>
      </c>
      <c r="H19" s="5">
        <f t="shared" si="26"/>
        <v>0.74710581281331112</v>
      </c>
      <c r="I19" s="5">
        <f>H9/G9-1</f>
        <v>1.9542229543686207</v>
      </c>
      <c r="W19" s="22">
        <f t="shared" si="27"/>
        <v>1.7542970747319929E-3</v>
      </c>
      <c r="X19" s="22">
        <f t="shared" si="27"/>
        <v>5.1825846869549778E-3</v>
      </c>
      <c r="AL19" s="28">
        <f>AL18*AM19</f>
        <v>2.088E-3</v>
      </c>
      <c r="AM19">
        <v>2.4</v>
      </c>
      <c r="AN19" t="s">
        <v>41</v>
      </c>
    </row>
    <row r="20" spans="1:57" x14ac:dyDescent="0.25">
      <c r="C20" s="5">
        <f t="shared" si="25"/>
        <v>0.57439828335376775</v>
      </c>
      <c r="D20" s="5">
        <f t="shared" si="25"/>
        <v>0.42560171664623225</v>
      </c>
      <c r="E20" s="5">
        <f>D10/C10-1</f>
        <v>-0.2590477217981042</v>
      </c>
      <c r="G20" s="5">
        <f t="shared" si="26"/>
        <v>0.33376849387855145</v>
      </c>
      <c r="H20" s="5">
        <f t="shared" si="26"/>
        <v>0.66623150612144855</v>
      </c>
      <c r="I20" s="5">
        <f>H10/G10-1</f>
        <v>0.9960886612739146</v>
      </c>
      <c r="W20" s="22">
        <f t="shared" si="27"/>
        <v>9.90709263759223E-3</v>
      </c>
      <c r="X20" s="22">
        <f t="shared" si="27"/>
        <v>1.9775435280088131E-2</v>
      </c>
      <c r="AL20" s="34">
        <f>AL19/AM18</f>
        <v>5.7128380032636465E-4</v>
      </c>
    </row>
    <row r="21" spans="1:57" x14ac:dyDescent="0.25">
      <c r="C21" s="5"/>
      <c r="D21" s="5"/>
      <c r="E21" s="5"/>
      <c r="G21" s="5">
        <f t="shared" si="26"/>
        <v>0.16395382862128724</v>
      </c>
      <c r="H21" s="5">
        <f t="shared" si="26"/>
        <v>0.83604617137871273</v>
      </c>
      <c r="I21" s="5">
        <f>H11/G11-1</f>
        <v>4.0992781224394239</v>
      </c>
      <c r="W21" s="22">
        <f t="shared" si="27"/>
        <v>2.0838223538247672E-2</v>
      </c>
      <c r="X21" s="22">
        <f t="shared" si="27"/>
        <v>0.1062598973990886</v>
      </c>
    </row>
    <row r="22" spans="1:57" x14ac:dyDescent="0.25">
      <c r="C22" s="5"/>
      <c r="D22" s="5"/>
      <c r="E22" s="5"/>
      <c r="G22" s="5"/>
      <c r="H22" s="5"/>
      <c r="I22" s="5"/>
      <c r="W22" s="12"/>
      <c r="X22" s="12"/>
    </row>
    <row r="23" spans="1:57" x14ac:dyDescent="0.25">
      <c r="C23" s="5">
        <f>C11/$E11</f>
        <v>0.1929900001636575</v>
      </c>
      <c r="D23" s="5">
        <f>D11/$E11</f>
        <v>0.80700999983634247</v>
      </c>
      <c r="E23" s="5">
        <f>D11/C11-1</f>
        <v>3.1816156233586694</v>
      </c>
      <c r="G23" s="5"/>
      <c r="H23" s="5"/>
      <c r="I23" s="5"/>
      <c r="W23" s="12"/>
      <c r="X23" s="12"/>
      <c r="AI23" s="32">
        <v>1.0300000000000001E-3</v>
      </c>
      <c r="AJ23">
        <f>AI23*0.2</f>
        <v>2.0600000000000002E-4</v>
      </c>
    </row>
    <row r="24" spans="1:57" ht="15.75" thickBot="1" x14ac:dyDescent="0.3"/>
    <row r="25" spans="1:57" s="17" customFormat="1" ht="3.75" customHeight="1" thickBot="1" x14ac:dyDescent="0.3">
      <c r="A25" s="16"/>
    </row>
    <row r="26" spans="1:57" x14ac:dyDescent="0.25">
      <c r="B26" s="15" t="s">
        <v>18</v>
      </c>
      <c r="C26" s="3">
        <v>212600000</v>
      </c>
      <c r="D26" s="13">
        <v>213993437</v>
      </c>
      <c r="G26" s="14">
        <v>91520</v>
      </c>
      <c r="H26" s="14">
        <v>244874</v>
      </c>
      <c r="I26" s="14">
        <v>336394</v>
      </c>
    </row>
    <row r="27" spans="1:57" x14ac:dyDescent="0.25">
      <c r="B27" s="15" t="s">
        <v>20</v>
      </c>
      <c r="C27" s="12">
        <v>0.6</v>
      </c>
      <c r="D27" s="12">
        <v>0.6</v>
      </c>
      <c r="G27" s="14">
        <v>2104.311197827546</v>
      </c>
      <c r="H27" s="14">
        <v>3885.2356403397698</v>
      </c>
      <c r="I27" s="14">
        <v>2986.2928265002702</v>
      </c>
    </row>
    <row r="28" spans="1:57" x14ac:dyDescent="0.25">
      <c r="B28" s="15" t="s">
        <v>19</v>
      </c>
      <c r="C28" s="3">
        <f>C26*C27</f>
        <v>127560000</v>
      </c>
      <c r="D28" s="3">
        <f>D26*D27</f>
        <v>128396062.19999999</v>
      </c>
      <c r="G28" s="14">
        <f>G27*G26</f>
        <v>192586560.82517701</v>
      </c>
      <c r="H28" s="14">
        <f>H27*H26</f>
        <v>951393192.19256079</v>
      </c>
      <c r="I28" s="14">
        <f>I27*I26</f>
        <v>1004570989.0777318</v>
      </c>
    </row>
    <row r="29" spans="1:57" x14ac:dyDescent="0.25">
      <c r="B29" s="15"/>
      <c r="C29" s="3">
        <f>(C33/C28)</f>
        <v>15.65148387985486</v>
      </c>
      <c r="D29" s="3">
        <f>(D33/D28)</f>
        <v>23.547726777558449</v>
      </c>
    </row>
    <row r="31" spans="1:57" x14ac:dyDescent="0.25">
      <c r="A31" s="18" t="s">
        <v>33</v>
      </c>
      <c r="B31" s="20" t="s">
        <v>0</v>
      </c>
      <c r="C31" s="20">
        <v>2020</v>
      </c>
      <c r="D31" s="20">
        <v>2021</v>
      </c>
      <c r="E31" s="20" t="s">
        <v>15</v>
      </c>
      <c r="F31" s="20"/>
      <c r="G31" s="20">
        <v>2020</v>
      </c>
      <c r="H31" s="20">
        <v>2021</v>
      </c>
      <c r="I31" s="20" t="s">
        <v>15</v>
      </c>
      <c r="J31" s="20"/>
      <c r="K31" s="20">
        <v>2020</v>
      </c>
      <c r="L31" s="20">
        <v>2021</v>
      </c>
      <c r="M31" s="20" t="s">
        <v>15</v>
      </c>
      <c r="N31" s="20"/>
      <c r="O31" s="20">
        <v>2020</v>
      </c>
      <c r="P31" s="20">
        <v>2021</v>
      </c>
      <c r="Q31" s="20" t="s">
        <v>15</v>
      </c>
      <c r="R31" s="20"/>
      <c r="S31" s="20">
        <v>2020</v>
      </c>
      <c r="T31" s="20">
        <v>2021</v>
      </c>
      <c r="U31" s="20" t="s">
        <v>15</v>
      </c>
      <c r="V31" s="20"/>
      <c r="W31" s="20">
        <v>2020</v>
      </c>
      <c r="X31" s="20">
        <v>2021</v>
      </c>
      <c r="Y31" s="20" t="s">
        <v>15</v>
      </c>
      <c r="Z31" s="20"/>
      <c r="AA31" s="20">
        <v>2020</v>
      </c>
      <c r="AB31" s="20">
        <v>2021</v>
      </c>
      <c r="AC31" s="20" t="s">
        <v>15</v>
      </c>
      <c r="AD31" s="20"/>
      <c r="AE31" s="20">
        <v>2020</v>
      </c>
      <c r="AF31" s="20">
        <v>2021</v>
      </c>
      <c r="AG31" s="20" t="s">
        <v>15</v>
      </c>
      <c r="AH31" s="20"/>
      <c r="AI31" s="20">
        <v>2020</v>
      </c>
      <c r="AJ31" s="20">
        <v>2021</v>
      </c>
      <c r="AK31" s="20" t="s">
        <v>15</v>
      </c>
      <c r="AL31" s="20"/>
      <c r="AM31" s="20">
        <v>2020</v>
      </c>
      <c r="AN31" s="20">
        <v>2021</v>
      </c>
      <c r="AO31" s="20" t="s">
        <v>15</v>
      </c>
      <c r="AP31" s="20"/>
      <c r="AQ31" s="20">
        <v>2020</v>
      </c>
      <c r="AR31" s="20">
        <v>2021</v>
      </c>
      <c r="AS31" s="20" t="s">
        <v>15</v>
      </c>
      <c r="AT31" s="20"/>
      <c r="AU31" s="20">
        <v>2020</v>
      </c>
      <c r="AV31" s="20">
        <v>2021</v>
      </c>
      <c r="AW31" s="20" t="s">
        <v>15</v>
      </c>
      <c r="AX31" s="20"/>
      <c r="AY31" s="20">
        <v>2020</v>
      </c>
      <c r="AZ31" s="20">
        <v>2021</v>
      </c>
      <c r="BA31" s="20" t="s">
        <v>15</v>
      </c>
      <c r="BB31" s="20"/>
      <c r="BC31" s="20">
        <v>2020</v>
      </c>
      <c r="BD31" s="20">
        <v>2021</v>
      </c>
      <c r="BE31" s="20" t="s">
        <v>15</v>
      </c>
    </row>
    <row r="32" spans="1:57" x14ac:dyDescent="0.25">
      <c r="A32" t="s">
        <v>26</v>
      </c>
      <c r="B32" t="s">
        <v>1</v>
      </c>
      <c r="C32" s="3">
        <v>1526869231.7142859</v>
      </c>
      <c r="D32" s="3">
        <v>7687222519.2857141</v>
      </c>
      <c r="E32" s="3">
        <f>SUM(C32:D32)</f>
        <v>9214091751</v>
      </c>
      <c r="G32" s="3">
        <v>19300273.691428568</v>
      </c>
      <c r="H32" s="3">
        <v>86450094.66285716</v>
      </c>
      <c r="I32" s="3">
        <f>SUM(G32:H32)</f>
        <v>105750368.35428573</v>
      </c>
      <c r="K32" s="2">
        <f>IFERROR(G32/C32,0)*1000</f>
        <v>12.640423482605167</v>
      </c>
      <c r="L32" s="3">
        <f>IFERROR(H32/D32,0)*1000</f>
        <v>11.245946692185772</v>
      </c>
      <c r="M32" s="3">
        <f>IFERROR(I32/E32,0)*1000</f>
        <v>11.477025757075699</v>
      </c>
      <c r="O32" s="5">
        <f>G32/SUM($G$32:$G$41)</f>
        <v>0.36643906405048265</v>
      </c>
      <c r="P32" s="5">
        <f t="shared" ref="P32:P41" si="28">H32/SUM($H$32:$H$41)</f>
        <v>0.42902114446210088</v>
      </c>
      <c r="Q32" s="5">
        <f t="shared" ref="Q32:Q41" si="29">I32/SUM($I$32:$I$41)</f>
        <v>0.41605298181469275</v>
      </c>
      <c r="S32" s="6">
        <f>G32/G$28</f>
        <v>0.10021609819881797</v>
      </c>
      <c r="T32" s="6">
        <f>H32/H$28</f>
        <v>9.0866841777190024E-2</v>
      </c>
      <c r="U32" s="7">
        <f>I32/I$28</f>
        <v>0.10526918406370878</v>
      </c>
      <c r="W32" s="24">
        <f t="shared" ref="W32:X34" si="30">$Y32*G43</f>
        <v>2.6652482918680657E-2</v>
      </c>
      <c r="X32" s="24">
        <f t="shared" si="30"/>
        <v>5.756286433228637E-2</v>
      </c>
      <c r="Y32" s="25">
        <f>U32*0.8</f>
        <v>8.4215347250967021E-2</v>
      </c>
      <c r="AA32" s="8">
        <f>W32*G$26</f>
        <v>2439.2352367176536</v>
      </c>
      <c r="AB32" s="8">
        <f>X32*H$26</f>
        <v>14095.648840504293</v>
      </c>
      <c r="AC32" s="8">
        <f>Y32*I$26</f>
        <v>28329.5375231418</v>
      </c>
      <c r="AE32" s="11">
        <f>IFERROR(AA32/G32,0)</f>
        <v>1.2638345319429024E-4</v>
      </c>
      <c r="AF32" s="11">
        <f>IFERROR(AB32/H32,0)</f>
        <v>1.6304954778216589E-4</v>
      </c>
      <c r="AG32" s="11">
        <f>IFERROR(AC32/I32,0)</f>
        <v>2.6789067465213885E-4</v>
      </c>
      <c r="AI32" s="1">
        <f>IFERROR(AE32*G$2,0)</f>
        <v>0.26595011577685851</v>
      </c>
      <c r="AJ32" s="1">
        <f>IFERROR(AF32*H$2,0)</f>
        <v>0.63348591418455313</v>
      </c>
      <c r="AK32" s="1">
        <f>IFERROR(AG32*I$2,0)</f>
        <v>0.8</v>
      </c>
      <c r="AL32" s="31">
        <f>'[1]2. Contribution'!$R$19</f>
        <v>1.3795265149019007</v>
      </c>
      <c r="AM32" s="1">
        <f>IFERROR(AA32/C32,0)*1000000</f>
        <v>1.5975403695698371</v>
      </c>
      <c r="AN32" s="1">
        <f t="shared" ref="AN32:AN39" si="31">IFERROR(AB32/D32,0)*1000000</f>
        <v>1.8336465225432346</v>
      </c>
      <c r="AO32" s="1">
        <f t="shared" ref="AO32:AO41" si="32">IFERROR(AC32/E32,0)*1000000</f>
        <v>3.0745881730629838</v>
      </c>
      <c r="AQ32">
        <v>45</v>
      </c>
      <c r="AR32">
        <v>52</v>
      </c>
      <c r="AS32">
        <v>97</v>
      </c>
      <c r="AU32" s="3">
        <v>35299182.269841269</v>
      </c>
      <c r="AV32" s="3">
        <v>146646702.86263734</v>
      </c>
      <c r="AW32" s="3">
        <v>94990636.608247429</v>
      </c>
      <c r="BC32" s="3">
        <f>G32/G$26</f>
        <v>210.88585764235762</v>
      </c>
      <c r="BD32" s="3">
        <f>H32/H$26</f>
        <v>353.03909219785345</v>
      </c>
      <c r="BE32" s="3">
        <f>I32/I$26</f>
        <v>314.36460922099008</v>
      </c>
    </row>
    <row r="33" spans="1:57" x14ac:dyDescent="0.25">
      <c r="A33" t="s">
        <v>25</v>
      </c>
      <c r="B33" t="s">
        <v>2</v>
      </c>
      <c r="C33" s="3">
        <v>1996503283.7142859</v>
      </c>
      <c r="D33" s="3">
        <v>3023435392</v>
      </c>
      <c r="E33" s="3">
        <f t="shared" ref="E33:E41" si="33">SUM(C33:D33)</f>
        <v>5019938675.7142859</v>
      </c>
      <c r="G33" s="3">
        <v>17586054.725714285</v>
      </c>
      <c r="H33" s="3">
        <v>37981590.135714293</v>
      </c>
      <c r="I33" s="3">
        <f t="shared" ref="I33:I41" si="34">SUM(G33:H33)</f>
        <v>55567644.861428574</v>
      </c>
      <c r="K33" s="2">
        <f t="shared" ref="K33:K41" si="35">IFERROR(G33/C33,0)*1000</f>
        <v>8.8084276490631499</v>
      </c>
      <c r="L33" s="3">
        <f t="shared" ref="L33:L40" si="36">IFERROR(H33/D33,0)*1000</f>
        <v>12.56239516022517</v>
      </c>
      <c r="M33" s="3">
        <f t="shared" ref="M33:M40" si="37">IFERROR(I33/E33,0)*1000</f>
        <v>11.06938718798629</v>
      </c>
      <c r="O33" s="5">
        <f t="shared" ref="O33:O41" si="38">G33/SUM($G$7:$G$15)</f>
        <v>0.33394856242851717</v>
      </c>
      <c r="P33" s="5">
        <f t="shared" si="28"/>
        <v>0.18848915472056285</v>
      </c>
      <c r="Q33" s="5">
        <f t="shared" si="29"/>
        <v>0.21861942134861889</v>
      </c>
      <c r="S33" s="6">
        <f t="shared" ref="S33:S41" si="39">G33/G$28</f>
        <v>9.1315067107295492E-2</v>
      </c>
      <c r="T33" s="6">
        <f t="shared" ref="T33:T41" si="40">H33/H$28</f>
        <v>3.9922074750380246E-2</v>
      </c>
      <c r="U33" s="7">
        <f t="shared" ref="U33:U41" si="41">I33/I$28</f>
        <v>5.531480150789906E-2</v>
      </c>
      <c r="W33" s="24">
        <f t="shared" si="30"/>
        <v>1.5173651231201332E-2</v>
      </c>
      <c r="X33" s="24">
        <f t="shared" si="30"/>
        <v>4.4826348768798666E-2</v>
      </c>
      <c r="Y33" s="25">
        <v>0.06</v>
      </c>
      <c r="AA33" s="8">
        <f t="shared" ref="AA33:AA41" si="42">W33*G$26</f>
        <v>1388.692560679546</v>
      </c>
      <c r="AB33" s="8">
        <f t="shared" ref="AB33:AB41" si="43">X33*H$26</f>
        <v>10976.807328410805</v>
      </c>
      <c r="AC33" s="8">
        <f t="shared" ref="AC33:AC41" si="44">Y33*I$26</f>
        <v>20183.64</v>
      </c>
      <c r="AE33" s="11">
        <f t="shared" ref="AE33:AE41" si="45">IFERROR(AA33/G33,0)</f>
        <v>7.8965554374683204E-5</v>
      </c>
      <c r="AF33" s="11">
        <f t="shared" ref="AF33:AF41" si="46">IFERROR(AB33/H33,0)</f>
        <v>2.8900336424012051E-4</v>
      </c>
      <c r="AG33" s="11">
        <f t="shared" ref="AG33:AG41" si="47">IFERROR(AC33/I33,0)</f>
        <v>3.6322647919185365E-4</v>
      </c>
      <c r="AI33" s="1">
        <f t="shared" ref="AI33:AI41" si="48">IFERROR(AE33*G$2,0)</f>
        <v>0.16616810031330584</v>
      </c>
      <c r="AJ33" s="1">
        <f t="shared" ref="AJ33:AJ41" si="49">IFERROR(AF33*H$2,0)</f>
        <v>1.1228461709238124</v>
      </c>
      <c r="AK33" s="1">
        <f t="shared" ref="AK33:AK41" si="50">IFERROR(AG33*I$2,0)</f>
        <v>1.0847006292055823</v>
      </c>
      <c r="AL33" s="31">
        <f>'[1]2. Contribution'!$R$17</f>
        <v>1.63902694943454</v>
      </c>
      <c r="AM33" s="1">
        <f t="shared" ref="AM33:AM39" si="51">IFERROR(AA33/C33,0)*1000000</f>
        <v>0.69556237247755914</v>
      </c>
      <c r="AN33" s="1">
        <f t="shared" si="31"/>
        <v>3.6305744642188817</v>
      </c>
      <c r="AO33" s="1">
        <f t="shared" si="32"/>
        <v>4.0206945351036731</v>
      </c>
      <c r="AQ33">
        <v>53</v>
      </c>
      <c r="AR33">
        <v>52</v>
      </c>
      <c r="AS33">
        <v>105</v>
      </c>
      <c r="AU33" s="3">
        <v>39214804.320754714</v>
      </c>
      <c r="AV33" s="3">
        <v>56972636.269230776</v>
      </c>
      <c r="AW33" s="3">
        <v>48009159.190476179</v>
      </c>
      <c r="BC33" s="3">
        <f t="shared" ref="BC33:BC41" si="52">G33/G$26</f>
        <v>192.15531824425574</v>
      </c>
      <c r="BD33" s="3">
        <f t="shared" ref="BD33:BD41" si="53">H33/H$26</f>
        <v>155.10666765648574</v>
      </c>
      <c r="BE33" s="3">
        <f t="shared" ref="BE33:BE41" si="54">I33/I$26</f>
        <v>165.1861949423253</v>
      </c>
    </row>
    <row r="34" spans="1:57" x14ac:dyDescent="0.25">
      <c r="A34" t="s">
        <v>26</v>
      </c>
      <c r="B34" t="s">
        <v>3</v>
      </c>
      <c r="C34" s="3">
        <v>361453745</v>
      </c>
      <c r="D34" s="3">
        <v>389099161</v>
      </c>
      <c r="E34" s="3">
        <f t="shared" si="33"/>
        <v>750552906</v>
      </c>
      <c r="G34" s="3">
        <v>481306.29000000004</v>
      </c>
      <c r="H34" s="3">
        <v>1421886.0900000003</v>
      </c>
      <c r="I34" s="3">
        <f t="shared" si="34"/>
        <v>1903192.3800000004</v>
      </c>
      <c r="K34" s="2">
        <f t="shared" si="35"/>
        <v>1.3315847370733427</v>
      </c>
      <c r="L34" s="3">
        <f t="shared" si="36"/>
        <v>3.654302636751253</v>
      </c>
      <c r="M34" s="3">
        <f t="shared" si="37"/>
        <v>2.5357204865715359</v>
      </c>
      <c r="O34" s="5">
        <f t="shared" si="38"/>
        <v>9.1397158794395052E-3</v>
      </c>
      <c r="P34" s="5">
        <f t="shared" si="28"/>
        <v>7.0563161325100732E-3</v>
      </c>
      <c r="Q34" s="5">
        <f t="shared" si="29"/>
        <v>7.4877173194632341E-3</v>
      </c>
      <c r="S34" s="6">
        <f t="shared" si="39"/>
        <v>2.4991686228662247E-3</v>
      </c>
      <c r="T34" s="6">
        <f t="shared" si="40"/>
        <v>1.4945304440566276E-3</v>
      </c>
      <c r="U34" s="7">
        <f t="shared" si="41"/>
        <v>1.894532492668604E-3</v>
      </c>
      <c r="W34" s="24">
        <f t="shared" si="30"/>
        <v>1.8970057700459335E-3</v>
      </c>
      <c r="X34" s="24">
        <f t="shared" si="30"/>
        <v>3.7865917079598788E-3</v>
      </c>
      <c r="Y34" s="25">
        <f>U34*3</f>
        <v>5.6835974780058123E-3</v>
      </c>
      <c r="AA34" s="8">
        <f t="shared" si="42"/>
        <v>173.61396807460383</v>
      </c>
      <c r="AB34" s="8">
        <f t="shared" si="43"/>
        <v>927.23785789496742</v>
      </c>
      <c r="AC34" s="8">
        <f t="shared" si="44"/>
        <v>1911.9280900162873</v>
      </c>
      <c r="AE34" s="11">
        <f t="shared" si="45"/>
        <v>3.607141059274414E-4</v>
      </c>
      <c r="AF34" s="11">
        <f t="shared" si="46"/>
        <v>6.5211824239378216E-4</v>
      </c>
      <c r="AG34" s="11">
        <f t="shared" si="47"/>
        <v>1.0045900299455208E-3</v>
      </c>
      <c r="AI34" s="1">
        <f t="shared" si="48"/>
        <v>0.75905473231746656</v>
      </c>
      <c r="AJ34" s="1">
        <f t="shared" si="49"/>
        <v>2.5336330370640514</v>
      </c>
      <c r="AK34" s="1">
        <f t="shared" si="50"/>
        <v>3.0000000000000004</v>
      </c>
      <c r="AL34" s="31">
        <f>'[1]2. Contribution'!$R$18</f>
        <v>2.4536762243757475</v>
      </c>
      <c r="AM34" s="1">
        <f t="shared" si="51"/>
        <v>0.48032139790003792</v>
      </c>
      <c r="AN34" s="1">
        <f t="shared" si="31"/>
        <v>2.383037412653191</v>
      </c>
      <c r="AO34" s="1">
        <f>IFERROR(AC34/E34,0)*1000000</f>
        <v>2.5473595195383703</v>
      </c>
      <c r="AQ34">
        <v>52</v>
      </c>
      <c r="AR34">
        <v>48</v>
      </c>
      <c r="AS34">
        <v>100</v>
      </c>
      <c r="AU34" s="3">
        <v>7173813.8846153859</v>
      </c>
      <c r="AV34" s="3">
        <v>8051009.4166666642</v>
      </c>
      <c r="AW34" s="3">
        <v>7594867.7399999993</v>
      </c>
      <c r="BC34" s="3">
        <f t="shared" si="52"/>
        <v>5.2590285183566436</v>
      </c>
      <c r="BD34" s="3">
        <f t="shared" si="53"/>
        <v>5.8066029468216316</v>
      </c>
      <c r="BE34" s="3">
        <f t="shared" si="54"/>
        <v>5.6576287924279276</v>
      </c>
    </row>
    <row r="35" spans="1:57" x14ac:dyDescent="0.25">
      <c r="A35" t="s">
        <v>25</v>
      </c>
      <c r="B35" t="s">
        <v>4</v>
      </c>
      <c r="C35" s="3">
        <v>533034211</v>
      </c>
      <c r="D35" s="3">
        <v>1549527947.1428566</v>
      </c>
      <c r="E35" s="3">
        <f t="shared" si="33"/>
        <v>2082562158.1428566</v>
      </c>
      <c r="G35" s="3">
        <v>5436189.879999999</v>
      </c>
      <c r="H35" s="3">
        <v>10851116.98</v>
      </c>
      <c r="I35" s="3">
        <f t="shared" si="34"/>
        <v>16287306.859999999</v>
      </c>
      <c r="K35" s="2">
        <f t="shared" si="35"/>
        <v>10.198575940935241</v>
      </c>
      <c r="L35" s="3">
        <f t="shared" si="36"/>
        <v>7.0028533528602415</v>
      </c>
      <c r="M35" s="3">
        <f t="shared" si="37"/>
        <v>7.820802272967617</v>
      </c>
      <c r="O35" s="5">
        <f t="shared" si="38"/>
        <v>0.10322996395888431</v>
      </c>
      <c r="P35" s="5">
        <f t="shared" si="28"/>
        <v>5.3850243236944505E-2</v>
      </c>
      <c r="Q35" s="5">
        <f t="shared" si="29"/>
        <v>6.4079044737996652E-2</v>
      </c>
      <c r="S35" s="6">
        <f t="shared" si="39"/>
        <v>2.8227254574293852E-2</v>
      </c>
      <c r="T35" s="6">
        <f t="shared" si="40"/>
        <v>1.1405502024870227E-2</v>
      </c>
      <c r="U35" s="7">
        <f t="shared" si="41"/>
        <v>1.6213196515811108E-2</v>
      </c>
      <c r="W35" s="24">
        <f>$Y35*G46</f>
        <v>3.4556803358435097E-3</v>
      </c>
      <c r="X35" s="24">
        <v>2.2100000000000002E-2</v>
      </c>
      <c r="Y35" s="25">
        <f>U35*1.3</f>
        <v>2.1077155470554443E-2</v>
      </c>
      <c r="AA35" s="8">
        <f t="shared" si="42"/>
        <v>316.263864336398</v>
      </c>
      <c r="AB35" s="8">
        <f t="shared" si="43"/>
        <v>5411.7154</v>
      </c>
      <c r="AC35" s="8">
        <f t="shared" si="44"/>
        <v>7090.2286373616917</v>
      </c>
      <c r="AE35" s="11">
        <f t="shared" si="45"/>
        <v>5.8177486680505367E-5</v>
      </c>
      <c r="AF35" s="11">
        <f t="shared" si="46"/>
        <v>4.9872427050362512E-4</v>
      </c>
      <c r="AG35" s="11">
        <f t="shared" si="47"/>
        <v>4.3532234630972577E-4</v>
      </c>
      <c r="AI35" s="1">
        <f t="shared" si="48"/>
        <v>0.12242353668325036</v>
      </c>
      <c r="AJ35" s="1">
        <f t="shared" si="49"/>
        <v>1.9376613104631366</v>
      </c>
      <c r="AK35" s="1">
        <f t="shared" si="50"/>
        <v>1.3000000000000005</v>
      </c>
      <c r="AL35" s="31">
        <f>'[1]2. Contribution'!$R$20</f>
        <v>1.537218453252545</v>
      </c>
      <c r="AM35" s="1">
        <f t="shared" si="51"/>
        <v>0.59332751596388245</v>
      </c>
      <c r="AN35" s="1">
        <f t="shared" si="31"/>
        <v>3.4924929298490892</v>
      </c>
      <c r="AO35" s="1">
        <f t="shared" si="32"/>
        <v>3.4045699954926993</v>
      </c>
      <c r="AQ35">
        <v>53</v>
      </c>
      <c r="AR35">
        <v>52</v>
      </c>
      <c r="AS35">
        <v>105</v>
      </c>
      <c r="AU35" s="3">
        <v>10117132.792452833</v>
      </c>
      <c r="AV35" s="3">
        <v>7709113.788461538</v>
      </c>
      <c r="AW35" s="3">
        <v>8924590.0476190504</v>
      </c>
      <c r="BC35" s="3">
        <f t="shared" si="52"/>
        <v>59.398927884615375</v>
      </c>
      <c r="BD35" s="3">
        <f t="shared" si="53"/>
        <v>44.313062962993214</v>
      </c>
      <c r="BE35" s="3">
        <f t="shared" si="54"/>
        <v>48.417352449805882</v>
      </c>
    </row>
    <row r="36" spans="1:57" x14ac:dyDescent="0.25">
      <c r="A36" t="s">
        <v>26</v>
      </c>
      <c r="B36" t="s">
        <v>5</v>
      </c>
      <c r="C36" s="3">
        <v>578094390</v>
      </c>
      <c r="D36" s="3">
        <v>2531247168.4285717</v>
      </c>
      <c r="E36" s="3">
        <f t="shared" si="33"/>
        <v>3109341558.4285717</v>
      </c>
      <c r="G36" s="3">
        <v>9857143.9100000001</v>
      </c>
      <c r="H36" s="3">
        <v>50264318.289999999</v>
      </c>
      <c r="I36" s="3">
        <f t="shared" si="34"/>
        <v>60121462.200000003</v>
      </c>
      <c r="K36" s="2">
        <f>IFERROR(G36/C36,0)*1000</f>
        <v>17.051097676280857</v>
      </c>
      <c r="L36" s="3">
        <f t="shared" si="36"/>
        <v>19.857530673784293</v>
      </c>
      <c r="M36" s="3">
        <f t="shared" si="37"/>
        <v>19.33575358970365</v>
      </c>
      <c r="O36" s="5">
        <f t="shared" si="38"/>
        <v>0.1871812120305916</v>
      </c>
      <c r="P36" s="5">
        <f t="shared" si="28"/>
        <v>0.24944397623254619</v>
      </c>
      <c r="Q36" s="5">
        <f t="shared" si="29"/>
        <v>0.23653547508759681</v>
      </c>
      <c r="S36" s="6">
        <f t="shared" si="39"/>
        <v>5.1182927135543753E-2</v>
      </c>
      <c r="T36" s="6">
        <f t="shared" si="40"/>
        <v>5.2832329159473911E-2</v>
      </c>
      <c r="U36" s="7">
        <f t="shared" si="41"/>
        <v>5.9847898111407553E-2</v>
      </c>
      <c r="W36" s="24">
        <f>$Y36*G47</f>
        <v>1.0709995085173391E-3</v>
      </c>
      <c r="X36" s="24">
        <f>$Y36*H47</f>
        <v>3.7830134263897572E-2</v>
      </c>
      <c r="Y36" s="25">
        <f>U36*0.65</f>
        <v>3.8901133772414914E-2</v>
      </c>
      <c r="AA36" s="8">
        <f t="shared" si="42"/>
        <v>98.017875019506874</v>
      </c>
      <c r="AB36" s="8">
        <f t="shared" si="43"/>
        <v>9263.6162977376534</v>
      </c>
      <c r="AC36" s="8">
        <f t="shared" si="44"/>
        <v>13086.107994237742</v>
      </c>
      <c r="AE36" s="11">
        <f t="shared" si="45"/>
        <v>9.9438413311657606E-6</v>
      </c>
      <c r="AF36" s="11">
        <f t="shared" si="46"/>
        <v>1.842980589986562E-4</v>
      </c>
      <c r="AG36" s="11">
        <f t="shared" si="47"/>
        <v>2.1766117315486283E-4</v>
      </c>
      <c r="AI36" s="1">
        <f t="shared" si="48"/>
        <v>2.0924936662592483E-2</v>
      </c>
      <c r="AJ36" s="1">
        <f t="shared" si="49"/>
        <v>0.71604138726702071</v>
      </c>
      <c r="AK36" s="1">
        <f t="shared" si="50"/>
        <v>0.65</v>
      </c>
      <c r="AL36" s="31">
        <f>'[1]2. Contribution'!$R$21</f>
        <v>1.2121190352161777</v>
      </c>
      <c r="AM36" s="1">
        <f t="shared" si="51"/>
        <v>0.16955340981514605</v>
      </c>
      <c r="AN36" s="1">
        <f t="shared" si="31"/>
        <v>3.6597043596847225</v>
      </c>
      <c r="AO36" s="1">
        <f t="shared" si="32"/>
        <v>4.2086428101682474</v>
      </c>
      <c r="AQ36">
        <v>48</v>
      </c>
      <c r="AR36">
        <v>52</v>
      </c>
      <c r="AS36">
        <v>100</v>
      </c>
      <c r="AU36" s="3">
        <v>12043633.124999998</v>
      </c>
      <c r="AV36" s="3">
        <v>49022856.384615384</v>
      </c>
      <c r="AW36" s="3">
        <v>31272829.219999995</v>
      </c>
      <c r="BC36" s="3">
        <f t="shared" si="52"/>
        <v>107.70480670891608</v>
      </c>
      <c r="BD36" s="3">
        <f t="shared" si="53"/>
        <v>205.26604821255012</v>
      </c>
      <c r="BE36" s="3">
        <f t="shared" si="54"/>
        <v>178.72334881121543</v>
      </c>
    </row>
    <row r="37" spans="1:57" x14ac:dyDescent="0.25">
      <c r="A37" t="s">
        <v>25</v>
      </c>
      <c r="B37" t="s">
        <v>6</v>
      </c>
      <c r="C37" s="3">
        <v>144407</v>
      </c>
      <c r="D37" s="3">
        <v>3383074</v>
      </c>
      <c r="E37" s="3">
        <f t="shared" si="33"/>
        <v>3527481</v>
      </c>
      <c r="G37" s="3">
        <v>8835.5299999999988</v>
      </c>
      <c r="H37" s="3">
        <v>312090.9800000001</v>
      </c>
      <c r="I37" s="3">
        <f t="shared" si="34"/>
        <v>320926.51000000013</v>
      </c>
      <c r="K37" s="2">
        <f>IFERROR(G37/C37,0)*1000</f>
        <v>61.184914858697979</v>
      </c>
      <c r="L37" s="3">
        <f>IFERROR(H37/D37,0)*1000</f>
        <v>92.250710448544751</v>
      </c>
      <c r="M37" s="3">
        <f t="shared" si="37"/>
        <v>90.978947866763889</v>
      </c>
      <c r="O37" s="5">
        <f t="shared" si="38"/>
        <v>1.6778138063448976E-4</v>
      </c>
      <c r="P37" s="5">
        <f t="shared" si="28"/>
        <v>1.5487967935496709E-3</v>
      </c>
      <c r="Q37" s="5">
        <f t="shared" si="29"/>
        <v>1.2626190670235297E-3</v>
      </c>
      <c r="S37" s="6">
        <f t="shared" si="39"/>
        <v>4.5878227235287549E-5</v>
      </c>
      <c r="T37" s="6">
        <f t="shared" si="40"/>
        <v>3.2803575068764341E-4</v>
      </c>
      <c r="U37" s="7">
        <f t="shared" si="41"/>
        <v>3.1946623333671385E-4</v>
      </c>
      <c r="W37" s="12"/>
      <c r="X37" s="22"/>
      <c r="Y37" s="29">
        <f>2*U37</f>
        <v>6.389324666734277E-4</v>
      </c>
      <c r="AA37" s="8">
        <f t="shared" si="42"/>
        <v>0</v>
      </c>
      <c r="AB37" s="8">
        <f t="shared" si="43"/>
        <v>0</v>
      </c>
      <c r="AC37" s="8">
        <f t="shared" si="44"/>
        <v>214.93304819414104</v>
      </c>
      <c r="AE37" s="11">
        <f t="shared" si="45"/>
        <v>0</v>
      </c>
      <c r="AF37" s="11">
        <f t="shared" si="46"/>
        <v>0</v>
      </c>
      <c r="AG37" s="11">
        <f t="shared" si="47"/>
        <v>6.6972668663034713E-4</v>
      </c>
      <c r="AI37" s="1">
        <f t="shared" si="48"/>
        <v>0</v>
      </c>
      <c r="AJ37" s="1">
        <f t="shared" si="49"/>
        <v>0</v>
      </c>
      <c r="AK37" s="1">
        <f t="shared" si="50"/>
        <v>2</v>
      </c>
      <c r="AL37" s="31">
        <f>'[1]2. Contribution'!$R$24</f>
        <v>1.8000828424119468</v>
      </c>
      <c r="AM37" s="1">
        <f t="shared" si="51"/>
        <v>0</v>
      </c>
      <c r="AN37" s="1">
        <f t="shared" si="31"/>
        <v>0</v>
      </c>
      <c r="AO37" s="1">
        <f t="shared" si="32"/>
        <v>60.931029307922856</v>
      </c>
      <c r="AQ37">
        <v>8</v>
      </c>
      <c r="AR37">
        <v>51</v>
      </c>
      <c r="AS37">
        <v>59</v>
      </c>
      <c r="AU37" s="3">
        <v>2.5485250000000001E-2</v>
      </c>
      <c r="AV37" s="3">
        <v>6.7504450980392164E-2</v>
      </c>
      <c r="AW37" s="3">
        <v>6.1806932203389828E-2</v>
      </c>
      <c r="BC37" s="3">
        <f t="shared" si="52"/>
        <v>9.6542067307692297E-2</v>
      </c>
      <c r="BD37" s="3">
        <f t="shared" si="53"/>
        <v>1.2744961898772433</v>
      </c>
      <c r="BE37" s="3">
        <f t="shared" si="54"/>
        <v>0.9540197209224901</v>
      </c>
    </row>
    <row r="38" spans="1:57" x14ac:dyDescent="0.25">
      <c r="A38" t="s">
        <v>25</v>
      </c>
      <c r="B38" t="s">
        <v>8</v>
      </c>
      <c r="C38" s="3">
        <v>0</v>
      </c>
      <c r="D38" s="3">
        <v>253145233</v>
      </c>
      <c r="E38" s="3">
        <f t="shared" si="33"/>
        <v>253145233</v>
      </c>
      <c r="G38" s="3">
        <v>0</v>
      </c>
      <c r="H38" s="3">
        <v>968752.01000000024</v>
      </c>
      <c r="I38" s="3">
        <f t="shared" si="34"/>
        <v>968752.01000000024</v>
      </c>
      <c r="K38" s="2">
        <f t="shared" si="35"/>
        <v>0</v>
      </c>
      <c r="L38" s="3">
        <f t="shared" si="36"/>
        <v>3.8268625425784744</v>
      </c>
      <c r="M38" s="3">
        <f t="shared" si="37"/>
        <v>3.8268625425784744</v>
      </c>
      <c r="O38" s="5">
        <f t="shared" si="38"/>
        <v>0</v>
      </c>
      <c r="P38" s="5">
        <f t="shared" si="28"/>
        <v>4.8075724804119572E-3</v>
      </c>
      <c r="Q38" s="5">
        <f t="shared" si="29"/>
        <v>3.8113546900297177E-3</v>
      </c>
      <c r="S38" s="6">
        <f t="shared" si="39"/>
        <v>0</v>
      </c>
      <c r="T38" s="6">
        <f t="shared" si="40"/>
        <v>1.0182456821741961E-3</v>
      </c>
      <c r="U38" s="7">
        <f t="shared" si="41"/>
        <v>9.6434400409012809E-4</v>
      </c>
      <c r="W38" s="12"/>
      <c r="X38" s="22"/>
      <c r="Y38" s="29">
        <f>2.4*U38</f>
        <v>2.3144256098163074E-3</v>
      </c>
      <c r="AA38" s="8">
        <f t="shared" si="42"/>
        <v>0</v>
      </c>
      <c r="AB38" s="8">
        <f t="shared" si="43"/>
        <v>0</v>
      </c>
      <c r="AC38" s="8">
        <f t="shared" si="44"/>
        <v>778.55888858854689</v>
      </c>
      <c r="AE38" s="11">
        <f t="shared" si="45"/>
        <v>0</v>
      </c>
      <c r="AF38" s="11">
        <f t="shared" si="46"/>
        <v>0</v>
      </c>
      <c r="AG38" s="11">
        <f t="shared" si="47"/>
        <v>8.0367202395641656E-4</v>
      </c>
      <c r="AI38" s="1">
        <f t="shared" si="48"/>
        <v>0</v>
      </c>
      <c r="AJ38" s="1">
        <f t="shared" si="49"/>
        <v>0</v>
      </c>
      <c r="AK38" s="1">
        <f t="shared" si="50"/>
        <v>2.4</v>
      </c>
      <c r="AL38" s="31">
        <f>'[1]2. Contribution'!$R$23</f>
        <v>2.0650230489352168</v>
      </c>
      <c r="AM38" s="1">
        <f t="shared" si="51"/>
        <v>0</v>
      </c>
      <c r="AN38" s="1">
        <f t="shared" si="31"/>
        <v>0</v>
      </c>
      <c r="AO38" s="1">
        <f t="shared" si="32"/>
        <v>3.0755423649970406</v>
      </c>
      <c r="AQ38">
        <v>0</v>
      </c>
      <c r="AR38">
        <v>43</v>
      </c>
      <c r="AS38">
        <v>43</v>
      </c>
      <c r="AU38" s="3">
        <v>0</v>
      </c>
      <c r="AV38" s="3">
        <v>5.9115191162790701</v>
      </c>
      <c r="AW38" s="3">
        <v>5.9115191162790701</v>
      </c>
      <c r="BC38" s="3">
        <f t="shared" si="52"/>
        <v>0</v>
      </c>
      <c r="BD38" s="3">
        <f t="shared" si="53"/>
        <v>3.9561244150052688</v>
      </c>
      <c r="BE38" s="3">
        <f t="shared" si="54"/>
        <v>2.8798135816928965</v>
      </c>
    </row>
    <row r="39" spans="1:57" x14ac:dyDescent="0.25">
      <c r="A39" t="s">
        <v>25</v>
      </c>
      <c r="B39" t="s">
        <v>9</v>
      </c>
      <c r="C39" s="3">
        <v>0</v>
      </c>
      <c r="D39" s="3">
        <v>125614</v>
      </c>
      <c r="E39" s="3">
        <f t="shared" si="33"/>
        <v>125614</v>
      </c>
      <c r="G39" s="3">
        <v>0</v>
      </c>
      <c r="H39" s="3">
        <v>13281.500000000004</v>
      </c>
      <c r="I39" s="3">
        <f t="shared" si="34"/>
        <v>13281.500000000004</v>
      </c>
      <c r="K39" s="2">
        <f t="shared" si="35"/>
        <v>0</v>
      </c>
      <c r="L39" s="3">
        <f>IFERROR(H39/D39,0)*1000</f>
        <v>105.73264126610094</v>
      </c>
      <c r="M39" s="3">
        <f t="shared" si="37"/>
        <v>105.73264126610094</v>
      </c>
      <c r="O39" s="5">
        <f t="shared" si="38"/>
        <v>0</v>
      </c>
      <c r="P39" s="5">
        <f t="shared" si="28"/>
        <v>6.5911371785015873E-5</v>
      </c>
      <c r="Q39" s="5">
        <f t="shared" si="29"/>
        <v>5.2253318489248547E-5</v>
      </c>
      <c r="S39" s="6">
        <f t="shared" si="39"/>
        <v>0</v>
      </c>
      <c r="T39" s="6">
        <f t="shared" si="40"/>
        <v>1.3960053644478721E-5</v>
      </c>
      <c r="U39" s="35">
        <f>I39/I$28</f>
        <v>1.322106664875259E-5</v>
      </c>
      <c r="W39" s="12"/>
      <c r="X39" s="22"/>
      <c r="Y39" s="30">
        <f>1.9*U39</f>
        <v>2.5120026632629919E-5</v>
      </c>
      <c r="AA39" s="8">
        <f t="shared" si="42"/>
        <v>0</v>
      </c>
      <c r="AB39" s="8">
        <f t="shared" si="43"/>
        <v>0</v>
      </c>
      <c r="AC39" s="8">
        <f t="shared" si="44"/>
        <v>8.4502262390569083</v>
      </c>
      <c r="AE39" s="11">
        <f t="shared" si="45"/>
        <v>0</v>
      </c>
      <c r="AF39" s="11">
        <f t="shared" si="46"/>
        <v>0</v>
      </c>
      <c r="AG39" s="11">
        <f t="shared" si="47"/>
        <v>6.362403522988297E-4</v>
      </c>
      <c r="AI39" s="1">
        <f t="shared" si="48"/>
        <v>0</v>
      </c>
      <c r="AJ39" s="1">
        <f t="shared" si="49"/>
        <v>0</v>
      </c>
      <c r="AK39" s="1">
        <f t="shared" si="50"/>
        <v>1.8999999999999997</v>
      </c>
      <c r="AL39" s="31">
        <f>'[1]2. Contribution'!$R$22</f>
        <v>1.5589844379819955</v>
      </c>
      <c r="AM39" s="1">
        <f t="shared" si="51"/>
        <v>0</v>
      </c>
      <c r="AN39" s="1">
        <f t="shared" si="31"/>
        <v>0</v>
      </c>
      <c r="AO39" s="3">
        <f t="shared" si="32"/>
        <v>67.27137292862983</v>
      </c>
      <c r="AQ39">
        <v>0</v>
      </c>
      <c r="AR39">
        <v>40</v>
      </c>
      <c r="AS39">
        <v>40</v>
      </c>
      <c r="AU39" s="3">
        <v>0</v>
      </c>
      <c r="AV39" s="3">
        <v>3.3326000000000002E-3</v>
      </c>
      <c r="AW39" s="3">
        <v>3.3326000000000002E-3</v>
      </c>
      <c r="BC39" s="3">
        <f t="shared" si="52"/>
        <v>0</v>
      </c>
      <c r="BD39" s="3">
        <f t="shared" si="53"/>
        <v>5.4238097960583827E-2</v>
      </c>
      <c r="BE39" s="3">
        <f t="shared" si="54"/>
        <v>3.9481976491851825E-2</v>
      </c>
    </row>
    <row r="40" spans="1:57" x14ac:dyDescent="0.25">
      <c r="A40" t="s">
        <v>25</v>
      </c>
      <c r="B40" t="s">
        <v>36</v>
      </c>
      <c r="C40" s="3">
        <v>0</v>
      </c>
      <c r="D40" s="3">
        <v>0</v>
      </c>
      <c r="E40" s="3">
        <f t="shared" si="33"/>
        <v>0</v>
      </c>
      <c r="G40" s="3">
        <v>0</v>
      </c>
      <c r="H40" s="3">
        <v>1431973.6880000008</v>
      </c>
      <c r="I40" s="3">
        <f t="shared" si="34"/>
        <v>1431973.6880000008</v>
      </c>
      <c r="K40" s="2">
        <f t="shared" si="35"/>
        <v>0</v>
      </c>
      <c r="L40" s="3">
        <f t="shared" si="36"/>
        <v>0</v>
      </c>
      <c r="M40" s="3">
        <f t="shared" si="37"/>
        <v>0</v>
      </c>
      <c r="O40" s="5">
        <f t="shared" si="38"/>
        <v>0</v>
      </c>
      <c r="P40" s="5">
        <f t="shared" si="28"/>
        <v>7.1063773019710381E-3</v>
      </c>
      <c r="Q40" s="5">
        <f t="shared" si="29"/>
        <v>5.6338047048366414E-3</v>
      </c>
      <c r="S40" s="6">
        <f t="shared" si="39"/>
        <v>0</v>
      </c>
      <c r="T40" s="6">
        <f t="shared" si="40"/>
        <v>1.5051334188127879E-3</v>
      </c>
      <c r="U40" s="7">
        <f t="shared" si="41"/>
        <v>1.4254579353467644E-3</v>
      </c>
      <c r="W40" s="12"/>
      <c r="X40" s="22"/>
      <c r="Y40" s="29">
        <f>0.4*U40</f>
        <v>5.7018317413870577E-4</v>
      </c>
      <c r="AA40" s="8">
        <f t="shared" si="42"/>
        <v>0</v>
      </c>
      <c r="AB40" s="8">
        <f t="shared" si="43"/>
        <v>0</v>
      </c>
      <c r="AC40" s="8">
        <f t="shared" si="44"/>
        <v>191.80619868121579</v>
      </c>
      <c r="AE40" s="11">
        <f t="shared" si="45"/>
        <v>0</v>
      </c>
      <c r="AF40" s="11">
        <f t="shared" si="46"/>
        <v>0</v>
      </c>
      <c r="AG40" s="11">
        <f t="shared" si="47"/>
        <v>1.3394533732606943E-4</v>
      </c>
      <c r="AI40" s="1">
        <f t="shared" si="48"/>
        <v>0</v>
      </c>
      <c r="AJ40" s="1">
        <f t="shared" si="49"/>
        <v>0</v>
      </c>
      <c r="AK40" s="1">
        <f t="shared" si="50"/>
        <v>0.4</v>
      </c>
      <c r="AL40" s="31">
        <f>'[1]2. Contribution'!$R$26</f>
        <v>1.5332208844813253</v>
      </c>
      <c r="AM40" s="1">
        <f>IFERROR(AA40/C40,0)*1000000</f>
        <v>0</v>
      </c>
      <c r="AN40" s="1">
        <f>IFERROR(AB40/D40,0)*1000000</f>
        <v>0</v>
      </c>
      <c r="AO40" s="3">
        <f t="shared" si="32"/>
        <v>0</v>
      </c>
      <c r="AQ40">
        <v>0</v>
      </c>
      <c r="AR40">
        <v>20</v>
      </c>
      <c r="AS40">
        <v>20</v>
      </c>
      <c r="AU40" s="3">
        <v>0</v>
      </c>
      <c r="AV40" s="3">
        <v>73135.349600000045</v>
      </c>
      <c r="AW40" s="3">
        <v>73135.349600000045</v>
      </c>
      <c r="BC40" s="3">
        <f t="shared" si="52"/>
        <v>0</v>
      </c>
      <c r="BD40" s="3">
        <f t="shared" si="53"/>
        <v>5.847798002237889</v>
      </c>
      <c r="BE40" s="3">
        <f t="shared" si="54"/>
        <v>4.256834806803929</v>
      </c>
    </row>
    <row r="41" spans="1:57" x14ac:dyDescent="0.25">
      <c r="A41" t="s">
        <v>25</v>
      </c>
      <c r="B41" t="s">
        <v>35</v>
      </c>
      <c r="C41" s="3">
        <v>0</v>
      </c>
      <c r="D41" s="3">
        <v>915.65939999999978</v>
      </c>
      <c r="E41" s="3">
        <f t="shared" si="33"/>
        <v>915.65939999999978</v>
      </c>
      <c r="G41" s="3">
        <v>0</v>
      </c>
      <c r="H41" s="3">
        <v>11810336.08</v>
      </c>
      <c r="I41" s="3">
        <f t="shared" si="34"/>
        <v>11810336.08</v>
      </c>
      <c r="K41" s="2">
        <f t="shared" si="35"/>
        <v>0</v>
      </c>
      <c r="L41" s="3">
        <f>IFERROR(H41/D41,0)</f>
        <v>12898.175981156315</v>
      </c>
      <c r="M41" s="3">
        <f>IFERROR(I41/E41,0)</f>
        <v>12898.175981156315</v>
      </c>
      <c r="O41" s="5">
        <f t="shared" si="38"/>
        <v>0</v>
      </c>
      <c r="P41" s="5">
        <f t="shared" si="28"/>
        <v>5.8610507267617871E-2</v>
      </c>
      <c r="Q41" s="5">
        <f t="shared" si="29"/>
        <v>4.6465327911252727E-2</v>
      </c>
      <c r="S41" s="6">
        <f t="shared" si="39"/>
        <v>0</v>
      </c>
      <c r="T41" s="6">
        <f t="shared" si="40"/>
        <v>1.2413727759373753E-2</v>
      </c>
      <c r="U41" s="7">
        <f t="shared" si="41"/>
        <v>1.1756596804415719E-2</v>
      </c>
      <c r="W41" s="12"/>
      <c r="X41" s="22"/>
      <c r="Y41" s="25">
        <f>0.9*U41</f>
        <v>1.0580937123974147E-2</v>
      </c>
      <c r="AA41" s="8">
        <f t="shared" si="42"/>
        <v>0</v>
      </c>
      <c r="AB41" s="8">
        <f t="shared" si="43"/>
        <v>0</v>
      </c>
      <c r="AC41" s="8">
        <f t="shared" si="44"/>
        <v>3559.3637628821593</v>
      </c>
      <c r="AE41" s="11">
        <f t="shared" si="45"/>
        <v>0</v>
      </c>
      <c r="AF41" s="11">
        <f t="shared" si="46"/>
        <v>0</v>
      </c>
      <c r="AG41" s="11">
        <f t="shared" si="47"/>
        <v>3.0137700898365624E-4</v>
      </c>
      <c r="AI41" s="1">
        <f t="shared" si="48"/>
        <v>0</v>
      </c>
      <c r="AJ41" s="1">
        <f t="shared" si="49"/>
        <v>0</v>
      </c>
      <c r="AK41" s="1">
        <f t="shared" si="50"/>
        <v>0.90000000000000013</v>
      </c>
      <c r="AL41" s="31">
        <f>'[1]2. Contribution'!$R$25</f>
        <v>1.0777187912022466</v>
      </c>
      <c r="AM41" s="1">
        <f>IFERROR(AA41/C41,0)*1000000</f>
        <v>0</v>
      </c>
      <c r="AN41" s="1">
        <f>IFERROR(AB41/D41,0)*1000000</f>
        <v>0</v>
      </c>
      <c r="AO41" s="3">
        <f t="shared" si="32"/>
        <v>3887213.6985457256</v>
      </c>
      <c r="AQ41">
        <v>0</v>
      </c>
      <c r="AR41">
        <v>12</v>
      </c>
      <c r="AS41">
        <v>12</v>
      </c>
      <c r="AU41" s="3">
        <v>0</v>
      </c>
      <c r="AV41" s="3">
        <v>76.333333333333329</v>
      </c>
      <c r="AW41" s="3">
        <v>76.333333333333329</v>
      </c>
      <c r="BC41" s="3">
        <f t="shared" si="52"/>
        <v>0</v>
      </c>
      <c r="BD41" s="3">
        <f t="shared" si="53"/>
        <v>48.230257520194058</v>
      </c>
      <c r="BE41" s="3">
        <f t="shared" si="54"/>
        <v>35.108640701082656</v>
      </c>
    </row>
    <row r="43" spans="1:57" x14ac:dyDescent="0.25">
      <c r="G43" s="5">
        <f t="shared" ref="G43:H47" si="55">G33/$I33</f>
        <v>0.31648011661407255</v>
      </c>
      <c r="H43" s="5">
        <f t="shared" si="55"/>
        <v>0.68351988338592751</v>
      </c>
      <c r="I43" s="5">
        <f>H33/G33-1</f>
        <v>1.1597561663547942</v>
      </c>
    </row>
    <row r="44" spans="1:57" x14ac:dyDescent="0.25">
      <c r="G44" s="5">
        <f t="shared" si="55"/>
        <v>0.25289418718668888</v>
      </c>
      <c r="H44" s="5">
        <f t="shared" si="55"/>
        <v>0.74710581281331112</v>
      </c>
      <c r="I44" s="5">
        <f>H34/G34-1</f>
        <v>1.9542229543686207</v>
      </c>
    </row>
    <row r="45" spans="1:57" x14ac:dyDescent="0.25">
      <c r="G45" s="5">
        <f t="shared" si="55"/>
        <v>0.33376849387855145</v>
      </c>
      <c r="H45" s="5">
        <f t="shared" si="55"/>
        <v>0.66623150612144855</v>
      </c>
      <c r="I45" s="5">
        <f>H35/G35-1</f>
        <v>0.9960886612739146</v>
      </c>
    </row>
    <row r="46" spans="1:57" x14ac:dyDescent="0.25">
      <c r="G46" s="5">
        <f t="shared" si="55"/>
        <v>0.16395382862128724</v>
      </c>
      <c r="H46" s="5">
        <f t="shared" si="55"/>
        <v>0.83604617137871273</v>
      </c>
      <c r="I46" s="5">
        <f>H36/G36-1</f>
        <v>4.0992781224394239</v>
      </c>
    </row>
    <row r="47" spans="1:57" x14ac:dyDescent="0.25">
      <c r="G47" s="5">
        <f t="shared" si="55"/>
        <v>2.7531318618708049E-2</v>
      </c>
      <c r="H47" s="5">
        <f t="shared" si="55"/>
        <v>0.97246868138129183</v>
      </c>
      <c r="I47" s="5">
        <f>H37/G37-1</f>
        <v>34.322270424071917</v>
      </c>
    </row>
    <row r="48" spans="1:57" x14ac:dyDescent="0.25">
      <c r="G48" s="5"/>
      <c r="H48" s="5"/>
      <c r="I48" s="5"/>
    </row>
    <row r="49" spans="1:57" ht="15.75" thickBot="1" x14ac:dyDescent="0.3"/>
    <row r="50" spans="1:57" s="17" customFormat="1" ht="3.75" customHeight="1" thickBot="1" x14ac:dyDescent="0.3">
      <c r="A50" s="16"/>
    </row>
    <row r="51" spans="1:57" x14ac:dyDescent="0.25">
      <c r="B51" s="15" t="s">
        <v>18</v>
      </c>
      <c r="C51" s="3">
        <v>212600000</v>
      </c>
      <c r="D51" s="13">
        <v>213993437</v>
      </c>
      <c r="G51" s="14">
        <v>263104</v>
      </c>
      <c r="H51" s="14">
        <v>364594</v>
      </c>
      <c r="I51" s="14">
        <v>627698</v>
      </c>
    </row>
    <row r="52" spans="1:57" x14ac:dyDescent="0.25">
      <c r="B52" s="15" t="s">
        <v>20</v>
      </c>
      <c r="C52" s="12">
        <v>0.6</v>
      </c>
      <c r="D52" s="12">
        <v>0.6</v>
      </c>
      <c r="G52" s="14">
        <v>2104.311197827546</v>
      </c>
      <c r="H52" s="14">
        <v>3885.2356403397698</v>
      </c>
      <c r="I52" s="14">
        <v>2986.2928265002702</v>
      </c>
    </row>
    <row r="53" spans="1:57" x14ac:dyDescent="0.25">
      <c r="B53" s="15" t="s">
        <v>19</v>
      </c>
      <c r="C53" s="3">
        <f>C51*C52</f>
        <v>127560000</v>
      </c>
      <c r="D53" s="3">
        <f>D51*D52</f>
        <v>128396062.19999999</v>
      </c>
      <c r="G53" s="14">
        <f>G52*G51</f>
        <v>553652693.39321864</v>
      </c>
      <c r="H53" s="14">
        <f>H52*H51</f>
        <v>1416533603.054038</v>
      </c>
      <c r="I53" s="14">
        <f>I52*I51</f>
        <v>1874490034.6085665</v>
      </c>
    </row>
    <row r="54" spans="1:57" x14ac:dyDescent="0.25">
      <c r="B54" s="15"/>
      <c r="C54" s="3">
        <f>(C58/C53)</f>
        <v>2.8335978755095641</v>
      </c>
      <c r="D54" s="3">
        <f>(D58/D53)</f>
        <v>3.0304602363420461</v>
      </c>
    </row>
    <row r="55" spans="1:57" x14ac:dyDescent="0.25">
      <c r="A55" s="18" t="s">
        <v>37</v>
      </c>
      <c r="B55" s="20" t="s">
        <v>0</v>
      </c>
      <c r="C55" s="20">
        <v>2020</v>
      </c>
      <c r="D55" s="20">
        <v>2021</v>
      </c>
      <c r="E55" s="20" t="s">
        <v>15</v>
      </c>
      <c r="F55" s="20"/>
      <c r="G55" s="20">
        <v>2020</v>
      </c>
      <c r="H55" s="20">
        <v>2021</v>
      </c>
      <c r="I55" s="20" t="s">
        <v>15</v>
      </c>
      <c r="J55" s="20"/>
      <c r="K55" s="20">
        <v>2020</v>
      </c>
      <c r="L55" s="20">
        <v>2021</v>
      </c>
      <c r="M55" s="20" t="s">
        <v>15</v>
      </c>
      <c r="N55" s="20"/>
      <c r="O55" s="20">
        <v>2020</v>
      </c>
      <c r="P55" s="20">
        <v>2021</v>
      </c>
      <c r="Q55" s="20" t="s">
        <v>15</v>
      </c>
      <c r="R55" s="20"/>
      <c r="S55" s="20">
        <v>2020</v>
      </c>
      <c r="T55" s="20">
        <v>2021</v>
      </c>
      <c r="U55" s="20" t="s">
        <v>15</v>
      </c>
      <c r="V55" s="20"/>
      <c r="W55" s="20">
        <v>2020</v>
      </c>
      <c r="X55" s="20">
        <v>2021</v>
      </c>
      <c r="Y55" s="20" t="s">
        <v>15</v>
      </c>
      <c r="Z55" s="20"/>
      <c r="AA55" s="20">
        <v>2020</v>
      </c>
      <c r="AB55" s="20">
        <v>2021</v>
      </c>
      <c r="AC55" s="20" t="s">
        <v>15</v>
      </c>
      <c r="AD55" s="20"/>
      <c r="AE55" s="20">
        <v>2020</v>
      </c>
      <c r="AF55" s="20">
        <v>2021</v>
      </c>
      <c r="AG55" s="20" t="s">
        <v>15</v>
      </c>
      <c r="AH55" s="20"/>
      <c r="AI55" s="20">
        <v>2020</v>
      </c>
      <c r="AJ55" s="20">
        <v>2021</v>
      </c>
      <c r="AK55" s="20" t="s">
        <v>15</v>
      </c>
      <c r="AL55" s="20"/>
      <c r="AM55" s="20">
        <v>2020</v>
      </c>
      <c r="AN55" s="20">
        <v>2021</v>
      </c>
      <c r="AO55" s="20" t="s">
        <v>15</v>
      </c>
      <c r="AP55" s="20"/>
      <c r="AQ55" s="20">
        <v>2020</v>
      </c>
      <c r="AR55" s="20">
        <v>2021</v>
      </c>
      <c r="AS55" s="20" t="s">
        <v>15</v>
      </c>
      <c r="AT55" s="20"/>
      <c r="AU55" s="20">
        <v>2020</v>
      </c>
      <c r="AV55" s="20">
        <v>2021</v>
      </c>
      <c r="AW55" s="20" t="s">
        <v>15</v>
      </c>
      <c r="AX55" s="20"/>
      <c r="AY55" s="20">
        <v>2020</v>
      </c>
      <c r="AZ55" s="20">
        <v>2021</v>
      </c>
      <c r="BA55" s="20" t="s">
        <v>15</v>
      </c>
      <c r="BB55" s="20"/>
      <c r="BC55" s="20">
        <v>2020</v>
      </c>
      <c r="BD55" s="20">
        <v>2021</v>
      </c>
      <c r="BE55" s="20" t="s">
        <v>15</v>
      </c>
    </row>
    <row r="56" spans="1:57" x14ac:dyDescent="0.25">
      <c r="A56" t="s">
        <v>26</v>
      </c>
      <c r="B56" t="s">
        <v>1</v>
      </c>
      <c r="C56" s="3">
        <v>1526869231.7142859</v>
      </c>
      <c r="D56" s="3">
        <v>7687222519.2857141</v>
      </c>
      <c r="E56" s="3">
        <f>SUM(C56:D56)</f>
        <v>9214091751</v>
      </c>
      <c r="G56" s="3">
        <v>19300273.691428568</v>
      </c>
      <c r="H56" s="3">
        <v>86450094.66285716</v>
      </c>
      <c r="I56" s="3">
        <f>SUM(G56:H56)</f>
        <v>105750368.35428573</v>
      </c>
      <c r="K56" s="2">
        <f>IFERROR(G56/C56,0)*1000</f>
        <v>12.640423482605167</v>
      </c>
      <c r="L56" s="3">
        <f>IFERROR(H56/D56,0)*1000</f>
        <v>11.245946692185772</v>
      </c>
      <c r="M56" s="3">
        <f>IFERROR(I56/E56,0)*1000</f>
        <v>11.477025757075699</v>
      </c>
      <c r="O56" s="5">
        <f t="shared" ref="O56:O62" si="56">G56/SUM($G$56:$G$62)</f>
        <v>0.36650054570256746</v>
      </c>
      <c r="P56" s="5">
        <f t="shared" ref="P56:P62" si="57">H56/SUM($H$56:$H$62)</f>
        <v>0.43179424830594082</v>
      </c>
      <c r="Q56" s="5">
        <f t="shared" ref="Q56:Q62" si="58">I56/SUM($I$56:$I$62)</f>
        <v>0.41819675333454021</v>
      </c>
      <c r="S56" s="6">
        <f t="shared" ref="S56:U62" si="59">G56/G$53</f>
        <v>3.4859893073293527E-2</v>
      </c>
      <c r="T56" s="6">
        <f t="shared" si="59"/>
        <v>6.1029328549969633E-2</v>
      </c>
      <c r="U56" s="7">
        <f t="shared" si="59"/>
        <v>5.6415540441306568E-2</v>
      </c>
      <c r="W56" s="24">
        <f t="shared" ref="W56:X60" si="60">$Y56*G64</f>
        <v>1.1325907670138543E-2</v>
      </c>
      <c r="X56" s="24">
        <f t="shared" si="60"/>
        <v>5.0731186815298687E-2</v>
      </c>
      <c r="Y56" s="10">
        <f>U56*1.1</f>
        <v>6.2057094485437232E-2</v>
      </c>
      <c r="AA56" s="8">
        <f>W56*G$51</f>
        <v>2979.8916116441314</v>
      </c>
      <c r="AB56" s="8">
        <f>X56*H$51</f>
        <v>18496.286325737008</v>
      </c>
      <c r="AC56" s="8">
        <f>Y56*I$51</f>
        <v>38953.114094319979</v>
      </c>
      <c r="AE56" s="11">
        <f>IFERROR(AA56/G56,0)</f>
        <v>1.5439633962121112E-4</v>
      </c>
      <c r="AF56" s="11">
        <f>IFERROR(AB56/H56,0)</f>
        <v>2.1395333802547983E-4</v>
      </c>
      <c r="AG56" s="11">
        <f>IFERROR(AC56/I56,0)</f>
        <v>3.6834967764669095E-4</v>
      </c>
      <c r="AI56" s="1">
        <f t="shared" ref="AI56:AK62" si="61">IFERROR(AE56*G$2,0)</f>
        <v>0.32489794636849939</v>
      </c>
      <c r="AJ56" s="1">
        <f t="shared" si="61"/>
        <v>0.83125913426625631</v>
      </c>
      <c r="AK56" s="1">
        <f t="shared" si="61"/>
        <v>1.1000000000000001</v>
      </c>
      <c r="AL56" s="31">
        <f>'[1]2. Contribution'!$R$31</f>
        <v>1.815822269735957</v>
      </c>
      <c r="AM56" s="1">
        <f t="shared" ref="AM56:AO62" si="62">IFERROR(AA56/C56,0)*1000000</f>
        <v>1.9516351169762398</v>
      </c>
      <c r="AN56" s="1">
        <f t="shared" si="62"/>
        <v>2.4061078340497497</v>
      </c>
      <c r="AO56" s="1">
        <f t="shared" si="62"/>
        <v>4.2275587379616031</v>
      </c>
      <c r="AQ56">
        <v>45</v>
      </c>
      <c r="AR56">
        <v>52</v>
      </c>
      <c r="AS56">
        <v>97</v>
      </c>
      <c r="AU56" s="3">
        <v>35299182.269841269</v>
      </c>
      <c r="AV56" s="3">
        <v>146646702.86263734</v>
      </c>
      <c r="AW56" s="3">
        <v>94990636.608247429</v>
      </c>
      <c r="BC56" s="3">
        <f>G56/G$51</f>
        <v>73.356063349202472</v>
      </c>
      <c r="BD56" s="3">
        <f>H56/H$51</f>
        <v>237.11332238834748</v>
      </c>
      <c r="BE56" s="3">
        <f>I56/I$51</f>
        <v>168.47332372300968</v>
      </c>
    </row>
    <row r="57" spans="1:57" x14ac:dyDescent="0.25">
      <c r="A57" t="s">
        <v>26</v>
      </c>
      <c r="B57" t="s">
        <v>2</v>
      </c>
      <c r="C57" s="3">
        <v>1996503283.7142859</v>
      </c>
      <c r="D57" s="3">
        <v>3023435392</v>
      </c>
      <c r="E57" s="3">
        <f>SUM(C57:D57)</f>
        <v>5019938675.7142859</v>
      </c>
      <c r="G57" s="3">
        <v>17586054.725714285</v>
      </c>
      <c r="H57" s="3">
        <v>37981590.135714293</v>
      </c>
      <c r="I57" s="3">
        <f t="shared" ref="I57:I62" si="63">SUM(G57:H57)</f>
        <v>55567644.861428574</v>
      </c>
      <c r="K57" s="2">
        <f t="shared" ref="K57:K62" si="64">IFERROR(G57/C57,0)*1000</f>
        <v>8.8084276490631499</v>
      </c>
      <c r="L57" s="3">
        <f t="shared" ref="L57:M60" si="65">IFERROR(H57/D57,0)*1000</f>
        <v>12.56239516022517</v>
      </c>
      <c r="M57" s="3">
        <f t="shared" si="65"/>
        <v>11.06938718798629</v>
      </c>
      <c r="O57" s="5">
        <f t="shared" si="56"/>
        <v>0.33394856242851717</v>
      </c>
      <c r="P57" s="5">
        <f t="shared" si="57"/>
        <v>0.18970750958774096</v>
      </c>
      <c r="Q57" s="5">
        <f t="shared" si="58"/>
        <v>0.21974588867287292</v>
      </c>
      <c r="S57" s="6">
        <f t="shared" si="59"/>
        <v>3.1763693982834483E-2</v>
      </c>
      <c r="T57" s="6">
        <f t="shared" si="59"/>
        <v>2.6813052689908811E-2</v>
      </c>
      <c r="U57" s="7">
        <f t="shared" si="59"/>
        <v>2.964413991831772E-2</v>
      </c>
      <c r="W57" s="24">
        <f t="shared" si="60"/>
        <v>7.5054246866184601E-3</v>
      </c>
      <c r="X57" s="24">
        <f t="shared" si="60"/>
        <v>1.6209887248035716E-2</v>
      </c>
      <c r="Y57" s="10">
        <f>U57*0.8</f>
        <v>2.3715311934654176E-2</v>
      </c>
      <c r="AA57" s="8">
        <f t="shared" ref="AA57:AA62" si="66">W57*G$51</f>
        <v>1974.7072567480634</v>
      </c>
      <c r="AB57" s="8">
        <f t="shared" ref="AB57:AB62" si="67">X57*H$51</f>
        <v>5910.0276313103341</v>
      </c>
      <c r="AC57" s="8">
        <f t="shared" ref="AC57:AC62" si="68">Y57*I$51</f>
        <v>14886.053870758557</v>
      </c>
      <c r="AE57" s="11">
        <f t="shared" ref="AE57:AE62" si="69">IFERROR(AA57/G57,0)</f>
        <v>1.1228824699724444E-4</v>
      </c>
      <c r="AF57" s="11">
        <f t="shared" ref="AF57:AF62" si="70">IFERROR(AB57/H57,0)</f>
        <v>1.556024276548944E-4</v>
      </c>
      <c r="AG57" s="11">
        <f t="shared" ref="AG57:AG62" si="71">IFERROR(AC57/I57,0)</f>
        <v>2.6789067465213885E-4</v>
      </c>
      <c r="AI57" s="1">
        <f t="shared" si="61"/>
        <v>0.2362894155407268</v>
      </c>
      <c r="AJ57" s="1">
        <f t="shared" si="61"/>
        <v>0.60455209764818629</v>
      </c>
      <c r="AK57" s="1">
        <f t="shared" si="61"/>
        <v>0.8</v>
      </c>
      <c r="AL57" s="31">
        <f>'[1]2. Contribution'!$R$29</f>
        <v>1.7640140154558741</v>
      </c>
      <c r="AM57" s="1">
        <f t="shared" si="62"/>
        <v>0.9890828995153601</v>
      </c>
      <c r="AN57" s="1">
        <f t="shared" si="62"/>
        <v>1.9547391840911326</v>
      </c>
      <c r="AO57" s="1">
        <f t="shared" si="62"/>
        <v>2.965385601775389</v>
      </c>
      <c r="AQ57">
        <v>53</v>
      </c>
      <c r="AR57">
        <v>52</v>
      </c>
      <c r="AS57">
        <v>105</v>
      </c>
      <c r="AU57" s="3">
        <v>39214804.320754714</v>
      </c>
      <c r="AV57" s="3">
        <v>56972636.269230776</v>
      </c>
      <c r="AW57" s="3">
        <v>48009159.190476179</v>
      </c>
      <c r="BC57" s="3">
        <f t="shared" ref="BC57:BC62" si="72">G57/G$51</f>
        <v>66.84069693244605</v>
      </c>
      <c r="BD57" s="3">
        <f t="shared" ref="BD57:BD62" si="73">H57/H$51</f>
        <v>104.17502793714183</v>
      </c>
      <c r="BE57" s="3">
        <f t="shared" ref="BE57:BE62" si="74">I57/I$51</f>
        <v>88.526082385842514</v>
      </c>
    </row>
    <row r="58" spans="1:57" x14ac:dyDescent="0.25">
      <c r="A58" t="s">
        <v>26</v>
      </c>
      <c r="B58" t="s">
        <v>3</v>
      </c>
      <c r="C58" s="3">
        <v>361453745</v>
      </c>
      <c r="D58" s="3">
        <v>389099161</v>
      </c>
      <c r="E58" s="3">
        <f>SUM(C58:D58)</f>
        <v>750552906</v>
      </c>
      <c r="G58" s="3">
        <v>481306.29000000004</v>
      </c>
      <c r="H58" s="3">
        <v>1421886.0900000003</v>
      </c>
      <c r="I58" s="3">
        <f t="shared" si="63"/>
        <v>1903192.3800000004</v>
      </c>
      <c r="K58" s="2">
        <f t="shared" si="64"/>
        <v>1.3315847370733427</v>
      </c>
      <c r="L58" s="3">
        <f t="shared" si="65"/>
        <v>3.654302636751253</v>
      </c>
      <c r="M58" s="3">
        <f t="shared" si="65"/>
        <v>2.5357204865715359</v>
      </c>
      <c r="O58" s="5">
        <f t="shared" si="56"/>
        <v>9.1397158794395052E-3</v>
      </c>
      <c r="P58" s="5">
        <f t="shared" si="57"/>
        <v>7.1019266988959027E-3</v>
      </c>
      <c r="Q58" s="5">
        <f t="shared" si="58"/>
        <v>7.5262988363366864E-3</v>
      </c>
      <c r="S58" s="6">
        <f t="shared" si="59"/>
        <v>8.6932890554578001E-4</v>
      </c>
      <c r="T58" s="6">
        <f t="shared" si="59"/>
        <v>1.0037785809912467E-3</v>
      </c>
      <c r="U58" s="7">
        <f t="shared" si="59"/>
        <v>1.0153120821458127E-3</v>
      </c>
      <c r="W58" s="24">
        <f t="shared" si="60"/>
        <v>8.2165287601628802E-4</v>
      </c>
      <c r="X58" s="24">
        <f t="shared" si="60"/>
        <v>2.4273457868503128E-3</v>
      </c>
      <c r="Y58" s="10">
        <f>U58*3.2</f>
        <v>3.2489986628666009E-3</v>
      </c>
      <c r="AA58" s="8">
        <f t="shared" si="66"/>
        <v>216.18015829138943</v>
      </c>
      <c r="AB58" s="8">
        <f t="shared" si="67"/>
        <v>884.99570981090289</v>
      </c>
      <c r="AC58" s="8">
        <f t="shared" si="68"/>
        <v>2039.3899626840396</v>
      </c>
      <c r="AE58" s="11">
        <f t="shared" si="69"/>
        <v>4.4915298798897771E-4</v>
      </c>
      <c r="AF58" s="11">
        <f t="shared" si="70"/>
        <v>6.224097106195776E-4</v>
      </c>
      <c r="AG58" s="11">
        <f t="shared" si="71"/>
        <v>1.0715626986085554E-3</v>
      </c>
      <c r="AI58" s="1">
        <f t="shared" si="61"/>
        <v>0.94515766216290709</v>
      </c>
      <c r="AJ58" s="1">
        <f t="shared" si="61"/>
        <v>2.4182083905927452</v>
      </c>
      <c r="AK58" s="1">
        <f t="shared" si="61"/>
        <v>3.2</v>
      </c>
      <c r="AL58" s="31">
        <f>'[1]2. Contribution'!$R$30</f>
        <v>3.6213290374360718</v>
      </c>
      <c r="AM58" s="1">
        <f t="shared" si="62"/>
        <v>0.59808526341700907</v>
      </c>
      <c r="AN58" s="1">
        <f t="shared" si="62"/>
        <v>2.2744734466567067</v>
      </c>
      <c r="AO58" s="1">
        <f t="shared" si="62"/>
        <v>2.7171834875075942</v>
      </c>
      <c r="AQ58">
        <v>52</v>
      </c>
      <c r="AR58">
        <v>48</v>
      </c>
      <c r="AS58">
        <v>100</v>
      </c>
      <c r="AU58" s="3">
        <v>7173813.8846153859</v>
      </c>
      <c r="AV58" s="3">
        <v>8051009.4166666642</v>
      </c>
      <c r="AW58" s="3">
        <v>7594867.7399999993</v>
      </c>
      <c r="BC58" s="3">
        <f t="shared" si="72"/>
        <v>1.8293385505351498</v>
      </c>
      <c r="BD58" s="3">
        <f t="shared" si="73"/>
        <v>3.8999163178768721</v>
      </c>
      <c r="BE58" s="3">
        <f t="shared" si="74"/>
        <v>3.0320191875710938</v>
      </c>
    </row>
    <row r="59" spans="1:57" x14ac:dyDescent="0.25">
      <c r="A59" t="s">
        <v>26</v>
      </c>
      <c r="B59" t="s">
        <v>4</v>
      </c>
      <c r="C59" s="3">
        <v>533034211</v>
      </c>
      <c r="D59" s="3">
        <v>1549527947.1428566</v>
      </c>
      <c r="E59" s="3">
        <f>SUM(C59:D59)</f>
        <v>2082562158.1428566</v>
      </c>
      <c r="G59" s="3">
        <v>5436189.879999999</v>
      </c>
      <c r="H59" s="3">
        <v>10851116.98</v>
      </c>
      <c r="I59" s="3">
        <f t="shared" si="63"/>
        <v>16287306.859999999</v>
      </c>
      <c r="K59" s="2">
        <f t="shared" si="64"/>
        <v>10.198575940935241</v>
      </c>
      <c r="L59" s="3">
        <f t="shared" si="65"/>
        <v>7.0028533528602415</v>
      </c>
      <c r="M59" s="3">
        <f t="shared" si="65"/>
        <v>7.820802272967617</v>
      </c>
      <c r="O59" s="5">
        <f t="shared" si="56"/>
        <v>0.10322996395888431</v>
      </c>
      <c r="P59" s="5">
        <f t="shared" si="57"/>
        <v>5.4198320058890699E-2</v>
      </c>
      <c r="Q59" s="5">
        <f t="shared" si="58"/>
        <v>6.440922103075912E-2</v>
      </c>
      <c r="S59" s="6">
        <f t="shared" si="59"/>
        <v>9.8187725714522535E-3</v>
      </c>
      <c r="T59" s="6">
        <f t="shared" si="59"/>
        <v>7.6603314997999742E-3</v>
      </c>
      <c r="U59" s="7">
        <f t="shared" si="59"/>
        <v>8.6889268864004058E-3</v>
      </c>
      <c r="W59" s="24">
        <f t="shared" si="60"/>
        <v>4.350135060442073E-3</v>
      </c>
      <c r="X59" s="24">
        <f t="shared" si="60"/>
        <v>8.6832552691585366E-3</v>
      </c>
      <c r="Y59" s="10">
        <f>U59*1.5</f>
        <v>1.303339032960061E-2</v>
      </c>
      <c r="AA59" s="8">
        <f t="shared" si="66"/>
        <v>1144.5379349425511</v>
      </c>
      <c r="AB59" s="8">
        <f t="shared" si="67"/>
        <v>3165.8627716035876</v>
      </c>
      <c r="AC59" s="8">
        <f t="shared" si="68"/>
        <v>8181.0330431096436</v>
      </c>
      <c r="AE59" s="11">
        <f t="shared" si="69"/>
        <v>2.1054046311983336E-4</v>
      </c>
      <c r="AF59" s="11">
        <f t="shared" si="70"/>
        <v>2.917545518529271E-4</v>
      </c>
      <c r="AG59" s="11">
        <f t="shared" si="71"/>
        <v>5.0229501497276049E-4</v>
      </c>
      <c r="AI59" s="1">
        <f t="shared" si="61"/>
        <v>0.44304265413886285</v>
      </c>
      <c r="AJ59" s="1">
        <f t="shared" si="61"/>
        <v>1.1335351830903497</v>
      </c>
      <c r="AK59" s="1">
        <f t="shared" si="61"/>
        <v>1.5000000000000004</v>
      </c>
      <c r="AL59" s="31">
        <f>'[1]2. Contribution'!$R$32</f>
        <v>1.1628610516332474</v>
      </c>
      <c r="AM59" s="1">
        <f t="shared" si="62"/>
        <v>2.1472129017672961</v>
      </c>
      <c r="AN59" s="1">
        <f t="shared" si="62"/>
        <v>2.0431143416555075</v>
      </c>
      <c r="AO59" s="1">
        <f t="shared" si="62"/>
        <v>3.9283499947992677</v>
      </c>
      <c r="AQ59">
        <v>53</v>
      </c>
      <c r="AR59">
        <v>52</v>
      </c>
      <c r="AS59">
        <v>105</v>
      </c>
      <c r="AU59" s="3">
        <v>10117132.792452833</v>
      </c>
      <c r="AV59" s="3">
        <v>7709113.788461538</v>
      </c>
      <c r="AW59" s="3">
        <v>8924590.0476190504</v>
      </c>
      <c r="BC59" s="3">
        <f t="shared" si="72"/>
        <v>20.661753071028944</v>
      </c>
      <c r="BD59" s="3">
        <f t="shared" si="73"/>
        <v>29.762192959840263</v>
      </c>
      <c r="BE59" s="3">
        <f t="shared" si="74"/>
        <v>25.947680030842857</v>
      </c>
    </row>
    <row r="60" spans="1:57" x14ac:dyDescent="0.25">
      <c r="A60" t="s">
        <v>26</v>
      </c>
      <c r="B60" t="s">
        <v>5</v>
      </c>
      <c r="C60" s="3">
        <v>578094390</v>
      </c>
      <c r="D60" s="3">
        <v>2531247168.4285717</v>
      </c>
      <c r="E60" s="3">
        <f>SUM(C60:D60)</f>
        <v>3109341558.4285717</v>
      </c>
      <c r="G60" s="3">
        <v>9857143.9100000001</v>
      </c>
      <c r="H60" s="3">
        <v>50264318.289999999</v>
      </c>
      <c r="I60" s="3">
        <f t="shared" si="63"/>
        <v>60121462.200000003</v>
      </c>
      <c r="K60" s="2">
        <f t="shared" si="64"/>
        <v>17.051097676280857</v>
      </c>
      <c r="L60" s="3">
        <f t="shared" si="65"/>
        <v>19.857530673784293</v>
      </c>
      <c r="M60" s="3">
        <f t="shared" si="65"/>
        <v>19.33575358970365</v>
      </c>
      <c r="O60" s="5">
        <f t="shared" si="56"/>
        <v>0.1871812120305916</v>
      </c>
      <c r="P60" s="5">
        <f t="shared" si="57"/>
        <v>0.25105633044455239</v>
      </c>
      <c r="Q60" s="5">
        <f t="shared" si="58"/>
        <v>0.23775425739920208</v>
      </c>
      <c r="S60" s="6">
        <f t="shared" si="59"/>
        <v>1.7803839893901136E-2</v>
      </c>
      <c r="T60" s="6">
        <f t="shared" si="59"/>
        <v>3.5484028180927323E-2</v>
      </c>
      <c r="U60" s="7">
        <f t="shared" si="59"/>
        <v>3.2073503240871937E-2</v>
      </c>
      <c r="W60" s="24">
        <f t="shared" si="60"/>
        <v>6.3102883843658619E-3</v>
      </c>
      <c r="X60" s="24">
        <f t="shared" si="60"/>
        <v>3.2177915504680459E-2</v>
      </c>
      <c r="Y60" s="10">
        <f>U60*1.2</f>
        <v>3.8488203889046321E-2</v>
      </c>
      <c r="AA60" s="8">
        <f t="shared" si="66"/>
        <v>1660.2621150801958</v>
      </c>
      <c r="AB60" s="8">
        <f t="shared" si="67"/>
        <v>11731.874925513466</v>
      </c>
      <c r="AC60" s="8">
        <f t="shared" si="68"/>
        <v>24158.968604746598</v>
      </c>
      <c r="AE60" s="11">
        <f t="shared" si="69"/>
        <v>1.6843237049586667E-4</v>
      </c>
      <c r="AF60" s="11">
        <f t="shared" si="70"/>
        <v>2.3340364148234161E-4</v>
      </c>
      <c r="AG60" s="11">
        <f t="shared" si="71"/>
        <v>4.0183601197820828E-4</v>
      </c>
      <c r="AI60" s="1">
        <f t="shared" si="61"/>
        <v>0.3544341233110902</v>
      </c>
      <c r="AJ60" s="1">
        <f t="shared" si="61"/>
        <v>0.90682814647227961</v>
      </c>
      <c r="AK60" s="1">
        <f t="shared" si="61"/>
        <v>1.2</v>
      </c>
      <c r="AL60" s="31">
        <f>'[1]2. Contribution'!$R$33</f>
        <v>1.1050873520889783</v>
      </c>
      <c r="AM60" s="1">
        <f t="shared" si="62"/>
        <v>2.8719568011725487</v>
      </c>
      <c r="AN60" s="1">
        <f t="shared" si="62"/>
        <v>4.6348199701085511</v>
      </c>
      <c r="AO60" s="1">
        <f t="shared" si="62"/>
        <v>7.7698021110798416</v>
      </c>
      <c r="AQ60">
        <v>48</v>
      </c>
      <c r="AR60">
        <v>52</v>
      </c>
      <c r="AS60">
        <v>100</v>
      </c>
      <c r="AU60" s="3">
        <v>12043633.124999998</v>
      </c>
      <c r="AV60" s="3">
        <v>49022856.384615384</v>
      </c>
      <c r="AW60" s="3">
        <v>31272829.219999995</v>
      </c>
      <c r="BC60" s="3">
        <f t="shared" si="72"/>
        <v>37.46481965306495</v>
      </c>
      <c r="BD60" s="3">
        <f t="shared" si="73"/>
        <v>137.8638109513596</v>
      </c>
      <c r="BE60" s="3">
        <f t="shared" si="74"/>
        <v>95.780872648949028</v>
      </c>
    </row>
    <row r="61" spans="1:57" x14ac:dyDescent="0.25">
      <c r="A61" t="s">
        <v>26</v>
      </c>
      <c r="B61" t="s">
        <v>34</v>
      </c>
      <c r="G61" s="3">
        <v>0</v>
      </c>
      <c r="H61" s="3">
        <v>1431973.6880000008</v>
      </c>
      <c r="I61" s="3">
        <f t="shared" si="63"/>
        <v>1431973.6880000008</v>
      </c>
      <c r="K61" s="2">
        <f t="shared" si="64"/>
        <v>0</v>
      </c>
      <c r="L61" s="3">
        <f>IFERROR(H61/D61,0)</f>
        <v>0</v>
      </c>
      <c r="M61" s="3">
        <f>IFERROR(I61/E61,0)</f>
        <v>0</v>
      </c>
      <c r="O61" s="5">
        <f t="shared" si="56"/>
        <v>0</v>
      </c>
      <c r="P61" s="5">
        <f t="shared" si="57"/>
        <v>7.1523114533904994E-3</v>
      </c>
      <c r="Q61" s="5">
        <f t="shared" si="58"/>
        <v>5.6628336761516233E-3</v>
      </c>
      <c r="S61" s="6">
        <f t="shared" si="59"/>
        <v>0</v>
      </c>
      <c r="T61" s="6">
        <f t="shared" si="59"/>
        <v>1.0108999072896499E-3</v>
      </c>
      <c r="U61" s="7">
        <f t="shared" si="59"/>
        <v>7.639270743303938E-4</v>
      </c>
      <c r="Y61" s="10">
        <f>0.7*U61</f>
        <v>5.3474895203127557E-4</v>
      </c>
      <c r="AA61" s="8">
        <f t="shared" si="66"/>
        <v>0</v>
      </c>
      <c r="AB61" s="8">
        <f t="shared" si="67"/>
        <v>0</v>
      </c>
      <c r="AC61" s="8">
        <f t="shared" si="68"/>
        <v>335.66084769212762</v>
      </c>
      <c r="AE61" s="11">
        <f t="shared" si="69"/>
        <v>0</v>
      </c>
      <c r="AF61" s="11">
        <f t="shared" si="70"/>
        <v>0</v>
      </c>
      <c r="AG61" s="11">
        <f t="shared" si="71"/>
        <v>2.3440434032062147E-4</v>
      </c>
      <c r="AI61" s="1">
        <f t="shared" si="61"/>
        <v>0</v>
      </c>
      <c r="AJ61" s="1">
        <f t="shared" si="61"/>
        <v>0</v>
      </c>
      <c r="AK61" s="1">
        <f t="shared" si="61"/>
        <v>0.7</v>
      </c>
      <c r="AL61" s="31">
        <f>'[1]2. Contribution'!$R$35</f>
        <v>1.2890985405366482</v>
      </c>
      <c r="AM61" s="1">
        <f t="shared" si="62"/>
        <v>0</v>
      </c>
      <c r="AN61" s="1">
        <f t="shared" si="62"/>
        <v>0</v>
      </c>
      <c r="AO61" s="1">
        <f t="shared" si="62"/>
        <v>0</v>
      </c>
      <c r="AQ61">
        <v>0</v>
      </c>
      <c r="AR61">
        <v>20</v>
      </c>
      <c r="AS61">
        <v>20</v>
      </c>
      <c r="AU61" s="3">
        <v>0</v>
      </c>
      <c r="AV61" s="3">
        <v>73135.349600000045</v>
      </c>
      <c r="AW61" s="3">
        <v>73135.349600000045</v>
      </c>
      <c r="BC61" s="3">
        <f t="shared" si="72"/>
        <v>0</v>
      </c>
      <c r="BD61" s="3">
        <f t="shared" si="73"/>
        <v>3.9275843486179167</v>
      </c>
      <c r="BE61" s="3">
        <f t="shared" si="74"/>
        <v>2.2813099420421934</v>
      </c>
    </row>
    <row r="62" spans="1:57" x14ac:dyDescent="0.25">
      <c r="A62" t="s">
        <v>26</v>
      </c>
      <c r="B62" t="s">
        <v>35</v>
      </c>
      <c r="D62" s="13">
        <v>915.65939999999978</v>
      </c>
      <c r="E62" s="13">
        <v>915.65939999999978</v>
      </c>
      <c r="G62" s="3">
        <v>0</v>
      </c>
      <c r="H62" s="3">
        <v>11810336.08</v>
      </c>
      <c r="I62" s="3">
        <f t="shared" si="63"/>
        <v>11810336.08</v>
      </c>
      <c r="K62" s="2">
        <f t="shared" si="64"/>
        <v>0</v>
      </c>
      <c r="L62" s="3">
        <f>IFERROR(H62/D62,0)</f>
        <v>12898.175981156315</v>
      </c>
      <c r="M62" s="3">
        <f>IFERROR(I62/E62,0)</f>
        <v>12898.175981156315</v>
      </c>
      <c r="O62" s="5">
        <f t="shared" si="56"/>
        <v>0</v>
      </c>
      <c r="P62" s="5">
        <f t="shared" si="57"/>
        <v>5.8989353450588686E-2</v>
      </c>
      <c r="Q62" s="5">
        <f t="shared" si="58"/>
        <v>4.6704747050137496E-2</v>
      </c>
      <c r="S62" s="6">
        <f t="shared" si="59"/>
        <v>0</v>
      </c>
      <c r="T62" s="6">
        <f t="shared" si="59"/>
        <v>8.3374909388220543E-3</v>
      </c>
      <c r="U62" s="7">
        <f t="shared" si="59"/>
        <v>6.3005595452345258E-3</v>
      </c>
      <c r="Y62" s="10">
        <f>0.9*U62</f>
        <v>5.6705035907110733E-3</v>
      </c>
      <c r="AA62" s="8">
        <f t="shared" si="66"/>
        <v>0</v>
      </c>
      <c r="AB62" s="8">
        <f t="shared" si="67"/>
        <v>0</v>
      </c>
      <c r="AC62" s="8">
        <f t="shared" si="68"/>
        <v>3559.3637628821593</v>
      </c>
      <c r="AE62" s="11">
        <f t="shared" si="69"/>
        <v>0</v>
      </c>
      <c r="AF62" s="11">
        <f t="shared" si="70"/>
        <v>0</v>
      </c>
      <c r="AG62" s="11">
        <f t="shared" si="71"/>
        <v>3.0137700898365624E-4</v>
      </c>
      <c r="AI62" s="1">
        <f t="shared" si="61"/>
        <v>0</v>
      </c>
      <c r="AJ62" s="1">
        <f t="shared" si="61"/>
        <v>0</v>
      </c>
      <c r="AK62" s="1">
        <f t="shared" si="61"/>
        <v>0.90000000000000013</v>
      </c>
      <c r="AL62" s="31">
        <f>'[1]2. Contribution'!$R$34</f>
        <v>1.1932082814157006</v>
      </c>
      <c r="AM62" s="1">
        <f t="shared" si="62"/>
        <v>0</v>
      </c>
      <c r="AN62" s="1">
        <f t="shared" si="62"/>
        <v>0</v>
      </c>
      <c r="AO62" s="1">
        <f t="shared" si="62"/>
        <v>3887213.6985457256</v>
      </c>
      <c r="AQ62">
        <v>0</v>
      </c>
      <c r="AR62">
        <v>12</v>
      </c>
      <c r="AS62">
        <v>12</v>
      </c>
      <c r="AU62" s="3">
        <v>0</v>
      </c>
      <c r="AV62" s="3">
        <v>76.333333333333329</v>
      </c>
      <c r="AW62" s="3">
        <v>76.333333333333329</v>
      </c>
      <c r="BC62" s="3">
        <f t="shared" si="72"/>
        <v>0</v>
      </c>
      <c r="BD62" s="3">
        <f t="shared" si="73"/>
        <v>32.393116946521339</v>
      </c>
      <c r="BE62" s="3">
        <f t="shared" si="74"/>
        <v>18.815315772871667</v>
      </c>
    </row>
    <row r="63" spans="1:57" x14ac:dyDescent="0.25">
      <c r="D63" s="13"/>
      <c r="E63" s="13"/>
      <c r="G63" s="3"/>
      <c r="H63" s="3"/>
      <c r="I63" s="3"/>
      <c r="K63" s="2"/>
      <c r="L63" s="3"/>
      <c r="M63" s="3"/>
      <c r="O63" s="5"/>
      <c r="P63" s="5"/>
      <c r="Q63" s="5"/>
      <c r="S63" s="6"/>
      <c r="T63" s="6"/>
      <c r="U63" s="7"/>
      <c r="Y63" s="10"/>
      <c r="AA63" s="8"/>
      <c r="AB63" s="8"/>
      <c r="AC63" s="8"/>
      <c r="AE63" s="11"/>
      <c r="AF63" s="11"/>
      <c r="AG63" s="11"/>
      <c r="AI63" s="1"/>
      <c r="AJ63" s="1"/>
      <c r="AK63" s="1"/>
      <c r="AM63" s="1"/>
      <c r="AN63" s="1"/>
      <c r="AO63" s="1"/>
      <c r="AU63" s="3"/>
      <c r="AV63" s="3"/>
      <c r="AW63" s="3"/>
      <c r="BC63" s="3"/>
      <c r="BD63" s="3"/>
      <c r="BE63" s="3"/>
    </row>
    <row r="64" spans="1:57" x14ac:dyDescent="0.25">
      <c r="D64" s="13"/>
      <c r="E64" s="13"/>
      <c r="G64" s="5">
        <f t="shared" ref="G64:H68" si="75">G56/$I56</f>
        <v>0.18250786254255527</v>
      </c>
      <c r="H64" s="5">
        <f t="shared" si="75"/>
        <v>0.81749213745744465</v>
      </c>
      <c r="I64" s="5">
        <f>H56/G56-1</f>
        <v>3.4792159968824929</v>
      </c>
      <c r="K64" s="2"/>
      <c r="L64" s="3"/>
      <c r="M64" s="3"/>
      <c r="O64" s="5"/>
      <c r="P64" s="5"/>
      <c r="Q64" s="5"/>
      <c r="S64" s="6"/>
      <c r="T64" s="6"/>
      <c r="U64" s="7"/>
      <c r="Y64" s="10"/>
      <c r="AA64" s="8"/>
      <c r="AB64" s="8"/>
      <c r="AC64" s="8"/>
      <c r="AE64" s="11"/>
      <c r="AF64" s="11"/>
      <c r="AG64" s="11"/>
      <c r="AI64" s="1"/>
      <c r="AJ64" s="32">
        <v>9.2000000000000003E-4</v>
      </c>
      <c r="AK64" s="1">
        <v>1.3033795072197207</v>
      </c>
      <c r="AM64" s="1"/>
      <c r="AN64" s="1"/>
      <c r="AO64" s="1"/>
      <c r="AU64" s="3"/>
      <c r="AV64" s="3"/>
      <c r="AW64" s="3"/>
      <c r="BC64" s="3"/>
      <c r="BD64" s="3"/>
      <c r="BE64" s="3"/>
    </row>
    <row r="65" spans="1:57" x14ac:dyDescent="0.25">
      <c r="D65" s="13"/>
      <c r="E65" s="13"/>
      <c r="G65" s="5">
        <f t="shared" si="75"/>
        <v>0.31648011661407255</v>
      </c>
      <c r="H65" s="5">
        <f t="shared" si="75"/>
        <v>0.68351988338592751</v>
      </c>
      <c r="I65" s="5">
        <f>H57/G57-1</f>
        <v>1.1597561663547942</v>
      </c>
      <c r="K65" s="2"/>
      <c r="L65" s="3"/>
      <c r="M65" s="3"/>
      <c r="O65" s="5"/>
      <c r="P65" s="5"/>
      <c r="Q65" s="5"/>
      <c r="S65" s="6"/>
      <c r="T65" s="6"/>
      <c r="U65" s="7"/>
      <c r="Y65" s="10"/>
      <c r="AA65" s="8"/>
      <c r="AB65" s="8"/>
      <c r="AC65" s="8"/>
      <c r="AE65" s="11"/>
      <c r="AF65" s="11"/>
      <c r="AG65" s="11"/>
      <c r="AI65" s="1"/>
      <c r="AJ65" s="1">
        <f>AJ64*AK65</f>
        <v>8.2800000000000018E-4</v>
      </c>
      <c r="AK65" s="1">
        <v>0.90000000000000013</v>
      </c>
      <c r="AM65" s="1"/>
      <c r="AN65" s="1"/>
      <c r="AO65" s="1"/>
      <c r="AU65" s="3"/>
      <c r="AV65" s="3"/>
      <c r="AW65" s="3"/>
      <c r="BC65" s="3"/>
      <c r="BD65" s="3"/>
      <c r="BE65" s="3"/>
    </row>
    <row r="66" spans="1:57" x14ac:dyDescent="0.25">
      <c r="D66" s="13"/>
      <c r="E66" s="13"/>
      <c r="G66" s="5">
        <f t="shared" si="75"/>
        <v>0.25289418718668888</v>
      </c>
      <c r="H66" s="5">
        <f t="shared" si="75"/>
        <v>0.74710581281331112</v>
      </c>
      <c r="I66" s="5">
        <f>H58/G58-1</f>
        <v>1.9542229543686207</v>
      </c>
      <c r="K66" s="2"/>
      <c r="L66" s="3"/>
      <c r="M66" s="3"/>
      <c r="O66" s="5"/>
      <c r="P66" s="5"/>
      <c r="Q66" s="5"/>
      <c r="S66" s="6"/>
      <c r="T66" s="6"/>
      <c r="U66" s="7"/>
      <c r="Y66" s="10"/>
      <c r="AA66" s="8"/>
      <c r="AB66" s="8"/>
      <c r="AC66" s="8"/>
      <c r="AE66" s="11"/>
      <c r="AF66" s="11"/>
      <c r="AG66" s="11"/>
      <c r="AI66" s="1"/>
      <c r="AJ66" s="36">
        <f>AJ65/AK64</f>
        <v>6.3527161154024333E-4</v>
      </c>
      <c r="AK66" s="1"/>
      <c r="AM66" s="1"/>
      <c r="AN66" s="1"/>
      <c r="AO66" s="1"/>
      <c r="AU66" s="3"/>
      <c r="AV66" s="3"/>
      <c r="AW66" s="3"/>
      <c r="BC66" s="3"/>
      <c r="BD66" s="3"/>
      <c r="BE66" s="3"/>
    </row>
    <row r="67" spans="1:57" x14ac:dyDescent="0.25">
      <c r="D67" s="13"/>
      <c r="E67" s="13"/>
      <c r="G67" s="5">
        <f t="shared" si="75"/>
        <v>0.33376849387855145</v>
      </c>
      <c r="H67" s="5">
        <f t="shared" si="75"/>
        <v>0.66623150612144855</v>
      </c>
      <c r="I67" s="5">
        <f>H59/G59-1</f>
        <v>0.9960886612739146</v>
      </c>
      <c r="K67" s="2"/>
      <c r="L67" s="3"/>
      <c r="M67" s="3"/>
      <c r="O67" s="5"/>
      <c r="P67" s="5"/>
      <c r="Q67" s="5"/>
      <c r="S67" s="6"/>
      <c r="T67" s="6"/>
      <c r="U67" s="7"/>
      <c r="Y67" s="10"/>
      <c r="AA67" s="8"/>
      <c r="AB67" s="8"/>
      <c r="AC67" s="8"/>
      <c r="AE67" s="11"/>
      <c r="AF67" s="11"/>
      <c r="AG67" s="11"/>
      <c r="AI67" s="1"/>
      <c r="AJ67" s="1"/>
      <c r="AK67" s="1"/>
      <c r="AM67" s="1"/>
      <c r="AN67" s="1"/>
      <c r="AO67" s="1"/>
      <c r="AU67" s="3"/>
      <c r="AV67" s="3"/>
      <c r="AW67" s="3"/>
      <c r="BC67" s="3"/>
      <c r="BD67" s="3"/>
      <c r="BE67" s="3"/>
    </row>
    <row r="68" spans="1:57" x14ac:dyDescent="0.25">
      <c r="D68" s="13"/>
      <c r="E68" s="13"/>
      <c r="G68" s="5">
        <f t="shared" si="75"/>
        <v>0.16395382862128724</v>
      </c>
      <c r="H68" s="5">
        <f t="shared" si="75"/>
        <v>0.83604617137871273</v>
      </c>
      <c r="I68" s="5">
        <f>H60/G60-1</f>
        <v>4.0992781224394239</v>
      </c>
      <c r="K68" s="2"/>
      <c r="L68" s="3"/>
      <c r="M68" s="3"/>
      <c r="O68" s="5"/>
      <c r="P68" s="5"/>
      <c r="Q68" s="5"/>
      <c r="S68" s="6"/>
      <c r="T68" s="6"/>
      <c r="U68" s="7"/>
      <c r="Y68" s="10"/>
      <c r="AA68" s="8"/>
      <c r="AB68" s="8"/>
      <c r="AC68" s="8"/>
      <c r="AE68" s="11"/>
      <c r="AF68" s="11"/>
      <c r="AG68" s="11"/>
      <c r="AI68" s="1"/>
      <c r="AJ68" s="1"/>
      <c r="AK68" s="1"/>
      <c r="AM68" s="1"/>
      <c r="AN68" s="1"/>
      <c r="AO68" s="1"/>
      <c r="AU68" s="3"/>
      <c r="AV68" s="3"/>
      <c r="AW68" s="3"/>
      <c r="BC68" s="3"/>
      <c r="BD68" s="3"/>
      <c r="BE68" s="3"/>
    </row>
    <row r="69" spans="1:57" x14ac:dyDescent="0.25">
      <c r="Y69" s="10"/>
    </row>
    <row r="70" spans="1:57" ht="15.75" thickBot="1" x14ac:dyDescent="0.3">
      <c r="Y70" s="10"/>
    </row>
    <row r="71" spans="1:57" s="17" customFormat="1" ht="3.75" customHeight="1" thickBot="1" x14ac:dyDescent="0.3">
      <c r="A71" s="16"/>
    </row>
    <row r="72" spans="1:57" x14ac:dyDescent="0.25">
      <c r="B72" s="15" t="s">
        <v>18</v>
      </c>
      <c r="C72" s="3">
        <v>212600000</v>
      </c>
      <c r="D72" s="13">
        <v>213993437</v>
      </c>
      <c r="G72" s="14">
        <v>11437.6</v>
      </c>
      <c r="H72" s="14">
        <v>320849</v>
      </c>
      <c r="I72" s="14">
        <v>332286.59999999998</v>
      </c>
    </row>
    <row r="73" spans="1:57" x14ac:dyDescent="0.25">
      <c r="B73" s="15" t="s">
        <v>20</v>
      </c>
      <c r="C73" s="12">
        <v>0.6</v>
      </c>
      <c r="D73" s="12">
        <v>0.6</v>
      </c>
      <c r="G73" s="14">
        <v>2104.311197827546</v>
      </c>
      <c r="H73" s="14">
        <v>3885.2356403397698</v>
      </c>
      <c r="I73" s="14">
        <v>2986.2928265002702</v>
      </c>
    </row>
    <row r="74" spans="1:57" x14ac:dyDescent="0.25">
      <c r="B74" s="15" t="s">
        <v>19</v>
      </c>
      <c r="C74" s="3">
        <f>C72*C73</f>
        <v>127560000</v>
      </c>
      <c r="D74" s="3">
        <f>D72*D73</f>
        <v>128396062.19999999</v>
      </c>
      <c r="G74" s="14">
        <f>G73*G72</f>
        <v>24068269.756272342</v>
      </c>
      <c r="H74" s="14">
        <f>H73*H72</f>
        <v>1246573969.9673748</v>
      </c>
      <c r="I74" s="14">
        <f>I73*I72</f>
        <v>992305089.92216456</v>
      </c>
    </row>
    <row r="75" spans="1:57" x14ac:dyDescent="0.25">
      <c r="B75" s="15"/>
      <c r="C75" s="3">
        <f>(C79/C74)</f>
        <v>15.65148387985486</v>
      </c>
      <c r="D75" s="3">
        <f>(D79/D74)</f>
        <v>23.547726777558449</v>
      </c>
    </row>
    <row r="77" spans="1:57" x14ac:dyDescent="0.25">
      <c r="A77" s="18" t="s">
        <v>38</v>
      </c>
      <c r="B77" s="20" t="s">
        <v>0</v>
      </c>
      <c r="C77" s="20">
        <v>2020</v>
      </c>
      <c r="D77" s="20">
        <v>2021</v>
      </c>
      <c r="E77" s="20" t="s">
        <v>15</v>
      </c>
      <c r="F77" s="20"/>
      <c r="G77" s="20">
        <v>2020</v>
      </c>
      <c r="H77" s="20">
        <v>2021</v>
      </c>
      <c r="I77" s="20" t="s">
        <v>15</v>
      </c>
      <c r="J77" s="20"/>
      <c r="K77" s="20">
        <v>2020</v>
      </c>
      <c r="L77" s="20">
        <v>2021</v>
      </c>
      <c r="M77" s="20" t="s">
        <v>15</v>
      </c>
      <c r="N77" s="20"/>
      <c r="O77" s="20">
        <v>2020</v>
      </c>
      <c r="P77" s="20">
        <v>2021</v>
      </c>
      <c r="Q77" s="20" t="s">
        <v>15</v>
      </c>
      <c r="R77" s="20"/>
      <c r="S77" s="20">
        <v>2020</v>
      </c>
      <c r="T77" s="20">
        <v>2021</v>
      </c>
      <c r="U77" s="20" t="s">
        <v>15</v>
      </c>
      <c r="V77" s="20"/>
      <c r="W77" s="20">
        <v>2020</v>
      </c>
      <c r="X77" s="20">
        <v>2021</v>
      </c>
      <c r="Y77" s="20" t="s">
        <v>15</v>
      </c>
      <c r="Z77" s="20"/>
      <c r="AA77" s="20">
        <v>2020</v>
      </c>
      <c r="AB77" s="20">
        <v>2021</v>
      </c>
      <c r="AC77" s="20" t="s">
        <v>15</v>
      </c>
      <c r="AD77" s="20"/>
      <c r="AE77" s="20">
        <v>2020</v>
      </c>
      <c r="AF77" s="20">
        <v>2021</v>
      </c>
      <c r="AG77" s="20" t="s">
        <v>15</v>
      </c>
      <c r="AH77" s="20"/>
      <c r="AI77" s="20">
        <v>2020</v>
      </c>
      <c r="AJ77" s="20">
        <v>2021</v>
      </c>
      <c r="AK77" s="20" t="s">
        <v>15</v>
      </c>
      <c r="AL77" s="20"/>
      <c r="AM77" s="20">
        <v>2020</v>
      </c>
      <c r="AN77" s="20">
        <v>2021</v>
      </c>
      <c r="AO77" s="20" t="s">
        <v>15</v>
      </c>
      <c r="AP77" s="20"/>
      <c r="AQ77" s="20">
        <v>2020</v>
      </c>
      <c r="AR77" s="20">
        <v>2021</v>
      </c>
      <c r="AS77" s="20" t="s">
        <v>15</v>
      </c>
      <c r="AT77" s="20"/>
      <c r="AU77" s="20">
        <v>2020</v>
      </c>
      <c r="AV77" s="20">
        <v>2021</v>
      </c>
      <c r="AW77" s="20" t="s">
        <v>15</v>
      </c>
      <c r="AX77" s="20"/>
      <c r="AY77" s="20">
        <v>2020</v>
      </c>
      <c r="AZ77" s="20">
        <v>2021</v>
      </c>
      <c r="BA77" s="20" t="s">
        <v>15</v>
      </c>
      <c r="BB77" s="20"/>
      <c r="BC77" s="20">
        <v>2020</v>
      </c>
      <c r="BD77" s="20">
        <v>2021</v>
      </c>
      <c r="BE77" s="20" t="s">
        <v>15</v>
      </c>
    </row>
    <row r="78" spans="1:57" x14ac:dyDescent="0.25">
      <c r="A78" t="s">
        <v>26</v>
      </c>
      <c r="B78" s="21" t="s">
        <v>1</v>
      </c>
      <c r="C78" s="3">
        <v>1526869231.7142859</v>
      </c>
      <c r="D78" s="3">
        <v>7687222519.2857141</v>
      </c>
      <c r="E78" s="3">
        <f>SUM(C78:D78)</f>
        <v>9214091751</v>
      </c>
      <c r="G78" s="3">
        <v>19300273.691428568</v>
      </c>
      <c r="H78" s="3">
        <v>86450094.66285716</v>
      </c>
      <c r="I78" s="3">
        <f>SUM(G78:H78)</f>
        <v>105750368.35428573</v>
      </c>
      <c r="K78" s="2">
        <f t="shared" ref="K78:M85" si="76">IFERROR(G78/C78,0)*1000</f>
        <v>12.640423482605167</v>
      </c>
      <c r="L78" s="3">
        <f t="shared" si="76"/>
        <v>11.245946692185772</v>
      </c>
      <c r="M78" s="3">
        <f t="shared" si="76"/>
        <v>11.477025757075699</v>
      </c>
      <c r="O78" s="5">
        <f>G78/SUM($G$78:$G$86)</f>
        <v>0.36650054570256746</v>
      </c>
      <c r="P78" s="5">
        <f>H78/SUM($H$78:$H$86)</f>
        <v>0.45405040255944712</v>
      </c>
      <c r="Q78" s="5">
        <f>I78/SUM($I$78:$I$86)</f>
        <v>0.43508188482851845</v>
      </c>
      <c r="S78" s="6">
        <f>G78/G$74</f>
        <v>0.80189701573370453</v>
      </c>
      <c r="T78" s="6">
        <f>H78/H$74</f>
        <v>6.9350152293906578E-2</v>
      </c>
      <c r="U78" s="7">
        <f>I78/I$74</f>
        <v>0.10657041813882129</v>
      </c>
      <c r="W78" s="26">
        <f t="shared" ref="W78:X82" si="77">$Y78*G88</f>
        <v>2.1394933147260899E-2</v>
      </c>
      <c r="X78" s="26">
        <f t="shared" si="77"/>
        <v>9.5832526805442519E-2</v>
      </c>
      <c r="Y78" s="10">
        <f>U78*1.1</f>
        <v>0.11722745995270342</v>
      </c>
      <c r="AA78" s="8">
        <f>W78*G$72</f>
        <v>244.70668736511126</v>
      </c>
      <c r="AB78" s="8">
        <f>X78*H$72</f>
        <v>30747.770392999428</v>
      </c>
      <c r="AC78" s="8">
        <f>Y78*I$72</f>
        <v>38953.114094319979</v>
      </c>
      <c r="AE78" s="11">
        <f>IFERROR(AA78/G78,0)</f>
        <v>1.2678923173705449E-5</v>
      </c>
      <c r="AF78" s="11">
        <f>IFERROR(AB78/H78,0)</f>
        <v>3.5567075447298554E-4</v>
      </c>
      <c r="AG78" s="11">
        <f>IFERROR(AC78/I78,0)</f>
        <v>3.6834967764669095E-4</v>
      </c>
      <c r="AI78" s="1">
        <f t="shared" ref="AI78:AI86" si="78">IFERROR(AE78*G$2,0)</f>
        <v>2.6680400010823543E-2</v>
      </c>
      <c r="AJ78" s="1">
        <f t="shared" ref="AJ78:AJ86" si="79">IFERROR(AF78*H$2,0)</f>
        <v>1.381864691504979</v>
      </c>
      <c r="AK78" s="1">
        <f t="shared" ref="AK78:AK86" si="80">IFERROR(AG78*I$2,0)</f>
        <v>1.1000000000000001</v>
      </c>
      <c r="AL78" s="31">
        <f>'[1]2. Contribution'!$Q$40</f>
        <v>1.4878177366544918</v>
      </c>
      <c r="AM78" s="1">
        <f t="shared" ref="AM78:AM86" si="81">IFERROR(AA78/C78,0)*1000000</f>
        <v>0.16026695821905318</v>
      </c>
      <c r="AN78" s="1">
        <f t="shared" ref="AN78:AN86" si="82">IFERROR(AB78/D78,0)*1000000</f>
        <v>3.9998543447726895</v>
      </c>
      <c r="AO78" s="1">
        <f t="shared" ref="AO78:AO86" si="83">IFERROR(AC78/E78,0)*1000000</f>
        <v>4.2275587379616031</v>
      </c>
      <c r="AQ78">
        <v>45</v>
      </c>
      <c r="AR78">
        <v>52</v>
      </c>
      <c r="AS78">
        <v>97</v>
      </c>
      <c r="AU78" s="3">
        <v>35299182.269841269</v>
      </c>
      <c r="AV78" s="3">
        <v>146646702.86263734</v>
      </c>
      <c r="AW78" s="3">
        <v>94990636.608247429</v>
      </c>
      <c r="BC78" s="3">
        <f>G78/G$72</f>
        <v>1687.4408697129265</v>
      </c>
      <c r="BD78" s="3">
        <f>H78/H$72</f>
        <v>269.44168335527667</v>
      </c>
      <c r="BE78" s="3">
        <f>I78/I$72</f>
        <v>318.25047520509628</v>
      </c>
    </row>
    <row r="79" spans="1:57" x14ac:dyDescent="0.25">
      <c r="A79" t="s">
        <v>26</v>
      </c>
      <c r="B79" s="21" t="s">
        <v>2</v>
      </c>
      <c r="C79" s="3">
        <v>1996503283.7142859</v>
      </c>
      <c r="D79" s="3">
        <v>3023435392</v>
      </c>
      <c r="E79" s="3">
        <f t="shared" ref="E79:E86" si="84">SUM(C79:D79)</f>
        <v>5019938675.7142859</v>
      </c>
      <c r="G79" s="3">
        <v>17586054.725714285</v>
      </c>
      <c r="H79" s="3">
        <v>37981590.135714293</v>
      </c>
      <c r="I79" s="3">
        <f t="shared" ref="I79:I86" si="85">SUM(G79:H79)</f>
        <v>55567644.861428574</v>
      </c>
      <c r="K79" s="2">
        <f t="shared" si="76"/>
        <v>8.8084276490631499</v>
      </c>
      <c r="L79" s="3">
        <f t="shared" si="76"/>
        <v>12.56239516022517</v>
      </c>
      <c r="M79" s="3">
        <f t="shared" si="76"/>
        <v>11.06938718798629</v>
      </c>
      <c r="O79" s="5">
        <f t="shared" ref="O79:O85" si="86">G79/SUM($G$78:$G$86)</f>
        <v>0.33394856242851717</v>
      </c>
      <c r="P79" s="5">
        <f t="shared" ref="P79:P86" si="87">H79/SUM($H$78:$H$86)</f>
        <v>0.19948568429247152</v>
      </c>
      <c r="Q79" s="5">
        <f t="shared" ref="Q79:Q86" si="88">I79/SUM($I$78:$I$86)</f>
        <v>0.22861835885805956</v>
      </c>
      <c r="S79" s="6">
        <f t="shared" ref="S79:S86" si="89">G79/G$74</f>
        <v>0.73067382507341427</v>
      </c>
      <c r="T79" s="6">
        <f t="shared" ref="T79:T86" si="90">H79/H$74</f>
        <v>3.0468781677438959E-2</v>
      </c>
      <c r="U79" s="7">
        <f t="shared" ref="U79:U86" si="91">I79/I$74</f>
        <v>5.5998548657839944E-2</v>
      </c>
      <c r="W79" s="26">
        <f t="shared" si="77"/>
        <v>1.59501844885068E-2</v>
      </c>
      <c r="X79" s="26">
        <f t="shared" si="77"/>
        <v>3.4448509303549153E-2</v>
      </c>
      <c r="Y79" s="10">
        <f>U79*0.9</f>
        <v>5.039869379205595E-2</v>
      </c>
      <c r="AA79" s="8">
        <f t="shared" ref="AA79:AA86" si="92">W79*G$72</f>
        <v>182.43183010574538</v>
      </c>
      <c r="AB79" s="8">
        <f t="shared" ref="AB79:AB86" si="93">X79*H$72</f>
        <v>11052.769761534442</v>
      </c>
      <c r="AC79" s="8">
        <f t="shared" ref="AC79:AC86" si="94">Y79*I$72</f>
        <v>16746.810604603379</v>
      </c>
      <c r="AE79" s="11">
        <f t="shared" ref="AE79:AE86" si="95">IFERROR(AA79/G79,0)</f>
        <v>1.037366441484991E-5</v>
      </c>
      <c r="AF79" s="11">
        <f t="shared" ref="AF79:AF86" si="96">IFERROR(AB79/H79,0)</f>
        <v>2.9100334456880634E-4</v>
      </c>
      <c r="AG79" s="11">
        <f t="shared" ref="AG79:AG86" si="97">IFERROR(AC79/I79,0)</f>
        <v>3.0137700898365624E-4</v>
      </c>
      <c r="AI79" s="1">
        <f t="shared" si="78"/>
        <v>2.1829418190673806E-2</v>
      </c>
      <c r="AJ79" s="1">
        <f t="shared" si="79"/>
        <v>1.130616565776801</v>
      </c>
      <c r="AK79" s="1">
        <f t="shared" si="80"/>
        <v>0.90000000000000013</v>
      </c>
      <c r="AL79" s="31">
        <f>'[1]2. Contribution'!$Q$38</f>
        <v>1.2354650740600097</v>
      </c>
      <c r="AM79" s="1">
        <f t="shared" si="81"/>
        <v>9.1375672453866449E-2</v>
      </c>
      <c r="AN79" s="1">
        <f t="shared" si="82"/>
        <v>3.6556990074205107</v>
      </c>
      <c r="AO79" s="1">
        <f t="shared" si="83"/>
        <v>3.336058801997313</v>
      </c>
      <c r="AQ79">
        <v>53</v>
      </c>
      <c r="AR79">
        <v>52</v>
      </c>
      <c r="AS79">
        <v>105</v>
      </c>
      <c r="AU79" s="3">
        <v>39214804.320754714</v>
      </c>
      <c r="AV79" s="3">
        <v>56972636.269230776</v>
      </c>
      <c r="AW79" s="3">
        <v>48009159.190476179</v>
      </c>
      <c r="BC79" s="3">
        <f t="shared" ref="BC79:BC86" si="98">G79/G$72</f>
        <v>1537.5651120614714</v>
      </c>
      <c r="BD79" s="3">
        <f t="shared" ref="BD79:BD86" si="99">H79/H$72</f>
        <v>118.3783964909172</v>
      </c>
      <c r="BE79" s="3">
        <f t="shared" ref="BE79:BE86" si="100">I79/I$72</f>
        <v>167.22806415133374</v>
      </c>
    </row>
    <row r="80" spans="1:57" x14ac:dyDescent="0.25">
      <c r="A80" t="s">
        <v>26</v>
      </c>
      <c r="B80" s="21" t="s">
        <v>3</v>
      </c>
      <c r="C80" s="3">
        <v>361453745</v>
      </c>
      <c r="D80" s="3">
        <v>389099161</v>
      </c>
      <c r="E80" s="3">
        <f t="shared" si="84"/>
        <v>750552906</v>
      </c>
      <c r="G80" s="3">
        <v>481306.29000000004</v>
      </c>
      <c r="H80" s="3">
        <v>1421886.0900000003</v>
      </c>
      <c r="I80" s="3">
        <f t="shared" si="85"/>
        <v>1903192.3800000004</v>
      </c>
      <c r="K80" s="2">
        <f t="shared" si="76"/>
        <v>1.3315847370733427</v>
      </c>
      <c r="L80" s="3">
        <f t="shared" si="76"/>
        <v>3.654302636751253</v>
      </c>
      <c r="M80" s="3">
        <f t="shared" si="76"/>
        <v>2.5357204865715359</v>
      </c>
      <c r="O80" s="5">
        <f t="shared" si="86"/>
        <v>9.1397158794395052E-3</v>
      </c>
      <c r="P80" s="5">
        <f t="shared" si="87"/>
        <v>7.4679843217749595E-3</v>
      </c>
      <c r="Q80" s="5">
        <f t="shared" si="88"/>
        <v>7.8301810269591939E-3</v>
      </c>
      <c r="S80" s="6">
        <f t="shared" si="89"/>
        <v>1.9997544271937895E-2</v>
      </c>
      <c r="T80" s="6">
        <f t="shared" si="90"/>
        <v>1.1406351522302474E-3</v>
      </c>
      <c r="U80" s="7">
        <f t="shared" si="91"/>
        <v>1.9179508392416741E-3</v>
      </c>
      <c r="W80" s="26">
        <f t="shared" si="77"/>
        <v>1.4551158556621528E-3</v>
      </c>
      <c r="X80" s="24">
        <f t="shared" si="77"/>
        <v>4.298736662062869E-3</v>
      </c>
      <c r="Y80" s="10">
        <f>U80*3</f>
        <v>5.753852517725022E-3</v>
      </c>
      <c r="AA80" s="8">
        <f t="shared" si="92"/>
        <v>16.64303311072144</v>
      </c>
      <c r="AB80" s="8">
        <f t="shared" si="93"/>
        <v>1379.2453592862094</v>
      </c>
      <c r="AC80" s="8">
        <f t="shared" si="94"/>
        <v>1911.9280900162871</v>
      </c>
      <c r="AE80" s="11">
        <f t="shared" si="95"/>
        <v>3.4578881382833037E-5</v>
      </c>
      <c r="AF80" s="11">
        <f t="shared" si="96"/>
        <v>9.7001114856268766E-4</v>
      </c>
      <c r="AG80" s="11">
        <f t="shared" si="97"/>
        <v>1.0045900299455208E-3</v>
      </c>
      <c r="AI80" s="1">
        <f t="shared" si="78"/>
        <v>7.2764727302246021E-2</v>
      </c>
      <c r="AJ80" s="1">
        <f t="shared" si="79"/>
        <v>3.7687218859226692</v>
      </c>
      <c r="AK80" s="1">
        <f t="shared" si="80"/>
        <v>3.0000000000000004</v>
      </c>
      <c r="AL80" s="31">
        <f>'[1]2. Contribution'!$Q$39</f>
        <v>2.7700898481819105</v>
      </c>
      <c r="AM80" s="1">
        <f t="shared" si="81"/>
        <v>4.6044710674450033E-2</v>
      </c>
      <c r="AN80" s="1">
        <f t="shared" si="82"/>
        <v>3.5447142978707409</v>
      </c>
      <c r="AO80" s="1">
        <f t="shared" si="83"/>
        <v>2.5473595195383698</v>
      </c>
      <c r="AQ80">
        <v>52</v>
      </c>
      <c r="AR80">
        <v>48</v>
      </c>
      <c r="AS80">
        <v>100</v>
      </c>
      <c r="AU80" s="3">
        <v>7173813.8846153859</v>
      </c>
      <c r="AV80" s="3">
        <v>8051009.4166666642</v>
      </c>
      <c r="AW80" s="3">
        <v>7594867.7399999993</v>
      </c>
      <c r="BC80" s="3">
        <f t="shared" si="98"/>
        <v>42.081056340491017</v>
      </c>
      <c r="BD80" s="3">
        <f t="shared" si="99"/>
        <v>4.431636346069336</v>
      </c>
      <c r="BE80" s="3">
        <f t="shared" si="100"/>
        <v>5.7275628328075836</v>
      </c>
    </row>
    <row r="81" spans="1:57" x14ac:dyDescent="0.25">
      <c r="A81" t="s">
        <v>26</v>
      </c>
      <c r="B81" s="21" t="s">
        <v>4</v>
      </c>
      <c r="C81" s="3">
        <v>533034211</v>
      </c>
      <c r="D81" s="3">
        <v>1549527947.1428566</v>
      </c>
      <c r="E81" s="3">
        <f t="shared" si="84"/>
        <v>2082562158.1428566</v>
      </c>
      <c r="G81" s="3">
        <v>5436189.879999999</v>
      </c>
      <c r="H81" s="3">
        <v>10851116.98</v>
      </c>
      <c r="I81" s="3">
        <f t="shared" si="85"/>
        <v>16287306.859999999</v>
      </c>
      <c r="K81" s="2">
        <f t="shared" si="76"/>
        <v>10.198575940935241</v>
      </c>
      <c r="L81" s="3">
        <f t="shared" si="76"/>
        <v>7.0028533528602415</v>
      </c>
      <c r="M81" s="3">
        <f t="shared" si="76"/>
        <v>7.820802272967617</v>
      </c>
      <c r="O81" s="5">
        <f t="shared" si="86"/>
        <v>0.10322996395888431</v>
      </c>
      <c r="P81" s="5">
        <f t="shared" si="87"/>
        <v>5.699188707893333E-2</v>
      </c>
      <c r="Q81" s="5">
        <f t="shared" si="88"/>
        <v>6.7009810724144608E-2</v>
      </c>
      <c r="S81" s="6">
        <f t="shared" si="89"/>
        <v>0.22586542094839593</v>
      </c>
      <c r="T81" s="6">
        <f t="shared" si="90"/>
        <v>8.7047517768111225E-3</v>
      </c>
      <c r="U81" s="7">
        <f t="shared" si="91"/>
        <v>1.6413608098369788E-2</v>
      </c>
      <c r="W81" s="26">
        <f t="shared" si="77"/>
        <v>6.5740143049268143E-3</v>
      </c>
      <c r="X81" s="24">
        <f t="shared" si="77"/>
        <v>1.312231541311693E-2</v>
      </c>
      <c r="Y81" s="10">
        <f>U81*1.2</f>
        <v>1.9696329718043745E-2</v>
      </c>
      <c r="AA81" s="8">
        <f t="shared" si="92"/>
        <v>75.190946014030928</v>
      </c>
      <c r="AB81" s="8">
        <f t="shared" si="93"/>
        <v>4210.2817779831539</v>
      </c>
      <c r="AC81" s="8">
        <f t="shared" si="94"/>
        <v>6544.8264344877143</v>
      </c>
      <c r="AE81" s="11">
        <f t="shared" si="95"/>
        <v>1.3831552553133215E-5</v>
      </c>
      <c r="AF81" s="11">
        <f t="shared" si="96"/>
        <v>3.8800445942507514E-4</v>
      </c>
      <c r="AG81" s="11">
        <f t="shared" si="97"/>
        <v>4.0183601197820833E-4</v>
      </c>
      <c r="AI81" s="1">
        <f t="shared" si="78"/>
        <v>2.9105890920898408E-2</v>
      </c>
      <c r="AJ81" s="1">
        <f t="shared" si="79"/>
        <v>1.507488754369068</v>
      </c>
      <c r="AK81" s="1">
        <f t="shared" si="80"/>
        <v>1.2000000000000002</v>
      </c>
      <c r="AL81" s="31">
        <f>'[1]2. Contribution'!$Q$41</f>
        <v>1.0583370593283428</v>
      </c>
      <c r="AM81" s="1">
        <f t="shared" si="81"/>
        <v>0.14106213909416582</v>
      </c>
      <c r="AN81" s="1">
        <f t="shared" si="82"/>
        <v>2.7171383296096128</v>
      </c>
      <c r="AO81" s="1">
        <f t="shared" si="83"/>
        <v>3.1426799958394143</v>
      </c>
      <c r="AQ81">
        <v>53</v>
      </c>
      <c r="AR81">
        <v>52</v>
      </c>
      <c r="AS81">
        <v>105</v>
      </c>
      <c r="AU81" s="3">
        <v>10117132.792452833</v>
      </c>
      <c r="AV81" s="3">
        <v>7709113.788461538</v>
      </c>
      <c r="AW81" s="3">
        <v>8924590.0476190504</v>
      </c>
      <c r="BC81" s="3">
        <f t="shared" si="98"/>
        <v>475.29113450374194</v>
      </c>
      <c r="BD81" s="3">
        <f t="shared" si="99"/>
        <v>33.820011843577511</v>
      </c>
      <c r="BE81" s="3">
        <f t="shared" si="100"/>
        <v>49.015840121148429</v>
      </c>
    </row>
    <row r="82" spans="1:57" x14ac:dyDescent="0.25">
      <c r="A82" t="s">
        <v>26</v>
      </c>
      <c r="B82" s="21" t="s">
        <v>5</v>
      </c>
      <c r="C82" s="3">
        <v>578094390</v>
      </c>
      <c r="D82" s="3">
        <v>2531247168.4285717</v>
      </c>
      <c r="E82" s="3">
        <f t="shared" si="84"/>
        <v>3109341558.4285717</v>
      </c>
      <c r="G82" s="3">
        <v>9857143.9100000001</v>
      </c>
      <c r="H82" s="3">
        <v>50264318.289999999</v>
      </c>
      <c r="I82" s="3">
        <f t="shared" si="85"/>
        <v>60121462.200000003</v>
      </c>
      <c r="K82" s="2">
        <f t="shared" si="76"/>
        <v>17.051097676280857</v>
      </c>
      <c r="L82" s="3">
        <f t="shared" si="76"/>
        <v>19.857530673784293</v>
      </c>
      <c r="M82" s="3">
        <f t="shared" si="76"/>
        <v>19.33575358970365</v>
      </c>
      <c r="O82" s="5">
        <f t="shared" si="86"/>
        <v>0.1871812120305916</v>
      </c>
      <c r="P82" s="5">
        <f t="shared" si="87"/>
        <v>0.26399663346761221</v>
      </c>
      <c r="Q82" s="5">
        <f t="shared" si="88"/>
        <v>0.24735383431468147</v>
      </c>
      <c r="S82" s="6">
        <f t="shared" si="89"/>
        <v>0.40954933652557912</v>
      </c>
      <c r="T82" s="6">
        <f t="shared" si="90"/>
        <v>4.0321970056310025E-2</v>
      </c>
      <c r="U82" s="7">
        <f t="shared" si="91"/>
        <v>6.0587678941277902E-2</v>
      </c>
      <c r="W82" s="26">
        <f t="shared" si="77"/>
        <v>1.3907014701579791E-2</v>
      </c>
      <c r="X82" s="26">
        <f t="shared" si="77"/>
        <v>7.0915735816209274E-2</v>
      </c>
      <c r="Y82" s="10">
        <f>U82*1.4</f>
        <v>8.4822750517789064E-2</v>
      </c>
      <c r="AA82" s="8">
        <f t="shared" si="92"/>
        <v>159.06287135078904</v>
      </c>
      <c r="AB82" s="8">
        <f t="shared" si="93"/>
        <v>22753.242920894929</v>
      </c>
      <c r="AC82" s="8">
        <f t="shared" si="94"/>
        <v>28185.463372204365</v>
      </c>
      <c r="AE82" s="11">
        <f t="shared" si="95"/>
        <v>1.6136811311988751E-5</v>
      </c>
      <c r="AF82" s="11">
        <f t="shared" si="96"/>
        <v>4.5267186932925434E-4</v>
      </c>
      <c r="AG82" s="11">
        <f t="shared" si="97"/>
        <v>4.6880868064124299E-4</v>
      </c>
      <c r="AI82" s="1">
        <f t="shared" si="78"/>
        <v>3.3956872741048146E-2</v>
      </c>
      <c r="AJ82" s="1">
        <f t="shared" si="79"/>
        <v>1.758736880097246</v>
      </c>
      <c r="AK82" s="1">
        <f t="shared" si="80"/>
        <v>1.4000000000000001</v>
      </c>
      <c r="AL82" s="31">
        <f>'[1]2. Contribution'!$Q$42</f>
        <v>1.015595878167955</v>
      </c>
      <c r="AM82" s="1">
        <f t="shared" si="81"/>
        <v>0.2751503458644341</v>
      </c>
      <c r="AN82" s="1">
        <f t="shared" si="82"/>
        <v>8.9889455303649424</v>
      </c>
      <c r="AO82" s="1">
        <f t="shared" si="83"/>
        <v>9.064769129593147</v>
      </c>
      <c r="AQ82">
        <v>48</v>
      </c>
      <c r="AR82">
        <v>52</v>
      </c>
      <c r="AS82">
        <v>100</v>
      </c>
      <c r="AU82" s="3">
        <v>12043633.124999998</v>
      </c>
      <c r="AV82" s="3">
        <v>49022856.384615384</v>
      </c>
      <c r="AW82" s="3">
        <v>31272829.219999995</v>
      </c>
      <c r="BC82" s="3">
        <f t="shared" si="98"/>
        <v>861.81925491361824</v>
      </c>
      <c r="BD82" s="3">
        <f t="shared" si="99"/>
        <v>156.66035515148872</v>
      </c>
      <c r="BE82" s="3">
        <f t="shared" si="100"/>
        <v>180.93255099663966</v>
      </c>
    </row>
    <row r="83" spans="1:57" x14ac:dyDescent="0.25">
      <c r="A83" t="s">
        <v>26</v>
      </c>
      <c r="B83" s="21" t="s">
        <v>6</v>
      </c>
      <c r="C83" s="3">
        <v>0</v>
      </c>
      <c r="D83" s="3">
        <v>2134771</v>
      </c>
      <c r="E83" s="3">
        <f t="shared" si="84"/>
        <v>2134771</v>
      </c>
      <c r="G83" s="3">
        <v>0</v>
      </c>
      <c r="H83" s="3">
        <v>253976.16000000056</v>
      </c>
      <c r="I83" s="3">
        <f t="shared" si="85"/>
        <v>253976.16000000056</v>
      </c>
      <c r="J83" s="3"/>
      <c r="K83" s="2">
        <f t="shared" si="76"/>
        <v>0</v>
      </c>
      <c r="L83" s="3">
        <f t="shared" si="76"/>
        <v>118.97114959871601</v>
      </c>
      <c r="M83" s="3">
        <f t="shared" si="76"/>
        <v>118.97114959871601</v>
      </c>
      <c r="O83" s="5">
        <f t="shared" si="86"/>
        <v>0</v>
      </c>
      <c r="P83" s="5">
        <f t="shared" si="87"/>
        <v>1.3339254067705327E-3</v>
      </c>
      <c r="Q83" s="5">
        <f t="shared" si="88"/>
        <v>1.0449176500653898E-3</v>
      </c>
      <c r="S83" s="6">
        <f t="shared" si="89"/>
        <v>0</v>
      </c>
      <c r="T83" s="6">
        <f t="shared" si="90"/>
        <v>2.0373934168274634E-4</v>
      </c>
      <c r="U83" s="7">
        <f>I83/I$74</f>
        <v>2.5594563867441434E-4</v>
      </c>
      <c r="X83" s="27">
        <f>$Y83*H93</f>
        <v>0</v>
      </c>
      <c r="Y83" s="23">
        <f>1*U83</f>
        <v>2.5594563867441434E-4</v>
      </c>
      <c r="AA83" s="8">
        <f t="shared" si="92"/>
        <v>0</v>
      </c>
      <c r="AB83" s="8">
        <f t="shared" si="93"/>
        <v>0</v>
      </c>
      <c r="AC83" s="8">
        <f t="shared" si="94"/>
        <v>85.047306059949648</v>
      </c>
      <c r="AE83" s="11">
        <f t="shared" si="95"/>
        <v>0</v>
      </c>
      <c r="AF83" s="11">
        <f t="shared" si="96"/>
        <v>0</v>
      </c>
      <c r="AG83" s="11">
        <f t="shared" si="97"/>
        <v>3.3486334331517362E-4</v>
      </c>
      <c r="AI83" s="1">
        <f t="shared" si="78"/>
        <v>0</v>
      </c>
      <c r="AJ83" s="1">
        <f t="shared" si="79"/>
        <v>0</v>
      </c>
      <c r="AK83" s="1">
        <f t="shared" si="80"/>
        <v>1.0000000000000002</v>
      </c>
      <c r="AL83" s="31">
        <f>'[1]2. Contribution'!$Q$45</f>
        <v>1.1652520331426872</v>
      </c>
      <c r="AM83" s="1">
        <f t="shared" si="81"/>
        <v>0</v>
      </c>
      <c r="AN83" s="1">
        <f t="shared" si="82"/>
        <v>0</v>
      </c>
      <c r="AO83" s="1">
        <f t="shared" si="83"/>
        <v>39.839076912675715</v>
      </c>
      <c r="AQ83">
        <v>0</v>
      </c>
      <c r="AR83">
        <v>37</v>
      </c>
      <c r="AS83">
        <v>37</v>
      </c>
      <c r="AU83" s="13">
        <v>0</v>
      </c>
      <c r="AV83" s="13">
        <v>58260.972972972988</v>
      </c>
      <c r="AW83" s="13">
        <v>58260.972972972988</v>
      </c>
      <c r="BC83" s="3">
        <f t="shared" si="98"/>
        <v>0</v>
      </c>
      <c r="BD83" s="3">
        <f t="shared" si="99"/>
        <v>0.79157535164516812</v>
      </c>
      <c r="BE83" s="3">
        <f t="shared" si="100"/>
        <v>0.76432862474743357</v>
      </c>
    </row>
    <row r="84" spans="1:57" x14ac:dyDescent="0.25">
      <c r="A84" t="s">
        <v>26</v>
      </c>
      <c r="B84" s="21" t="s">
        <v>7</v>
      </c>
      <c r="C84" s="3">
        <v>0</v>
      </c>
      <c r="D84" s="3">
        <v>409346718</v>
      </c>
      <c r="E84" s="3">
        <f t="shared" si="84"/>
        <v>409346718</v>
      </c>
      <c r="G84" s="3">
        <v>0</v>
      </c>
      <c r="H84" s="3">
        <v>1848581.0920000002</v>
      </c>
      <c r="I84" s="3">
        <f t="shared" si="85"/>
        <v>1848581.0920000002</v>
      </c>
      <c r="J84" s="3"/>
      <c r="K84" s="2">
        <f t="shared" si="76"/>
        <v>0</v>
      </c>
      <c r="L84" s="3">
        <f t="shared" si="76"/>
        <v>4.5159299212947399</v>
      </c>
      <c r="M84" s="3">
        <f t="shared" si="76"/>
        <v>4.5159299212947399</v>
      </c>
      <c r="O84" s="5">
        <f>G84/SUM($G$78:$G$86)</f>
        <v>0</v>
      </c>
      <c r="P84" s="5">
        <f t="shared" si="87"/>
        <v>9.7090580670816141E-3</v>
      </c>
      <c r="Q84" s="5">
        <f>I84/SUM($I$78:$I$86)</f>
        <v>7.6054973451364421E-3</v>
      </c>
      <c r="S84" s="6">
        <f t="shared" si="89"/>
        <v>0</v>
      </c>
      <c r="T84" s="6">
        <f t="shared" si="90"/>
        <v>1.4829293219145118E-3</v>
      </c>
      <c r="U84" s="7">
        <f t="shared" si="91"/>
        <v>1.862916063591895E-3</v>
      </c>
      <c r="X84" s="24">
        <f>$Y84*H94</f>
        <v>0</v>
      </c>
      <c r="Y84" s="10">
        <f>1.1*U84</f>
        <v>2.0492076699510846E-3</v>
      </c>
      <c r="AA84" s="8">
        <f t="shared" si="92"/>
        <v>0</v>
      </c>
      <c r="AB84" s="8">
        <f t="shared" si="93"/>
        <v>0</v>
      </c>
      <c r="AC84" s="8">
        <f t="shared" si="94"/>
        <v>680.92424934196799</v>
      </c>
      <c r="AE84" s="11">
        <f t="shared" si="95"/>
        <v>0</v>
      </c>
      <c r="AF84" s="11">
        <f t="shared" si="96"/>
        <v>0</v>
      </c>
      <c r="AG84" s="11">
        <f t="shared" si="97"/>
        <v>3.6834967764669095E-4</v>
      </c>
      <c r="AI84" s="1">
        <f t="shared" si="78"/>
        <v>0</v>
      </c>
      <c r="AJ84" s="1">
        <f t="shared" si="79"/>
        <v>0</v>
      </c>
      <c r="AK84" s="1">
        <f t="shared" si="80"/>
        <v>1.1000000000000001</v>
      </c>
      <c r="AL84" s="31">
        <f>'[1]2. Contribution'!$Q$46</f>
        <v>1.3112734851199683</v>
      </c>
      <c r="AM84" s="1">
        <f t="shared" si="81"/>
        <v>0</v>
      </c>
      <c r="AN84" s="1">
        <f t="shared" si="82"/>
        <v>0</v>
      </c>
      <c r="AO84" s="1">
        <f t="shared" si="83"/>
        <v>1.6634413307839639</v>
      </c>
      <c r="AQ84">
        <v>0</v>
      </c>
      <c r="AR84">
        <v>31</v>
      </c>
      <c r="AS84">
        <v>31</v>
      </c>
      <c r="AU84" s="13">
        <v>0</v>
      </c>
      <c r="AV84" s="13">
        <v>14800431.838709679</v>
      </c>
      <c r="AW84" s="13">
        <v>14800431.838709679</v>
      </c>
      <c r="BC84" s="3">
        <f t="shared" si="98"/>
        <v>0</v>
      </c>
      <c r="BD84" s="3">
        <f t="shared" si="99"/>
        <v>5.7615298536071489</v>
      </c>
      <c r="BE84" s="3">
        <f t="shared" si="100"/>
        <v>5.5632128770765972</v>
      </c>
    </row>
    <row r="85" spans="1:57" x14ac:dyDescent="0.25">
      <c r="A85" t="s">
        <v>26</v>
      </c>
      <c r="B85" s="21" t="s">
        <v>8</v>
      </c>
      <c r="C85" s="3">
        <v>0</v>
      </c>
      <c r="D85" s="3">
        <v>282697422</v>
      </c>
      <c r="E85" s="3">
        <f t="shared" si="84"/>
        <v>282697422</v>
      </c>
      <c r="G85" s="3">
        <v>0</v>
      </c>
      <c r="H85" s="3">
        <v>916267.48999999953</v>
      </c>
      <c r="I85" s="3">
        <f t="shared" si="85"/>
        <v>916267.48999999953</v>
      </c>
      <c r="J85" s="3"/>
      <c r="K85" s="2">
        <f t="shared" si="76"/>
        <v>0</v>
      </c>
      <c r="L85" s="3">
        <f t="shared" si="76"/>
        <v>3.2411596947636809</v>
      </c>
      <c r="M85" s="3">
        <f t="shared" si="76"/>
        <v>3.2411596947636809</v>
      </c>
      <c r="O85" s="5">
        <f t="shared" si="86"/>
        <v>0</v>
      </c>
      <c r="P85" s="5">
        <f t="shared" si="87"/>
        <v>4.8123905972468507E-3</v>
      </c>
      <c r="Q85" s="5">
        <f t="shared" si="88"/>
        <v>3.7697399333941838E-3</v>
      </c>
      <c r="S85" s="6">
        <f t="shared" si="89"/>
        <v>0</v>
      </c>
      <c r="T85" s="6">
        <f t="shared" si="90"/>
        <v>7.3502857598091833E-4</v>
      </c>
      <c r="U85" s="7">
        <f t="shared" si="91"/>
        <v>9.2337276035928692E-4</v>
      </c>
      <c r="X85" s="24">
        <f>$Y85*H95</f>
        <v>0</v>
      </c>
      <c r="Y85" s="10">
        <f>1.2*U85</f>
        <v>1.1080473124311443E-3</v>
      </c>
      <c r="AA85" s="8">
        <f t="shared" si="92"/>
        <v>0</v>
      </c>
      <c r="AB85" s="8">
        <f t="shared" si="93"/>
        <v>0</v>
      </c>
      <c r="AC85" s="8">
        <f t="shared" si="94"/>
        <v>368.18927408688268</v>
      </c>
      <c r="AE85" s="11">
        <f t="shared" si="95"/>
        <v>0</v>
      </c>
      <c r="AF85" s="11">
        <f t="shared" si="96"/>
        <v>0</v>
      </c>
      <c r="AG85" s="11">
        <f t="shared" si="97"/>
        <v>4.0183601197820833E-4</v>
      </c>
      <c r="AI85" s="1">
        <f t="shared" si="78"/>
        <v>0</v>
      </c>
      <c r="AJ85" s="1">
        <f t="shared" si="79"/>
        <v>0</v>
      </c>
      <c r="AK85" s="1">
        <f t="shared" si="80"/>
        <v>1.2000000000000002</v>
      </c>
      <c r="AL85" s="31">
        <f>'[1]2. Contribution'!$Q$44</f>
        <v>1.5847024501334377</v>
      </c>
      <c r="AM85" s="1">
        <f t="shared" si="81"/>
        <v>0</v>
      </c>
      <c r="AN85" s="1">
        <f t="shared" si="82"/>
        <v>0</v>
      </c>
      <c r="AO85" s="1">
        <f t="shared" si="83"/>
        <v>1.3024146859283445</v>
      </c>
      <c r="AQ85">
        <v>0</v>
      </c>
      <c r="AR85">
        <v>29</v>
      </c>
      <c r="AS85">
        <v>29</v>
      </c>
      <c r="AU85" s="13">
        <v>0</v>
      </c>
      <c r="AV85" s="13">
        <v>9973690.8620689642</v>
      </c>
      <c r="AW85" s="13">
        <v>9973690.8620689642</v>
      </c>
      <c r="BC85" s="3">
        <f t="shared" si="98"/>
        <v>0</v>
      </c>
      <c r="BD85" s="3">
        <f t="shared" si="99"/>
        <v>2.8557592200692521</v>
      </c>
      <c r="BE85" s="3">
        <f t="shared" si="100"/>
        <v>2.7574614504466917</v>
      </c>
    </row>
    <row r="86" spans="1:57" x14ac:dyDescent="0.25">
      <c r="A86" t="s">
        <v>26</v>
      </c>
      <c r="B86" s="21" t="s">
        <v>9</v>
      </c>
      <c r="C86" s="3">
        <v>0</v>
      </c>
      <c r="D86" s="3">
        <v>3414.5174193548387</v>
      </c>
      <c r="E86" s="3">
        <f t="shared" si="84"/>
        <v>3414.5174193548387</v>
      </c>
      <c r="G86" s="3">
        <v>0</v>
      </c>
      <c r="H86" s="3">
        <v>409742.09032258019</v>
      </c>
      <c r="I86" s="3">
        <f t="shared" si="85"/>
        <v>409742.09032258019</v>
      </c>
      <c r="J86" s="3"/>
      <c r="K86" s="2">
        <f>IFERROR(G86/C86,0)*1000</f>
        <v>0</v>
      </c>
      <c r="L86" s="3">
        <f>IFERROR(H86/D86,0)</f>
        <v>119.99999999999987</v>
      </c>
      <c r="M86" s="3">
        <f>IFERROR(I86/E86,0)</f>
        <v>119.99999999999987</v>
      </c>
      <c r="O86" s="5">
        <f>G86/SUM($G$78:$G$86)</f>
        <v>0</v>
      </c>
      <c r="P86" s="5">
        <f t="shared" si="87"/>
        <v>2.1520342086617694E-3</v>
      </c>
      <c r="Q86" s="5">
        <f t="shared" si="88"/>
        <v>1.6857753190407726E-3</v>
      </c>
      <c r="S86" s="6">
        <f t="shared" si="89"/>
        <v>0</v>
      </c>
      <c r="T86" s="6">
        <f t="shared" si="90"/>
        <v>3.2869456622241513E-4</v>
      </c>
      <c r="U86" s="7">
        <f t="shared" si="91"/>
        <v>4.1291946850209138E-4</v>
      </c>
      <c r="X86" s="24">
        <f>$Y86*H96</f>
        <v>0</v>
      </c>
      <c r="Y86" s="10">
        <f>1.3*U86</f>
        <v>5.3679530905271881E-4</v>
      </c>
      <c r="AA86" s="8">
        <f t="shared" si="92"/>
        <v>0</v>
      </c>
      <c r="AB86" s="8">
        <f t="shared" si="93"/>
        <v>0</v>
      </c>
      <c r="AC86" s="8">
        <f t="shared" si="94"/>
        <v>178.36988814107715</v>
      </c>
      <c r="AE86" s="11">
        <f t="shared" si="95"/>
        <v>0</v>
      </c>
      <c r="AF86" s="11">
        <f t="shared" si="96"/>
        <v>0</v>
      </c>
      <c r="AG86" s="11">
        <f t="shared" si="97"/>
        <v>4.3532234630972566E-4</v>
      </c>
      <c r="AI86" s="1">
        <f t="shared" si="78"/>
        <v>0</v>
      </c>
      <c r="AJ86" s="1">
        <f t="shared" si="79"/>
        <v>0</v>
      </c>
      <c r="AK86" s="1">
        <f t="shared" si="80"/>
        <v>1.3</v>
      </c>
      <c r="AL86" s="31">
        <f>'[1]2. Contribution'!$Q$43</f>
        <v>1.1416217220249394</v>
      </c>
      <c r="AM86" s="1">
        <f t="shared" si="81"/>
        <v>0</v>
      </c>
      <c r="AN86" s="1">
        <f t="shared" si="82"/>
        <v>0</v>
      </c>
      <c r="AO86" s="1">
        <f t="shared" si="83"/>
        <v>52238.681557167023</v>
      </c>
      <c r="AQ86">
        <v>0</v>
      </c>
      <c r="AR86">
        <v>27</v>
      </c>
      <c r="AS86">
        <v>27</v>
      </c>
      <c r="AU86" s="13">
        <v>0</v>
      </c>
      <c r="AV86" s="13">
        <v>17071.753333333327</v>
      </c>
      <c r="AW86" s="13">
        <v>17071.753333333327</v>
      </c>
      <c r="BC86" s="3">
        <f t="shared" si="98"/>
        <v>0</v>
      </c>
      <c r="BD86" s="3">
        <f t="shared" si="99"/>
        <v>1.2770558434733479</v>
      </c>
      <c r="BE86" s="3">
        <f t="shared" si="100"/>
        <v>1.2330984467100996</v>
      </c>
    </row>
    <row r="87" spans="1:57" x14ac:dyDescent="0.25">
      <c r="C87" s="3"/>
      <c r="D87" s="3"/>
      <c r="E87" s="3"/>
      <c r="G87" s="3"/>
      <c r="H87" s="3"/>
      <c r="I87" s="3"/>
      <c r="J87" s="3"/>
      <c r="K87" s="2"/>
      <c r="L87" s="3"/>
      <c r="M87" s="3"/>
      <c r="O87" s="5"/>
      <c r="P87" s="5"/>
      <c r="Q87" s="5"/>
      <c r="S87" s="6"/>
      <c r="T87" s="6"/>
      <c r="U87" s="7"/>
      <c r="Y87" s="10"/>
      <c r="AA87" s="8"/>
      <c r="AB87" s="8"/>
      <c r="AC87" s="8"/>
      <c r="AE87" s="11"/>
      <c r="AF87" s="11"/>
      <c r="AG87" s="11"/>
      <c r="AI87" s="1"/>
      <c r="AJ87" s="1"/>
      <c r="AK87" s="1"/>
      <c r="AM87" s="1"/>
      <c r="AN87" s="1"/>
      <c r="AO87" s="1"/>
      <c r="AU87" s="13"/>
      <c r="AV87" s="13"/>
      <c r="AW87" s="13"/>
      <c r="BC87" s="3"/>
      <c r="BD87" s="3"/>
      <c r="BE87" s="3"/>
    </row>
    <row r="88" spans="1:57" x14ac:dyDescent="0.25">
      <c r="C88" s="3"/>
      <c r="D88" s="3"/>
      <c r="E88" s="3"/>
      <c r="G88" s="5">
        <f t="shared" ref="G88:H92" si="101">G78/$I78</f>
        <v>0.18250786254255527</v>
      </c>
      <c r="H88" s="5">
        <f t="shared" si="101"/>
        <v>0.81749213745744465</v>
      </c>
      <c r="I88" s="5">
        <f>H78/G78-1</f>
        <v>3.4792159968824929</v>
      </c>
      <c r="J88" s="3"/>
      <c r="K88" s="2"/>
      <c r="L88" s="3"/>
      <c r="M88" s="3"/>
      <c r="O88" s="5"/>
      <c r="P88" s="5"/>
      <c r="Q88" s="5"/>
      <c r="S88" s="6"/>
      <c r="T88" s="6"/>
      <c r="U88" s="7"/>
      <c r="Y88" s="10"/>
      <c r="AA88" s="8"/>
      <c r="AB88" s="8"/>
      <c r="AC88" s="8"/>
      <c r="AE88" s="11"/>
      <c r="AF88" s="11"/>
      <c r="AG88" s="11"/>
      <c r="AI88" s="1"/>
      <c r="AJ88" s="1"/>
      <c r="AK88" s="1"/>
      <c r="AM88" s="1"/>
      <c r="AN88" s="1"/>
      <c r="AO88" s="1"/>
      <c r="AU88" s="13"/>
      <c r="AV88" s="13"/>
      <c r="AW88" s="13"/>
      <c r="BC88" s="3"/>
      <c r="BD88" s="3"/>
      <c r="BE88" s="3"/>
    </row>
    <row r="89" spans="1:57" x14ac:dyDescent="0.25">
      <c r="C89" s="3"/>
      <c r="D89" s="3"/>
      <c r="E89" s="3"/>
      <c r="G89" s="5">
        <f t="shared" si="101"/>
        <v>0.31648011661407255</v>
      </c>
      <c r="H89" s="5">
        <f t="shared" si="101"/>
        <v>0.68351988338592751</v>
      </c>
      <c r="I89" s="5">
        <f>H79/G79-1</f>
        <v>1.1597561663547942</v>
      </c>
      <c r="J89" s="3"/>
      <c r="K89" s="2"/>
      <c r="L89" s="3"/>
      <c r="M89" s="3"/>
      <c r="O89" s="5"/>
      <c r="P89" s="5"/>
      <c r="Q89" s="5"/>
      <c r="S89" s="6"/>
      <c r="T89" s="6"/>
      <c r="U89" s="7"/>
      <c r="Y89" s="10"/>
      <c r="AA89" s="8"/>
      <c r="AB89" s="8"/>
      <c r="AC89" s="8"/>
      <c r="AE89" s="11"/>
      <c r="AF89" s="11"/>
      <c r="AG89" s="11"/>
      <c r="AI89" s="1"/>
      <c r="AJ89" s="1"/>
      <c r="AK89" s="1"/>
      <c r="AL89" s="1"/>
      <c r="AM89" s="1"/>
      <c r="AN89" s="1"/>
      <c r="AO89" s="1"/>
      <c r="AU89" s="13"/>
      <c r="AV89" s="13"/>
      <c r="AW89" s="13"/>
      <c r="BC89" s="3"/>
      <c r="BD89" s="3"/>
      <c r="BE89" s="3"/>
    </row>
    <row r="90" spans="1:57" x14ac:dyDescent="0.25">
      <c r="C90" s="3"/>
      <c r="D90" s="3"/>
      <c r="E90" s="3"/>
      <c r="G90" s="5">
        <f t="shared" si="101"/>
        <v>0.25289418718668888</v>
      </c>
      <c r="H90" s="5">
        <f t="shared" si="101"/>
        <v>0.74710581281331112</v>
      </c>
      <c r="I90" s="5">
        <f>H80/G80-1</f>
        <v>1.9542229543686207</v>
      </c>
      <c r="J90" s="3"/>
      <c r="K90" s="2"/>
      <c r="L90" s="3"/>
      <c r="M90" s="3"/>
      <c r="O90" s="5"/>
      <c r="P90" s="5"/>
      <c r="Q90" s="5"/>
      <c r="S90" s="6"/>
      <c r="T90" s="6"/>
      <c r="U90" s="7"/>
      <c r="W90" s="38"/>
      <c r="Y90" s="10"/>
      <c r="AA90" s="8"/>
      <c r="AB90" s="8"/>
      <c r="AC90" s="8"/>
      <c r="AE90" s="11"/>
      <c r="AF90" s="11"/>
      <c r="AG90" s="11"/>
      <c r="AI90" s="1"/>
      <c r="AJ90" s="32">
        <v>7.2999999999999996E-4</v>
      </c>
      <c r="AK90" s="1">
        <v>1.9468185582661204</v>
      </c>
      <c r="AL90" s="1"/>
      <c r="AM90" s="1"/>
      <c r="AN90" s="1"/>
      <c r="AO90" s="1"/>
      <c r="AU90" s="13"/>
      <c r="AV90" s="13"/>
      <c r="AW90" s="13"/>
      <c r="BC90" s="3"/>
      <c r="BD90" s="3"/>
      <c r="BE90" s="3"/>
    </row>
    <row r="91" spans="1:57" x14ac:dyDescent="0.25">
      <c r="C91" s="3"/>
      <c r="D91" s="3"/>
      <c r="E91" s="3"/>
      <c r="G91" s="5">
        <f t="shared" si="101"/>
        <v>0.33376849387855145</v>
      </c>
      <c r="H91" s="5">
        <f t="shared" si="101"/>
        <v>0.66623150612144855</v>
      </c>
      <c r="I91" s="5">
        <f>H81/G81-1</f>
        <v>0.9960886612739146</v>
      </c>
      <c r="J91" s="3"/>
      <c r="K91" s="2"/>
      <c r="L91" s="3"/>
      <c r="M91" s="3"/>
      <c r="O91" s="5"/>
      <c r="P91" s="5"/>
      <c r="Q91" s="5"/>
      <c r="S91" s="6"/>
      <c r="T91" s="6"/>
      <c r="U91" s="7"/>
      <c r="Y91" s="10"/>
      <c r="AA91" s="8"/>
      <c r="AB91" s="8"/>
      <c r="AC91" s="8"/>
      <c r="AE91" s="11"/>
      <c r="AF91" s="11"/>
      <c r="AG91" s="11"/>
      <c r="AI91" s="1"/>
      <c r="AJ91" s="39">
        <f>(AJ90*AK91)/AK90</f>
        <v>4.1246781657720046E-4</v>
      </c>
      <c r="AK91" s="1">
        <v>1.1000000000000001</v>
      </c>
      <c r="AL91" s="1"/>
      <c r="AM91" s="1"/>
      <c r="AN91" s="1"/>
      <c r="AO91" s="1"/>
      <c r="AU91" s="13"/>
      <c r="AV91" s="13"/>
      <c r="AW91" s="13"/>
      <c r="BC91" s="3"/>
      <c r="BD91" s="3"/>
      <c r="BE91" s="3"/>
    </row>
    <row r="92" spans="1:57" x14ac:dyDescent="0.25">
      <c r="C92" s="3"/>
      <c r="D92" s="3"/>
      <c r="E92" s="3"/>
      <c r="G92" s="5">
        <f t="shared" si="101"/>
        <v>0.16395382862128724</v>
      </c>
      <c r="H92" s="5">
        <f t="shared" si="101"/>
        <v>0.83604617137871273</v>
      </c>
      <c r="I92" s="5">
        <f>H82/G82-1</f>
        <v>4.0992781224394239</v>
      </c>
      <c r="J92" s="3"/>
      <c r="K92" s="2"/>
      <c r="L92" s="3"/>
      <c r="M92" s="3"/>
      <c r="O92" s="5"/>
      <c r="P92" s="5"/>
      <c r="Q92" s="5"/>
      <c r="S92" s="6"/>
      <c r="T92" s="6"/>
      <c r="U92" s="7"/>
      <c r="Y92" s="10"/>
      <c r="AA92" s="8"/>
      <c r="AB92" s="8"/>
      <c r="AC92" s="8"/>
      <c r="AE92" s="11"/>
      <c r="AF92" s="11"/>
      <c r="AG92" s="11"/>
      <c r="AI92" s="1"/>
      <c r="AJ92" s="1"/>
      <c r="AK92" s="1"/>
      <c r="AL92" s="1"/>
      <c r="AM92" s="1"/>
      <c r="AN92" s="1"/>
      <c r="AO92" s="1"/>
      <c r="AU92" s="13"/>
      <c r="AV92" s="13"/>
      <c r="AW92" s="13"/>
      <c r="BC92" s="3"/>
      <c r="BD92" s="3"/>
      <c r="BE92" s="3"/>
    </row>
    <row r="93" spans="1:57" ht="15.75" thickBot="1" x14ac:dyDescent="0.3">
      <c r="AK93" s="1"/>
      <c r="AL93" s="1"/>
    </row>
    <row r="94" spans="1:57" s="17" customFormat="1" ht="3.75" customHeight="1" thickBot="1" x14ac:dyDescent="0.3">
      <c r="A94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AB4A0-2C01-4DB6-BB09-5717254F270B}">
  <dimension ref="A1:I3"/>
  <sheetViews>
    <sheetView workbookViewId="0">
      <selection activeCell="B1" sqref="B1"/>
    </sheetView>
  </sheetViews>
  <sheetFormatPr defaultRowHeight="15" x14ac:dyDescent="0.25"/>
  <cols>
    <col min="2" max="2" width="10" bestFit="1" customWidth="1"/>
    <col min="4" max="4" width="11" bestFit="1" customWidth="1"/>
    <col min="9" max="9" width="10" bestFit="1" customWidth="1"/>
  </cols>
  <sheetData>
    <row r="1" spans="1:9" x14ac:dyDescent="0.25">
      <c r="A1">
        <v>1.1000000000000001E-3</v>
      </c>
      <c r="B1">
        <f>A1*0.04</f>
        <v>4.4000000000000006E-5</v>
      </c>
      <c r="D1" s="32">
        <v>7.1000000000000002E-4</v>
      </c>
      <c r="E1" s="37">
        <v>0.5249854375202152</v>
      </c>
      <c r="H1">
        <v>9.8999999999999999E-4</v>
      </c>
      <c r="I1">
        <f>H1*0.01</f>
        <v>9.9000000000000001E-6</v>
      </c>
    </row>
    <row r="2" spans="1:9" x14ac:dyDescent="0.25">
      <c r="D2">
        <f>D1*E2</f>
        <v>6.4610000000000004E-4</v>
      </c>
      <c r="E2" s="37">
        <v>0.91</v>
      </c>
    </row>
    <row r="3" spans="1:9" x14ac:dyDescent="0.25">
      <c r="D3">
        <f>D2/E1</f>
        <v>1.2307008039153871E-3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3F131-3E9B-4AE1-AD73-B97A3A4E14AB}">
  <dimension ref="A1:BE39"/>
  <sheetViews>
    <sheetView zoomScale="80" zoomScaleNormal="80" workbookViewId="0">
      <pane xSplit="2" ySplit="6" topLeftCell="C22" activePane="bottomRight" state="frozen"/>
      <selection pane="topRight" activeCell="C1" sqref="C1"/>
      <selection pane="bottomLeft" activeCell="A6" sqref="A6"/>
      <selection pane="bottomRight" activeCell="C35" sqref="C35"/>
    </sheetView>
  </sheetViews>
  <sheetFormatPr defaultRowHeight="15" x14ac:dyDescent="0.25"/>
  <cols>
    <col min="1" max="1" width="10" bestFit="1" customWidth="1"/>
    <col min="2" max="2" width="22.5703125" customWidth="1"/>
    <col min="3" max="5" width="17.85546875" bestFit="1" customWidth="1"/>
    <col min="6" max="6" width="2.85546875" customWidth="1"/>
    <col min="7" max="8" width="15.140625" bestFit="1" customWidth="1"/>
    <col min="9" max="9" width="16.28515625" bestFit="1" customWidth="1"/>
    <col min="10" max="10" width="2.5703125" customWidth="1"/>
    <col min="14" max="14" width="2.85546875" customWidth="1"/>
    <col min="15" max="15" width="11.85546875" bestFit="1" customWidth="1"/>
    <col min="16" max="17" width="11.85546875" customWidth="1"/>
    <col min="18" max="18" width="2.42578125" customWidth="1"/>
    <col min="19" max="21" width="11.85546875" customWidth="1"/>
    <col min="22" max="22" width="3.140625" customWidth="1"/>
    <col min="23" max="25" width="13.7109375" customWidth="1"/>
    <col min="26" max="26" width="3.85546875" hidden="1" customWidth="1"/>
    <col min="27" max="29" width="13.7109375" hidden="1" customWidth="1"/>
    <col min="30" max="30" width="4.5703125" hidden="1" customWidth="1"/>
    <col min="31" max="33" width="11.5703125" hidden="1" customWidth="1"/>
    <col min="34" max="34" width="3.5703125" customWidth="1"/>
    <col min="37" max="37" width="10.140625" bestFit="1" customWidth="1"/>
    <col min="38" max="38" width="3.28515625" customWidth="1"/>
    <col min="41" max="41" width="11.28515625" bestFit="1" customWidth="1"/>
    <col min="42" max="42" width="4.140625" customWidth="1"/>
    <col min="43" max="43" width="7.7109375" bestFit="1" customWidth="1"/>
    <col min="44" max="44" width="5.5703125" bestFit="1" customWidth="1"/>
    <col min="45" max="45" width="6.28515625" bestFit="1" customWidth="1"/>
    <col min="46" max="46" width="4.140625" customWidth="1"/>
    <col min="47" max="47" width="15.140625" bestFit="1" customWidth="1"/>
    <col min="48" max="49" width="16.28515625" bestFit="1" customWidth="1"/>
    <col min="50" max="50" width="4.140625" customWidth="1"/>
    <col min="51" max="53" width="9" hidden="1" customWidth="1"/>
    <col min="54" max="54" width="4.140625" hidden="1" customWidth="1"/>
    <col min="55" max="55" width="9.7109375" customWidth="1"/>
  </cols>
  <sheetData>
    <row r="1" spans="1:57" x14ac:dyDescent="0.25">
      <c r="B1" s="15" t="s">
        <v>18</v>
      </c>
      <c r="C1" s="3">
        <v>212600000</v>
      </c>
      <c r="D1" s="13">
        <v>213993437</v>
      </c>
      <c r="G1" s="14">
        <v>111080</v>
      </c>
      <c r="H1" s="14">
        <v>348283</v>
      </c>
      <c r="I1" s="14">
        <v>459363</v>
      </c>
      <c r="AU1">
        <v>1000000</v>
      </c>
    </row>
    <row r="2" spans="1:57" x14ac:dyDescent="0.25">
      <c r="B2" s="15" t="s">
        <v>20</v>
      </c>
      <c r="C2" s="12">
        <v>0.6</v>
      </c>
      <c r="D2" s="12">
        <v>0.6</v>
      </c>
      <c r="G2" s="14">
        <v>2104.311197827546</v>
      </c>
      <c r="H2" s="14">
        <v>3885.2356403397698</v>
      </c>
      <c r="I2" s="14">
        <v>2986.2928265002702</v>
      </c>
    </row>
    <row r="3" spans="1:57" x14ac:dyDescent="0.25">
      <c r="B3" s="15" t="s">
        <v>19</v>
      </c>
      <c r="C3" s="3">
        <f>C1*C2</f>
        <v>127560000</v>
      </c>
      <c r="D3" s="3">
        <f>D1*D2</f>
        <v>128396062.19999999</v>
      </c>
      <c r="G3" s="14">
        <f>G2*G1</f>
        <v>233746887.85468382</v>
      </c>
      <c r="H3" s="14">
        <f>H2*H1</f>
        <v>1353161524.524456</v>
      </c>
      <c r="I3" s="14">
        <f>I2*I1</f>
        <v>1371792431.6596437</v>
      </c>
    </row>
    <row r="4" spans="1:57" x14ac:dyDescent="0.25">
      <c r="B4" s="15"/>
      <c r="C4" s="3">
        <f>(C8/C3)</f>
        <v>15.65148387985486</v>
      </c>
      <c r="D4" s="3">
        <f>(D8/D3)</f>
        <v>22.195971065936856</v>
      </c>
      <c r="G4" s="14"/>
      <c r="H4" s="14"/>
      <c r="I4" s="14"/>
    </row>
    <row r="5" spans="1:57" x14ac:dyDescent="0.25">
      <c r="D5" s="19" t="s">
        <v>16</v>
      </c>
      <c r="G5" s="19" t="s">
        <v>10</v>
      </c>
      <c r="K5" s="19" t="s">
        <v>11</v>
      </c>
      <c r="L5" s="4" t="s">
        <v>17</v>
      </c>
      <c r="O5" s="19" t="s">
        <v>12</v>
      </c>
      <c r="S5" s="19" t="s">
        <v>13</v>
      </c>
      <c r="W5" s="19" t="s">
        <v>21</v>
      </c>
      <c r="Y5" s="12">
        <f>SUM(Y7:Y15)</f>
        <v>0.5388177837544762</v>
      </c>
      <c r="AA5" t="s">
        <v>22</v>
      </c>
      <c r="AE5" t="s">
        <v>27</v>
      </c>
      <c r="AI5" s="19" t="s">
        <v>23</v>
      </c>
      <c r="AM5" s="19" t="s">
        <v>24</v>
      </c>
      <c r="AN5" s="4" t="s">
        <v>28</v>
      </c>
      <c r="AQ5" s="19" t="s">
        <v>29</v>
      </c>
      <c r="AU5" s="19" t="s">
        <v>30</v>
      </c>
      <c r="AY5" t="s">
        <v>31</v>
      </c>
      <c r="BC5" s="19" t="s">
        <v>14</v>
      </c>
    </row>
    <row r="6" spans="1:57" x14ac:dyDescent="0.25">
      <c r="A6" s="18" t="s">
        <v>32</v>
      </c>
      <c r="B6" t="s">
        <v>0</v>
      </c>
      <c r="C6" s="20">
        <v>2020</v>
      </c>
      <c r="D6" s="20">
        <v>2021</v>
      </c>
      <c r="E6" s="20" t="s">
        <v>15</v>
      </c>
      <c r="F6" s="20"/>
      <c r="G6" s="20">
        <v>2020</v>
      </c>
      <c r="H6" s="20">
        <v>2021</v>
      </c>
      <c r="I6" s="20" t="s">
        <v>15</v>
      </c>
      <c r="J6" s="20"/>
      <c r="K6" s="20">
        <v>2020</v>
      </c>
      <c r="L6" s="20">
        <v>2021</v>
      </c>
      <c r="M6" s="20" t="s">
        <v>15</v>
      </c>
      <c r="N6" s="20"/>
      <c r="O6" s="20">
        <v>2020</v>
      </c>
      <c r="P6" s="20">
        <v>2021</v>
      </c>
      <c r="Q6" s="20" t="s">
        <v>15</v>
      </c>
      <c r="R6" s="20"/>
      <c r="S6" s="20">
        <v>2020</v>
      </c>
      <c r="T6" s="20">
        <v>2021</v>
      </c>
      <c r="U6" s="20" t="s">
        <v>15</v>
      </c>
      <c r="V6" s="20"/>
      <c r="W6" s="20">
        <v>2020</v>
      </c>
      <c r="X6" s="20">
        <v>2021</v>
      </c>
      <c r="Y6" s="20" t="s">
        <v>15</v>
      </c>
      <c r="Z6" s="20"/>
      <c r="AA6" s="20">
        <v>2020</v>
      </c>
      <c r="AB6" s="20">
        <v>2021</v>
      </c>
      <c r="AC6" s="20" t="s">
        <v>15</v>
      </c>
      <c r="AD6" s="20"/>
      <c r="AE6" s="20">
        <v>2020</v>
      </c>
      <c r="AF6" s="20">
        <v>2021</v>
      </c>
      <c r="AG6" s="20" t="s">
        <v>15</v>
      </c>
      <c r="AH6" s="20"/>
      <c r="AI6" s="20">
        <v>2020</v>
      </c>
      <c r="AJ6" s="20">
        <v>2021</v>
      </c>
      <c r="AK6" s="20" t="s">
        <v>15</v>
      </c>
      <c r="AL6" s="20"/>
      <c r="AM6" s="20">
        <v>2020</v>
      </c>
      <c r="AN6" s="20">
        <v>2021</v>
      </c>
      <c r="AO6" s="20" t="s">
        <v>15</v>
      </c>
      <c r="AP6" s="20"/>
      <c r="AQ6" s="20">
        <v>2020</v>
      </c>
      <c r="AR6" s="20">
        <v>2021</v>
      </c>
      <c r="AS6" s="20" t="s">
        <v>15</v>
      </c>
      <c r="AT6" s="20"/>
      <c r="AU6" s="20">
        <v>2020</v>
      </c>
      <c r="AV6" s="20">
        <v>2021</v>
      </c>
      <c r="AW6" s="20" t="s">
        <v>15</v>
      </c>
      <c r="AX6" s="20"/>
      <c r="AY6" s="20">
        <v>2020</v>
      </c>
      <c r="AZ6" s="20">
        <v>2021</v>
      </c>
      <c r="BA6" s="20" t="s">
        <v>15</v>
      </c>
      <c r="BB6" s="20"/>
      <c r="BC6" s="20">
        <v>2020</v>
      </c>
      <c r="BD6" s="20">
        <v>2021</v>
      </c>
      <c r="BE6" s="20" t="s">
        <v>15</v>
      </c>
    </row>
    <row r="7" spans="1:57" x14ac:dyDescent="0.25">
      <c r="A7" t="s">
        <v>25</v>
      </c>
      <c r="B7" t="s">
        <v>1</v>
      </c>
      <c r="C7" s="3">
        <v>1526869231.7142859</v>
      </c>
      <c r="D7" s="3">
        <v>7308252248.5714283</v>
      </c>
      <c r="E7" s="3">
        <v>8835121480.2857132</v>
      </c>
      <c r="F7" s="3"/>
      <c r="G7" s="3">
        <v>19300273.691428568</v>
      </c>
      <c r="H7" s="3">
        <v>86450094.66285716</v>
      </c>
      <c r="I7" s="3">
        <v>105750368.35428573</v>
      </c>
      <c r="K7" s="2">
        <f>IFERROR(G7/C7,0)*1000</f>
        <v>12.640423482605167</v>
      </c>
      <c r="L7" s="2">
        <f t="shared" ref="L7:M14" si="0">IFERROR(H7/D7,0)*1000</f>
        <v>11.829106566451081</v>
      </c>
      <c r="M7" s="2">
        <f t="shared" si="0"/>
        <v>11.969316844171559</v>
      </c>
      <c r="O7" s="5">
        <f t="shared" ref="O7:O15" si="1">G7/SUM($G$7:$G$15)</f>
        <v>0.36650054570256746</v>
      </c>
      <c r="P7" s="5">
        <f t="shared" ref="P7:P15" si="2">H7/SUM($H$7:$H$15)</f>
        <v>0.45405040255944712</v>
      </c>
      <c r="Q7" s="5">
        <f t="shared" ref="Q7:Q15" si="3">I7/SUM($I$7:$I$15)</f>
        <v>0.43508188482851845</v>
      </c>
      <c r="S7" s="6">
        <f t="shared" ref="S7:U15" si="4">G7/G$3</f>
        <v>8.2569115116635033E-2</v>
      </c>
      <c r="T7" s="6">
        <f t="shared" si="4"/>
        <v>6.3887490958064647E-2</v>
      </c>
      <c r="U7" s="6">
        <f t="shared" si="4"/>
        <v>7.7089190692169907E-2</v>
      </c>
      <c r="W7" s="9"/>
      <c r="Y7" s="10">
        <f>U7*3.2</f>
        <v>0.24668541021494372</v>
      </c>
      <c r="AA7" s="8">
        <f t="shared" ref="AA7:AC15" si="5">W7*G$1</f>
        <v>0</v>
      </c>
      <c r="AB7" s="8">
        <f t="shared" si="5"/>
        <v>0</v>
      </c>
      <c r="AC7" s="8">
        <f t="shared" si="5"/>
        <v>113318.1500925672</v>
      </c>
      <c r="AE7" s="11">
        <f>IFERROR(AA7/G7,0)*1000</f>
        <v>0</v>
      </c>
      <c r="AF7" s="11">
        <f t="shared" ref="AF7:AG15" si="6">IFERROR(AB7/H7,0)</f>
        <v>0</v>
      </c>
      <c r="AG7" s="11">
        <f t="shared" si="6"/>
        <v>1.0715626986085554E-3</v>
      </c>
      <c r="AI7" s="1">
        <f t="shared" ref="AI7:AK15" si="7">IFERROR(AE7*G$2,0)</f>
        <v>0</v>
      </c>
      <c r="AJ7" s="1">
        <f t="shared" si="7"/>
        <v>0</v>
      </c>
      <c r="AK7" s="1">
        <f t="shared" si="7"/>
        <v>3.2</v>
      </c>
      <c r="AM7" s="1">
        <f>IFERROR(AA7/C7,0)*1000000</f>
        <v>0</v>
      </c>
      <c r="AN7" s="1">
        <f t="shared" ref="AN7:AO15" si="8">IFERROR(AB7/D7,0)*1000000</f>
        <v>0</v>
      </c>
      <c r="AO7" s="1">
        <f t="shared" si="8"/>
        <v>12.825873458041313</v>
      </c>
      <c r="AQ7" s="3">
        <v>45</v>
      </c>
      <c r="AR7" s="3">
        <v>52</v>
      </c>
      <c r="AS7" s="3">
        <v>97</v>
      </c>
      <c r="AT7" s="3"/>
      <c r="AU7" s="3">
        <v>35299182.269841269</v>
      </c>
      <c r="AV7" s="3">
        <v>146646702.86263734</v>
      </c>
      <c r="AW7" s="3">
        <v>94990636.608247429</v>
      </c>
      <c r="BC7" s="3">
        <f t="shared" ref="BC7:BE15" si="9">G7/G$1</f>
        <v>173.75111353464681</v>
      </c>
      <c r="BD7" s="3">
        <f t="shared" si="9"/>
        <v>248.21795684215755</v>
      </c>
      <c r="BE7" s="3">
        <f t="shared" si="9"/>
        <v>230.21089716473841</v>
      </c>
    </row>
    <row r="8" spans="1:57" x14ac:dyDescent="0.25">
      <c r="A8" t="s">
        <v>26</v>
      </c>
      <c r="B8" t="s">
        <v>2</v>
      </c>
      <c r="C8" s="3">
        <v>1996503283.7142859</v>
      </c>
      <c r="D8" s="3">
        <v>2849875281.5714288</v>
      </c>
      <c r="E8" s="3">
        <v>4846378565.2857151</v>
      </c>
      <c r="F8" s="3"/>
      <c r="G8" s="3">
        <v>17586054.725714285</v>
      </c>
      <c r="H8" s="3">
        <v>37981590.135714293</v>
      </c>
      <c r="I8" s="3">
        <v>55567644.861428574</v>
      </c>
      <c r="K8" s="2">
        <f t="shared" ref="K8:K14" si="10">IFERROR(G8/C8,0)*1000</f>
        <v>8.8084276490631499</v>
      </c>
      <c r="L8" s="2">
        <f t="shared" si="0"/>
        <v>13.327456952702555</v>
      </c>
      <c r="M8" s="2">
        <f t="shared" si="0"/>
        <v>11.465807739299585</v>
      </c>
      <c r="O8" s="5">
        <f t="shared" si="1"/>
        <v>0.33394856242851717</v>
      </c>
      <c r="P8" s="5">
        <f t="shared" si="2"/>
        <v>0.19948568429247152</v>
      </c>
      <c r="Q8" s="5">
        <f t="shared" si="3"/>
        <v>0.22861835885805956</v>
      </c>
      <c r="S8" s="6">
        <f t="shared" si="4"/>
        <v>7.5235460403850235E-2</v>
      </c>
      <c r="T8" s="6">
        <f t="shared" si="4"/>
        <v>2.8068777782506216E-2</v>
      </c>
      <c r="U8" s="6">
        <f t="shared" si="4"/>
        <v>4.0507327186665436E-2</v>
      </c>
      <c r="Y8" s="10">
        <f>U8*3</f>
        <v>0.1215219815599963</v>
      </c>
      <c r="AA8" s="8">
        <f t="shared" si="5"/>
        <v>0</v>
      </c>
      <c r="AB8" s="8">
        <f t="shared" si="5"/>
        <v>0</v>
      </c>
      <c r="AC8" s="8">
        <f t="shared" si="5"/>
        <v>55822.702015344577</v>
      </c>
      <c r="AE8" s="11">
        <f t="shared" ref="AE8:AE15" si="11">IFERROR(AA8/G8,0)</f>
        <v>0</v>
      </c>
      <c r="AF8" s="11">
        <f t="shared" si="6"/>
        <v>0</v>
      </c>
      <c r="AG8" s="11">
        <f t="shared" si="6"/>
        <v>1.0045900299455205E-3</v>
      </c>
      <c r="AI8" s="1">
        <f t="shared" si="7"/>
        <v>0</v>
      </c>
      <c r="AJ8" s="1">
        <f t="shared" si="7"/>
        <v>0</v>
      </c>
      <c r="AK8" s="1">
        <f t="shared" si="7"/>
        <v>2.9999999999999996</v>
      </c>
      <c r="AM8" s="1">
        <f t="shared" ref="AM8:AM15" si="12">IFERROR(AA8/C8,0)*1000000</f>
        <v>0</v>
      </c>
      <c r="AN8" s="1">
        <f t="shared" si="8"/>
        <v>0</v>
      </c>
      <c r="AO8" s="1">
        <f t="shared" si="8"/>
        <v>11.518436140172552</v>
      </c>
      <c r="AQ8">
        <v>53</v>
      </c>
      <c r="AR8">
        <v>52</v>
      </c>
      <c r="AS8">
        <v>105</v>
      </c>
      <c r="AU8" s="3">
        <v>39214804.320754714</v>
      </c>
      <c r="AV8" s="3">
        <v>56972636.269230776</v>
      </c>
      <c r="AW8" s="3">
        <v>48009159.190476179</v>
      </c>
      <c r="BC8" s="3">
        <f t="shared" si="9"/>
        <v>158.31882180153301</v>
      </c>
      <c r="BD8" s="3">
        <f t="shared" si="9"/>
        <v>109.05381582137025</v>
      </c>
      <c r="BE8" s="3">
        <f t="shared" si="9"/>
        <v>120.96674059823837</v>
      </c>
    </row>
    <row r="9" spans="1:57" x14ac:dyDescent="0.25">
      <c r="A9" t="s">
        <v>26</v>
      </c>
      <c r="B9" t="s">
        <v>3</v>
      </c>
      <c r="C9" s="3">
        <v>361453745</v>
      </c>
      <c r="D9" s="3">
        <v>387783774</v>
      </c>
      <c r="E9" s="3">
        <v>749237519</v>
      </c>
      <c r="F9" s="3"/>
      <c r="G9" s="3">
        <v>481306.29000000004</v>
      </c>
      <c r="H9" s="3">
        <v>1421886.0900000003</v>
      </c>
      <c r="I9" s="3">
        <v>1903192.3800000004</v>
      </c>
      <c r="K9" s="2">
        <f t="shared" si="10"/>
        <v>1.3315847370733427</v>
      </c>
      <c r="L9" s="2">
        <f t="shared" si="0"/>
        <v>3.6666982615935866</v>
      </c>
      <c r="M9" s="2">
        <f t="shared" si="0"/>
        <v>2.5401722841378427</v>
      </c>
      <c r="O9" s="5">
        <f t="shared" si="1"/>
        <v>9.1397158794395052E-3</v>
      </c>
      <c r="P9" s="5">
        <f t="shared" si="2"/>
        <v>7.4679843217749595E-3</v>
      </c>
      <c r="Q9" s="5">
        <f t="shared" si="3"/>
        <v>7.8301810269591939E-3</v>
      </c>
      <c r="S9" s="6">
        <f t="shared" si="4"/>
        <v>2.0590917569744049E-3</v>
      </c>
      <c r="T9" s="6">
        <f t="shared" si="4"/>
        <v>1.0507881463003438E-3</v>
      </c>
      <c r="U9" s="6">
        <f t="shared" si="4"/>
        <v>1.3873763523373941E-3</v>
      </c>
      <c r="Y9" s="10">
        <f>U9*6</f>
        <v>8.3242581140243639E-3</v>
      </c>
      <c r="AA9" s="8">
        <f t="shared" si="5"/>
        <v>0</v>
      </c>
      <c r="AB9" s="8">
        <f t="shared" si="5"/>
        <v>0</v>
      </c>
      <c r="AC9" s="8">
        <f t="shared" si="5"/>
        <v>3823.8561800325738</v>
      </c>
      <c r="AE9" s="11">
        <f t="shared" si="11"/>
        <v>0</v>
      </c>
      <c r="AF9" s="11">
        <f t="shared" si="6"/>
        <v>0</v>
      </c>
      <c r="AG9" s="11">
        <f t="shared" si="6"/>
        <v>2.0091800598910411E-3</v>
      </c>
      <c r="AI9" s="1">
        <f t="shared" si="7"/>
        <v>0</v>
      </c>
      <c r="AJ9" s="1">
        <f t="shared" si="7"/>
        <v>0</v>
      </c>
      <c r="AK9" s="1">
        <f t="shared" si="7"/>
        <v>5.9999999999999991</v>
      </c>
      <c r="AM9" s="1">
        <f t="shared" si="12"/>
        <v>0</v>
      </c>
      <c r="AN9" s="1">
        <f t="shared" si="8"/>
        <v>0</v>
      </c>
      <c r="AO9" s="1">
        <f t="shared" si="8"/>
        <v>5.1036635019776337</v>
      </c>
      <c r="AQ9">
        <v>52</v>
      </c>
      <c r="AR9">
        <v>48</v>
      </c>
      <c r="AS9">
        <v>100</v>
      </c>
      <c r="AU9" s="3">
        <v>7173813.8846153859</v>
      </c>
      <c r="AV9" s="3">
        <v>8051009.4166666642</v>
      </c>
      <c r="AW9" s="3">
        <v>7594867.7399999993</v>
      </c>
      <c r="BC9" s="3">
        <f t="shared" si="9"/>
        <v>4.3329698415556361</v>
      </c>
      <c r="BD9" s="3">
        <f t="shared" si="9"/>
        <v>4.0825595564526562</v>
      </c>
      <c r="BE9" s="3">
        <f t="shared" si="9"/>
        <v>4.1431120486412718</v>
      </c>
    </row>
    <row r="10" spans="1:57" x14ac:dyDescent="0.25">
      <c r="A10" t="s">
        <v>26</v>
      </c>
      <c r="B10" t="s">
        <v>4</v>
      </c>
      <c r="C10" s="3">
        <v>533034211</v>
      </c>
      <c r="D10" s="3">
        <v>394952913</v>
      </c>
      <c r="E10" s="3">
        <v>927987124</v>
      </c>
      <c r="F10" s="3"/>
      <c r="G10" s="3">
        <v>5436189.879999999</v>
      </c>
      <c r="H10" s="3">
        <v>10851116.98</v>
      </c>
      <c r="I10" s="3">
        <v>16287306.859999999</v>
      </c>
      <c r="K10" s="2">
        <f t="shared" si="10"/>
        <v>10.198575940935241</v>
      </c>
      <c r="L10" s="2">
        <f t="shared" si="0"/>
        <v>27.474457391835973</v>
      </c>
      <c r="M10" s="2">
        <f t="shared" si="0"/>
        <v>17.551220743015396</v>
      </c>
      <c r="O10" s="5">
        <f t="shared" si="1"/>
        <v>0.10322996395888431</v>
      </c>
      <c r="P10" s="5">
        <f t="shared" si="2"/>
        <v>5.699188707893333E-2</v>
      </c>
      <c r="Q10" s="5">
        <f t="shared" si="3"/>
        <v>6.7009810724144608E-2</v>
      </c>
      <c r="S10" s="6">
        <f t="shared" si="4"/>
        <v>2.3256736934095905E-2</v>
      </c>
      <c r="T10" s="6">
        <f t="shared" si="4"/>
        <v>8.0190847754213444E-3</v>
      </c>
      <c r="U10" s="6">
        <f t="shared" si="4"/>
        <v>1.1873011167072144E-2</v>
      </c>
      <c r="Y10" s="10">
        <f>U10*2.5</f>
        <v>2.9682527917680359E-2</v>
      </c>
      <c r="AA10" s="8">
        <f t="shared" si="5"/>
        <v>0</v>
      </c>
      <c r="AB10" s="8">
        <f t="shared" si="5"/>
        <v>0</v>
      </c>
      <c r="AC10" s="8">
        <f t="shared" si="5"/>
        <v>13635.055071849403</v>
      </c>
      <c r="AE10" s="11">
        <f t="shared" si="11"/>
        <v>0</v>
      </c>
      <c r="AF10" s="11">
        <f t="shared" si="6"/>
        <v>0</v>
      </c>
      <c r="AG10" s="11">
        <f t="shared" si="6"/>
        <v>8.3715835828793389E-4</v>
      </c>
      <c r="AI10" s="1">
        <f t="shared" si="7"/>
        <v>0</v>
      </c>
      <c r="AJ10" s="1">
        <f t="shared" si="7"/>
        <v>0</v>
      </c>
      <c r="AK10" s="1">
        <f t="shared" si="7"/>
        <v>2.5</v>
      </c>
      <c r="AM10" s="1">
        <f t="shared" si="12"/>
        <v>0</v>
      </c>
      <c r="AN10" s="1">
        <f t="shared" si="8"/>
        <v>0</v>
      </c>
      <c r="AO10" s="1">
        <f t="shared" si="8"/>
        <v>14.6931511431719</v>
      </c>
      <c r="AQ10">
        <v>53</v>
      </c>
      <c r="AR10">
        <v>52</v>
      </c>
      <c r="AS10">
        <v>105</v>
      </c>
      <c r="AU10" s="3">
        <v>10117132.792452833</v>
      </c>
      <c r="AV10" s="3">
        <v>7709113.788461538</v>
      </c>
      <c r="AW10" s="3">
        <v>8924590.0476190504</v>
      </c>
      <c r="BC10" s="3">
        <f t="shared" si="9"/>
        <v>48.939411955347488</v>
      </c>
      <c r="BD10" s="3">
        <f t="shared" si="9"/>
        <v>31.156033972373042</v>
      </c>
      <c r="BE10" s="3">
        <f t="shared" si="9"/>
        <v>35.456288077185143</v>
      </c>
    </row>
    <row r="11" spans="1:57" x14ac:dyDescent="0.25">
      <c r="A11" t="s">
        <v>25</v>
      </c>
      <c r="B11" t="s">
        <v>5</v>
      </c>
      <c r="C11" s="3">
        <v>578094390</v>
      </c>
      <c r="D11" s="3">
        <v>2417368533</v>
      </c>
      <c r="E11" s="3">
        <v>2995462923</v>
      </c>
      <c r="F11" s="3"/>
      <c r="G11" s="3">
        <v>9857143.9100000001</v>
      </c>
      <c r="H11" s="3">
        <v>50264318.289999999</v>
      </c>
      <c r="I11" s="3">
        <v>60121462.200000003</v>
      </c>
      <c r="K11" s="2">
        <f t="shared" si="10"/>
        <v>17.051097676280857</v>
      </c>
      <c r="L11" s="2">
        <f t="shared" si="0"/>
        <v>20.792989403076671</v>
      </c>
      <c r="M11" s="2">
        <f t="shared" si="0"/>
        <v>20.070841718109961</v>
      </c>
      <c r="O11" s="5">
        <f t="shared" si="1"/>
        <v>0.1871812120305916</v>
      </c>
      <c r="P11" s="5">
        <f t="shared" si="2"/>
        <v>0.26399663346761221</v>
      </c>
      <c r="Q11" s="5">
        <f t="shared" si="3"/>
        <v>0.24735383431468147</v>
      </c>
      <c r="S11" s="6">
        <f t="shared" si="4"/>
        <v>4.2170161068103749E-2</v>
      </c>
      <c r="T11" s="6">
        <f t="shared" si="4"/>
        <v>3.7145837639497234E-2</v>
      </c>
      <c r="U11" s="6">
        <f t="shared" si="4"/>
        <v>4.3826938254253892E-2</v>
      </c>
      <c r="Y11" s="10">
        <f>U11*2.9</f>
        <v>0.12709812093733627</v>
      </c>
      <c r="AA11" s="8">
        <f t="shared" si="5"/>
        <v>0</v>
      </c>
      <c r="AB11" s="8">
        <f t="shared" si="5"/>
        <v>0</v>
      </c>
      <c r="AC11" s="8">
        <f t="shared" si="5"/>
        <v>58384.174128137602</v>
      </c>
      <c r="AE11" s="11">
        <f t="shared" si="11"/>
        <v>0</v>
      </c>
      <c r="AF11" s="11">
        <f t="shared" si="6"/>
        <v>0</v>
      </c>
      <c r="AG11" s="11">
        <f t="shared" si="6"/>
        <v>9.7110369561400321E-4</v>
      </c>
      <c r="AI11" s="1">
        <f t="shared" si="7"/>
        <v>0</v>
      </c>
      <c r="AJ11" s="1">
        <f t="shared" si="7"/>
        <v>0</v>
      </c>
      <c r="AK11" s="1">
        <f t="shared" si="7"/>
        <v>2.8999999999999995</v>
      </c>
      <c r="AM11" s="1">
        <f t="shared" si="12"/>
        <v>0</v>
      </c>
      <c r="AN11" s="1">
        <f t="shared" si="8"/>
        <v>0</v>
      </c>
      <c r="AO11" s="1">
        <f t="shared" si="8"/>
        <v>19.490868566540289</v>
      </c>
      <c r="AQ11">
        <v>48</v>
      </c>
      <c r="AR11">
        <v>52</v>
      </c>
      <c r="AS11">
        <v>100</v>
      </c>
      <c r="AU11" s="3">
        <v>12043633.124999998</v>
      </c>
      <c r="AV11" s="3">
        <v>49022856.384615384</v>
      </c>
      <c r="AW11" s="3">
        <v>31272829.219999995</v>
      </c>
      <c r="BC11" s="3">
        <f t="shared" si="9"/>
        <v>88.73914214980195</v>
      </c>
      <c r="BD11" s="3">
        <f t="shared" si="9"/>
        <v>144.32033228724916</v>
      </c>
      <c r="BE11" s="3">
        <f t="shared" si="9"/>
        <v>130.88007131614867</v>
      </c>
    </row>
    <row r="12" spans="1:57" x14ac:dyDescent="0.25">
      <c r="A12" t="s">
        <v>25</v>
      </c>
      <c r="B12" t="s">
        <v>6</v>
      </c>
      <c r="C12" s="3">
        <v>0</v>
      </c>
      <c r="D12" s="3">
        <v>2134771</v>
      </c>
      <c r="E12" s="3">
        <v>2134771</v>
      </c>
      <c r="F12" s="3"/>
      <c r="G12" s="3">
        <v>0</v>
      </c>
      <c r="H12" s="3">
        <v>253976.16000000056</v>
      </c>
      <c r="I12" s="3">
        <v>253976.16000000056</v>
      </c>
      <c r="K12" s="2">
        <f t="shared" si="10"/>
        <v>0</v>
      </c>
      <c r="L12" s="3">
        <f t="shared" si="0"/>
        <v>118.97114959871601</v>
      </c>
      <c r="M12" s="3">
        <f t="shared" si="0"/>
        <v>118.97114959871601</v>
      </c>
      <c r="O12" s="5">
        <f t="shared" si="1"/>
        <v>0</v>
      </c>
      <c r="P12" s="5">
        <f t="shared" si="2"/>
        <v>1.3339254067705327E-3</v>
      </c>
      <c r="Q12" s="5">
        <f t="shared" si="3"/>
        <v>1.0449176500653898E-3</v>
      </c>
      <c r="S12" s="6">
        <f t="shared" si="4"/>
        <v>0</v>
      </c>
      <c r="T12" s="6">
        <f t="shared" si="4"/>
        <v>1.8769094110125239E-4</v>
      </c>
      <c r="U12" s="7">
        <f t="shared" si="4"/>
        <v>1.8514182914154958E-4</v>
      </c>
      <c r="W12">
        <v>0</v>
      </c>
      <c r="X12" s="10">
        <f>2*T12</f>
        <v>3.7538188220250478E-4</v>
      </c>
      <c r="Y12" s="10">
        <f>2*U12</f>
        <v>3.7028365828309915E-4</v>
      </c>
      <c r="AA12" s="8">
        <f t="shared" si="5"/>
        <v>0</v>
      </c>
      <c r="AB12" s="8">
        <f t="shared" si="5"/>
        <v>130.73912807913496</v>
      </c>
      <c r="AC12" s="8">
        <f t="shared" si="5"/>
        <v>170.09461211989927</v>
      </c>
      <c r="AE12" s="11">
        <f t="shared" si="11"/>
        <v>0</v>
      </c>
      <c r="AF12" s="11">
        <f t="shared" si="6"/>
        <v>5.1476929204353149E-4</v>
      </c>
      <c r="AG12" s="11">
        <f t="shared" si="6"/>
        <v>6.6972668663034713E-4</v>
      </c>
      <c r="AI12" s="1">
        <f t="shared" si="7"/>
        <v>0</v>
      </c>
      <c r="AJ12" s="1">
        <f t="shared" si="7"/>
        <v>2</v>
      </c>
      <c r="AK12" s="1">
        <f t="shared" si="7"/>
        <v>2</v>
      </c>
      <c r="AM12" s="1">
        <f t="shared" si="12"/>
        <v>0</v>
      </c>
      <c r="AN12" s="1">
        <f t="shared" si="8"/>
        <v>61.242694452536107</v>
      </c>
      <c r="AO12" s="1">
        <f t="shared" si="8"/>
        <v>79.678153825351416</v>
      </c>
      <c r="AQ12">
        <v>0</v>
      </c>
      <c r="AR12">
        <v>37</v>
      </c>
      <c r="AS12">
        <v>37</v>
      </c>
      <c r="AU12" s="3">
        <v>0</v>
      </c>
      <c r="AV12" s="3">
        <v>58260.972972972988</v>
      </c>
      <c r="AW12" s="3">
        <v>58260.972972972988</v>
      </c>
      <c r="BC12" s="3">
        <f t="shared" si="9"/>
        <v>0</v>
      </c>
      <c r="BD12" s="3">
        <f t="shared" si="9"/>
        <v>0.72922353373549831</v>
      </c>
      <c r="BE12" s="3">
        <f t="shared" si="9"/>
        <v>0.55288771625054811</v>
      </c>
    </row>
    <row r="13" spans="1:57" x14ac:dyDescent="0.25">
      <c r="A13" t="s">
        <v>25</v>
      </c>
      <c r="B13" t="s">
        <v>7</v>
      </c>
      <c r="C13" s="3">
        <v>0</v>
      </c>
      <c r="D13" s="3">
        <v>409346718</v>
      </c>
      <c r="E13" s="3">
        <v>409346718</v>
      </c>
      <c r="F13" s="3"/>
      <c r="G13" s="3">
        <v>0</v>
      </c>
      <c r="H13" s="3">
        <v>1848581.0920000002</v>
      </c>
      <c r="I13" s="3">
        <v>1848581.0920000002</v>
      </c>
      <c r="K13" s="2">
        <f t="shared" si="10"/>
        <v>0</v>
      </c>
      <c r="L13" s="3">
        <f t="shared" si="0"/>
        <v>4.5159299212947399</v>
      </c>
      <c r="M13" s="3">
        <f t="shared" si="0"/>
        <v>4.5159299212947399</v>
      </c>
      <c r="O13" s="5">
        <f t="shared" si="1"/>
        <v>0</v>
      </c>
      <c r="P13" s="5">
        <f t="shared" si="2"/>
        <v>9.7090580670816141E-3</v>
      </c>
      <c r="Q13" s="5">
        <f t="shared" si="3"/>
        <v>7.6054973451364421E-3</v>
      </c>
      <c r="S13" s="6">
        <f t="shared" si="4"/>
        <v>0</v>
      </c>
      <c r="T13" s="6">
        <f t="shared" si="4"/>
        <v>1.366120051816911E-3</v>
      </c>
      <c r="U13" s="7">
        <f t="shared" si="4"/>
        <v>1.3475661837290651E-3</v>
      </c>
      <c r="W13">
        <v>0</v>
      </c>
      <c r="X13" s="10">
        <f>2.2*T13</f>
        <v>3.0054641139972043E-3</v>
      </c>
      <c r="Y13" s="10">
        <f>2.2*U13</f>
        <v>2.9646456042039435E-3</v>
      </c>
      <c r="AA13" s="8">
        <f t="shared" si="5"/>
        <v>0</v>
      </c>
      <c r="AB13" s="8">
        <f t="shared" si="5"/>
        <v>1046.7520580152882</v>
      </c>
      <c r="AC13" s="8">
        <f t="shared" si="5"/>
        <v>1361.8484986839362</v>
      </c>
      <c r="AE13" s="11">
        <f t="shared" si="11"/>
        <v>0</v>
      </c>
      <c r="AF13" s="11">
        <f t="shared" si="6"/>
        <v>5.6624622124788455E-4</v>
      </c>
      <c r="AG13" s="11">
        <f t="shared" si="6"/>
        <v>7.3669935529338201E-4</v>
      </c>
      <c r="AI13" s="1">
        <f t="shared" si="7"/>
        <v>0</v>
      </c>
      <c r="AJ13" s="1">
        <f t="shared" si="7"/>
        <v>2.1999999999999997</v>
      </c>
      <c r="AK13" s="1">
        <f t="shared" si="7"/>
        <v>2.2000000000000006</v>
      </c>
      <c r="AM13" s="1">
        <f t="shared" si="12"/>
        <v>0</v>
      </c>
      <c r="AN13" s="1">
        <f t="shared" si="8"/>
        <v>2.5571282533534032</v>
      </c>
      <c r="AO13" s="1">
        <f t="shared" si="8"/>
        <v>3.3268826615679283</v>
      </c>
      <c r="AQ13">
        <v>0</v>
      </c>
      <c r="AR13">
        <v>31</v>
      </c>
      <c r="AS13">
        <v>31</v>
      </c>
      <c r="AU13" s="3">
        <v>0</v>
      </c>
      <c r="AV13" s="3">
        <v>14800431.838709679</v>
      </c>
      <c r="AW13" s="3">
        <v>14800431.838709679</v>
      </c>
      <c r="BC13" s="3">
        <f t="shared" si="9"/>
        <v>0</v>
      </c>
      <c r="BD13" s="3">
        <f t="shared" si="9"/>
        <v>5.3076983143018754</v>
      </c>
      <c r="BE13" s="3">
        <f t="shared" si="9"/>
        <v>4.0242272277044524</v>
      </c>
    </row>
    <row r="14" spans="1:57" x14ac:dyDescent="0.25">
      <c r="A14" t="s">
        <v>25</v>
      </c>
      <c r="B14" t="s">
        <v>8</v>
      </c>
      <c r="C14" s="3">
        <v>0</v>
      </c>
      <c r="D14" s="3">
        <v>282697422</v>
      </c>
      <c r="E14" s="3">
        <v>282697422</v>
      </c>
      <c r="F14" s="3"/>
      <c r="G14" s="3">
        <v>0</v>
      </c>
      <c r="H14" s="3">
        <v>916267.48999999953</v>
      </c>
      <c r="I14" s="3">
        <v>916267.48999999953</v>
      </c>
      <c r="K14" s="2">
        <f t="shared" si="10"/>
        <v>0</v>
      </c>
      <c r="L14" s="3">
        <f t="shared" si="0"/>
        <v>3.2411596947636809</v>
      </c>
      <c r="M14" s="3">
        <f t="shared" si="0"/>
        <v>3.2411596947636809</v>
      </c>
      <c r="O14" s="5">
        <f t="shared" si="1"/>
        <v>0</v>
      </c>
      <c r="P14" s="5">
        <f t="shared" si="2"/>
        <v>4.8123905972468507E-3</v>
      </c>
      <c r="Q14" s="5">
        <f t="shared" si="3"/>
        <v>3.7697399333941838E-3</v>
      </c>
      <c r="S14" s="6">
        <f t="shared" si="4"/>
        <v>0</v>
      </c>
      <c r="T14" s="6">
        <f t="shared" si="4"/>
        <v>6.7713090669054097E-4</v>
      </c>
      <c r="U14" s="7">
        <f t="shared" si="4"/>
        <v>6.6793449858260719E-4</v>
      </c>
      <c r="W14">
        <v>0</v>
      </c>
      <c r="X14" s="10">
        <f>2.4*T14</f>
        <v>1.6251141760572983E-3</v>
      </c>
      <c r="Y14" s="10">
        <f>2.4*U14</f>
        <v>1.6030427965982572E-3</v>
      </c>
      <c r="AA14" s="8">
        <f t="shared" si="5"/>
        <v>0</v>
      </c>
      <c r="AB14" s="8">
        <f t="shared" si="5"/>
        <v>565.99964057976399</v>
      </c>
      <c r="AC14" s="8">
        <f t="shared" si="5"/>
        <v>736.37854817376524</v>
      </c>
      <c r="AE14" s="11">
        <f t="shared" si="11"/>
        <v>0</v>
      </c>
      <c r="AF14" s="11">
        <f t="shared" si="6"/>
        <v>6.1772315045223783E-4</v>
      </c>
      <c r="AG14" s="11">
        <f t="shared" si="6"/>
        <v>8.0367202395641645E-4</v>
      </c>
      <c r="AI14" s="1">
        <f t="shared" si="7"/>
        <v>0</v>
      </c>
      <c r="AJ14" s="1">
        <f t="shared" si="7"/>
        <v>2.4000000000000004</v>
      </c>
      <c r="AK14" s="1">
        <f t="shared" si="7"/>
        <v>2.4</v>
      </c>
      <c r="AM14" s="1">
        <f t="shared" si="12"/>
        <v>0</v>
      </c>
      <c r="AN14" s="1">
        <f t="shared" si="8"/>
        <v>2.0021393777682346</v>
      </c>
      <c r="AO14" s="1">
        <f t="shared" si="8"/>
        <v>2.6048293718566886</v>
      </c>
      <c r="AQ14">
        <v>0</v>
      </c>
      <c r="AR14">
        <v>29</v>
      </c>
      <c r="AS14">
        <v>29</v>
      </c>
      <c r="AU14" s="3">
        <v>0</v>
      </c>
      <c r="AV14" s="3">
        <v>9973690.8620689642</v>
      </c>
      <c r="AW14" s="3">
        <v>9973690.8620689642</v>
      </c>
      <c r="BC14" s="3">
        <f t="shared" si="9"/>
        <v>0</v>
      </c>
      <c r="BD14" s="3">
        <f t="shared" si="9"/>
        <v>2.6308131318496728</v>
      </c>
      <c r="BE14" s="3">
        <f t="shared" si="9"/>
        <v>1.9946480016892949</v>
      </c>
    </row>
    <row r="15" spans="1:57" x14ac:dyDescent="0.25">
      <c r="A15" t="s">
        <v>25</v>
      </c>
      <c r="B15" t="s">
        <v>9</v>
      </c>
      <c r="C15" s="3">
        <v>0</v>
      </c>
      <c r="D15" s="3">
        <v>3414.5174193548387</v>
      </c>
      <c r="E15" s="3">
        <v>3414.5174193548387</v>
      </c>
      <c r="F15" s="3"/>
      <c r="G15" s="3">
        <v>0</v>
      </c>
      <c r="H15" s="3">
        <v>409742.09032258019</v>
      </c>
      <c r="I15" s="3">
        <v>409742.09032258019</v>
      </c>
      <c r="K15" s="1">
        <f>IFERROR(G15/C15,0)</f>
        <v>0</v>
      </c>
      <c r="L15" s="3">
        <f>IFERROR(H15/D15,0)</f>
        <v>119.99999999999987</v>
      </c>
      <c r="M15" s="3">
        <f>IFERROR(I15/E15,0)</f>
        <v>119.99999999999987</v>
      </c>
      <c r="O15" s="5">
        <f t="shared" si="1"/>
        <v>0</v>
      </c>
      <c r="P15" s="5">
        <f t="shared" si="2"/>
        <v>2.1520342086617694E-3</v>
      </c>
      <c r="Q15" s="5">
        <f t="shared" si="3"/>
        <v>1.6857753190407726E-3</v>
      </c>
      <c r="S15" s="6">
        <f>G15/G$3</f>
        <v>0</v>
      </c>
      <c r="T15" s="6">
        <f t="shared" si="4"/>
        <v>3.0280353298293533E-4</v>
      </c>
      <c r="U15" s="7">
        <f t="shared" si="4"/>
        <v>2.9869102705783228E-4</v>
      </c>
      <c r="W15">
        <v>0</v>
      </c>
      <c r="X15" s="10">
        <f>1.9*T15</f>
        <v>5.7532671266757711E-4</v>
      </c>
      <c r="Y15" s="10">
        <f>1.9*U15</f>
        <v>5.6751295140988127E-4</v>
      </c>
      <c r="AA15" s="8">
        <f t="shared" si="5"/>
        <v>0</v>
      </c>
      <c r="AB15" s="8">
        <f t="shared" si="5"/>
        <v>200.37651346800175</v>
      </c>
      <c r="AC15" s="8">
        <f t="shared" si="5"/>
        <v>260.69445189849728</v>
      </c>
      <c r="AE15" s="11">
        <f t="shared" si="11"/>
        <v>0</v>
      </c>
      <c r="AF15" s="11">
        <f t="shared" si="6"/>
        <v>4.8903082744135491E-4</v>
      </c>
      <c r="AG15" s="11">
        <f t="shared" si="6"/>
        <v>6.3624035229882959E-4</v>
      </c>
      <c r="AI15" s="1">
        <f t="shared" si="7"/>
        <v>0</v>
      </c>
      <c r="AJ15" s="1">
        <f t="shared" si="7"/>
        <v>1.9</v>
      </c>
      <c r="AK15" s="1">
        <f t="shared" si="7"/>
        <v>1.8999999999999995</v>
      </c>
      <c r="AM15" s="1">
        <f t="shared" si="12"/>
        <v>0</v>
      </c>
      <c r="AN15" s="1">
        <f t="shared" si="8"/>
        <v>58683.699292962512</v>
      </c>
      <c r="AO15" s="3">
        <f t="shared" si="8"/>
        <v>76348.842275859453</v>
      </c>
      <c r="AQ15">
        <v>0</v>
      </c>
      <c r="AR15">
        <v>27</v>
      </c>
      <c r="AS15">
        <v>27</v>
      </c>
      <c r="AU15" s="3">
        <v>0</v>
      </c>
      <c r="AV15" s="3">
        <v>17071.753333333327</v>
      </c>
      <c r="AW15" s="3">
        <v>17071.753333333327</v>
      </c>
      <c r="BC15" s="3">
        <f t="shared" si="9"/>
        <v>0</v>
      </c>
      <c r="BD15" s="3">
        <f t="shared" si="9"/>
        <v>1.1764630783660994</v>
      </c>
      <c r="BE15" s="3">
        <f t="shared" si="9"/>
        <v>0.89197887144280275</v>
      </c>
    </row>
    <row r="17" spans="1:57" x14ac:dyDescent="0.25">
      <c r="G17" s="5">
        <f>G7/$I7</f>
        <v>0.18250786254255527</v>
      </c>
      <c r="H17" s="5">
        <f>H7/$I7</f>
        <v>0.81749213745744465</v>
      </c>
    </row>
    <row r="18" spans="1:57" x14ac:dyDescent="0.25">
      <c r="G18" s="5">
        <f t="shared" ref="G18:H21" si="13">G8/$I8</f>
        <v>0.31648011661407255</v>
      </c>
      <c r="H18" s="5">
        <f t="shared" si="13"/>
        <v>0.68351988338592751</v>
      </c>
    </row>
    <row r="19" spans="1:57" x14ac:dyDescent="0.25">
      <c r="G19" s="5">
        <f t="shared" si="13"/>
        <v>0.25289418718668888</v>
      </c>
      <c r="H19" s="5">
        <f t="shared" si="13"/>
        <v>0.74710581281331112</v>
      </c>
    </row>
    <row r="20" spans="1:57" x14ac:dyDescent="0.25">
      <c r="G20" s="5">
        <f t="shared" si="13"/>
        <v>0.33376849387855145</v>
      </c>
      <c r="H20" s="5">
        <f t="shared" si="13"/>
        <v>0.66623150612144855</v>
      </c>
    </row>
    <row r="21" spans="1:57" x14ac:dyDescent="0.25">
      <c r="G21" s="5">
        <f t="shared" si="13"/>
        <v>0.16395382862128724</v>
      </c>
      <c r="H21" s="5">
        <f t="shared" si="13"/>
        <v>0.83604617137871273</v>
      </c>
    </row>
    <row r="22" spans="1:57" ht="15.75" thickBot="1" x14ac:dyDescent="0.3"/>
    <row r="23" spans="1:57" s="17" customFormat="1" ht="3.75" customHeight="1" thickBot="1" x14ac:dyDescent="0.3">
      <c r="A23" s="16"/>
    </row>
    <row r="29" spans="1:57" x14ac:dyDescent="0.25">
      <c r="A29" s="18" t="s">
        <v>33</v>
      </c>
      <c r="B29" t="s">
        <v>0</v>
      </c>
      <c r="C29" s="20">
        <v>2020</v>
      </c>
      <c r="D29" s="20">
        <v>2021</v>
      </c>
      <c r="E29" s="20" t="s">
        <v>15</v>
      </c>
      <c r="F29" s="20"/>
      <c r="G29" s="20">
        <v>2020</v>
      </c>
      <c r="H29" s="20">
        <v>2021</v>
      </c>
      <c r="I29" s="20" t="s">
        <v>15</v>
      </c>
      <c r="J29" s="20"/>
      <c r="K29" s="20">
        <v>2020</v>
      </c>
      <c r="L29" s="20">
        <v>2021</v>
      </c>
      <c r="M29" s="20" t="s">
        <v>15</v>
      </c>
      <c r="N29" s="20"/>
      <c r="O29" s="20">
        <v>2020</v>
      </c>
      <c r="P29" s="20">
        <v>2021</v>
      </c>
      <c r="Q29" s="20" t="s">
        <v>15</v>
      </c>
      <c r="R29" s="20"/>
      <c r="S29" s="20">
        <v>2020</v>
      </c>
      <c r="T29" s="20">
        <v>2021</v>
      </c>
      <c r="U29" s="20" t="s">
        <v>15</v>
      </c>
      <c r="V29" s="20"/>
      <c r="W29" s="20">
        <v>2020</v>
      </c>
      <c r="X29" s="20">
        <v>2021</v>
      </c>
      <c r="Y29" s="20" t="s">
        <v>15</v>
      </c>
      <c r="Z29" s="20"/>
      <c r="AA29" s="20">
        <v>2020</v>
      </c>
      <c r="AB29" s="20">
        <v>2021</v>
      </c>
      <c r="AC29" s="20" t="s">
        <v>15</v>
      </c>
      <c r="AD29" s="20"/>
      <c r="AE29" s="20">
        <v>2020</v>
      </c>
      <c r="AF29" s="20">
        <v>2021</v>
      </c>
      <c r="AG29" s="20" t="s">
        <v>15</v>
      </c>
      <c r="AH29" s="20"/>
      <c r="AI29" s="20">
        <v>2020</v>
      </c>
      <c r="AJ29" s="20">
        <v>2021</v>
      </c>
      <c r="AK29" s="20" t="s">
        <v>15</v>
      </c>
      <c r="AL29" s="20"/>
      <c r="AM29" s="20">
        <v>2020</v>
      </c>
      <c r="AN29" s="20">
        <v>2021</v>
      </c>
      <c r="AO29" s="20" t="s">
        <v>15</v>
      </c>
      <c r="AP29" s="20"/>
      <c r="AQ29" s="20">
        <v>2020</v>
      </c>
      <c r="AR29" s="20">
        <v>2021</v>
      </c>
      <c r="AS29" s="20" t="s">
        <v>15</v>
      </c>
      <c r="AT29" s="20"/>
      <c r="AU29" s="20">
        <v>2020</v>
      </c>
      <c r="AV29" s="20">
        <v>2021</v>
      </c>
      <c r="AW29" s="20" t="s">
        <v>15</v>
      </c>
      <c r="AX29" s="20"/>
      <c r="AY29" s="20">
        <v>2020</v>
      </c>
      <c r="AZ29" s="20">
        <v>2021</v>
      </c>
      <c r="BA29" s="20" t="s">
        <v>15</v>
      </c>
      <c r="BB29" s="20"/>
      <c r="BC29" s="20">
        <v>2020</v>
      </c>
      <c r="BD29" s="20">
        <v>2021</v>
      </c>
      <c r="BE29" s="20" t="s">
        <v>15</v>
      </c>
    </row>
    <row r="30" spans="1:57" x14ac:dyDescent="0.25">
      <c r="B30" t="s">
        <v>1</v>
      </c>
      <c r="C30" s="3">
        <v>1526869231.7142859</v>
      </c>
      <c r="D30" s="3">
        <v>7687222519.2857141</v>
      </c>
      <c r="E30" s="3">
        <f>SUM(C30:D30)</f>
        <v>9214091751</v>
      </c>
      <c r="G30" s="3">
        <v>19300273.691428568</v>
      </c>
      <c r="H30" s="3">
        <v>86450094.66285716</v>
      </c>
      <c r="I30" s="3">
        <f>SUM(G30:H30)</f>
        <v>105750368.35428573</v>
      </c>
      <c r="K30" s="2">
        <f t="shared" ref="K30:M39" si="14">IFERROR(G30/C30,0)*1000</f>
        <v>12.640423482605167</v>
      </c>
      <c r="L30" s="3">
        <f t="shared" si="14"/>
        <v>11.245946692185772</v>
      </c>
      <c r="M30" s="3">
        <f t="shared" si="14"/>
        <v>11.477025757075699</v>
      </c>
      <c r="O30" s="5">
        <f>G30/SUM($G$30:$G$39)</f>
        <v>0.36643906405048265</v>
      </c>
      <c r="P30" s="5">
        <f t="shared" ref="P30:P39" si="15">H30/SUM($H$30:$H$39)</f>
        <v>0.42902114446210088</v>
      </c>
      <c r="Q30" s="5">
        <f t="shared" ref="Q30:Q39" si="16">I30/SUM($I$30:$I$39)</f>
        <v>0.41605298181469275</v>
      </c>
      <c r="S30" s="6">
        <f>G30/G$3</f>
        <v>8.2569115116635033E-2</v>
      </c>
      <c r="T30" s="6">
        <f t="shared" ref="T30:U39" si="17">H30/H$3</f>
        <v>6.3887490958064647E-2</v>
      </c>
      <c r="U30" s="7">
        <f>I30/I$3</f>
        <v>7.7089190692169907E-2</v>
      </c>
      <c r="AI30" s="1">
        <f t="shared" ref="AI30:AK39" si="18">IFERROR(AE30*G$2,0)</f>
        <v>0</v>
      </c>
      <c r="AJ30" s="1">
        <f t="shared" si="18"/>
        <v>0</v>
      </c>
      <c r="AK30" s="1">
        <f t="shared" si="18"/>
        <v>0</v>
      </c>
      <c r="AM30" s="1">
        <f>IFERROR(AA30/C30,0)*1000000</f>
        <v>0</v>
      </c>
      <c r="AN30" s="1">
        <f t="shared" ref="AN30:AO37" si="19">IFERROR(AB30/D30,0)*1000000</f>
        <v>0</v>
      </c>
      <c r="AO30" s="1">
        <f t="shared" si="19"/>
        <v>0</v>
      </c>
      <c r="AQ30">
        <v>45</v>
      </c>
      <c r="AR30">
        <v>52</v>
      </c>
      <c r="AS30">
        <v>97</v>
      </c>
      <c r="AU30" s="3">
        <v>35299182.269841269</v>
      </c>
      <c r="AV30" s="3">
        <v>146646702.86263734</v>
      </c>
      <c r="AW30" s="3">
        <v>94990636.608247429</v>
      </c>
      <c r="BC30" s="3">
        <f t="shared" ref="BC30:BE39" si="20">G30/G$1</f>
        <v>173.75111353464681</v>
      </c>
      <c r="BD30" s="3">
        <f t="shared" si="20"/>
        <v>248.21795684215755</v>
      </c>
      <c r="BE30" s="3">
        <f t="shared" si="20"/>
        <v>230.21089716473841</v>
      </c>
    </row>
    <row r="31" spans="1:57" x14ac:dyDescent="0.25">
      <c r="B31" t="s">
        <v>2</v>
      </c>
      <c r="C31" s="3">
        <v>1996503283.7142859</v>
      </c>
      <c r="D31" s="3">
        <v>3023435392</v>
      </c>
      <c r="E31" s="3">
        <f t="shared" ref="E31:E39" si="21">SUM(C31:D31)</f>
        <v>5019938675.7142859</v>
      </c>
      <c r="G31" s="3">
        <v>17586054.725714285</v>
      </c>
      <c r="H31" s="3">
        <v>37981590.135714293</v>
      </c>
      <c r="I31" s="3">
        <f t="shared" ref="I31:I39" si="22">SUM(G31:H31)</f>
        <v>55567644.861428574</v>
      </c>
      <c r="K31" s="2">
        <f t="shared" si="14"/>
        <v>8.8084276490631499</v>
      </c>
      <c r="L31" s="3">
        <f t="shared" si="14"/>
        <v>12.56239516022517</v>
      </c>
      <c r="M31" s="3">
        <f t="shared" si="14"/>
        <v>11.06938718798629</v>
      </c>
      <c r="O31" s="5">
        <f t="shared" ref="O31:O39" si="23">G31/SUM($G$7:$G$15)</f>
        <v>0.33394856242851717</v>
      </c>
      <c r="P31" s="5">
        <f t="shared" si="15"/>
        <v>0.18848915472056285</v>
      </c>
      <c r="Q31" s="5">
        <f t="shared" si="16"/>
        <v>0.21861942134861889</v>
      </c>
      <c r="S31" s="6">
        <f t="shared" ref="S31:S39" si="24">G31/G$3</f>
        <v>7.5235460403850235E-2</v>
      </c>
      <c r="T31" s="6">
        <f t="shared" si="17"/>
        <v>2.8068777782506216E-2</v>
      </c>
      <c r="U31" s="7">
        <f t="shared" si="17"/>
        <v>4.0507327186665436E-2</v>
      </c>
      <c r="AI31" s="1">
        <f t="shared" si="18"/>
        <v>0</v>
      </c>
      <c r="AJ31" s="1">
        <f t="shared" si="18"/>
        <v>0</v>
      </c>
      <c r="AK31" s="1">
        <f t="shared" si="18"/>
        <v>0</v>
      </c>
      <c r="AM31" s="1">
        <f t="shared" ref="AM31:AM37" si="25">IFERROR(AA31/C31,0)*1000000</f>
        <v>0</v>
      </c>
      <c r="AN31" s="1">
        <f t="shared" si="19"/>
        <v>0</v>
      </c>
      <c r="AO31" s="1">
        <f t="shared" si="19"/>
        <v>0</v>
      </c>
      <c r="AQ31">
        <v>53</v>
      </c>
      <c r="AR31">
        <v>52</v>
      </c>
      <c r="AS31">
        <v>105</v>
      </c>
      <c r="AU31" s="3">
        <v>39214804.320754714</v>
      </c>
      <c r="AV31" s="3">
        <v>56972636.269230776</v>
      </c>
      <c r="AW31" s="3">
        <v>48009159.190476179</v>
      </c>
      <c r="BC31" s="3">
        <f t="shared" si="20"/>
        <v>158.31882180153301</v>
      </c>
      <c r="BD31" s="3">
        <f t="shared" si="20"/>
        <v>109.05381582137025</v>
      </c>
      <c r="BE31" s="3">
        <f t="shared" si="20"/>
        <v>120.96674059823837</v>
      </c>
    </row>
    <row r="32" spans="1:57" x14ac:dyDescent="0.25">
      <c r="B32" t="s">
        <v>3</v>
      </c>
      <c r="C32" s="3">
        <v>361453745</v>
      </c>
      <c r="D32" s="3">
        <v>389099161</v>
      </c>
      <c r="E32" s="3">
        <f t="shared" si="21"/>
        <v>750552906</v>
      </c>
      <c r="G32" s="3">
        <v>481306.29000000004</v>
      </c>
      <c r="H32" s="3">
        <v>1421886.0900000003</v>
      </c>
      <c r="I32" s="3">
        <f t="shared" si="22"/>
        <v>1903192.3800000004</v>
      </c>
      <c r="K32" s="2">
        <f t="shared" si="14"/>
        <v>1.3315847370733427</v>
      </c>
      <c r="L32" s="3">
        <f t="shared" si="14"/>
        <v>3.654302636751253</v>
      </c>
      <c r="M32" s="3">
        <f t="shared" si="14"/>
        <v>2.5357204865715359</v>
      </c>
      <c r="O32" s="5">
        <f t="shared" si="23"/>
        <v>9.1397158794395052E-3</v>
      </c>
      <c r="P32" s="5">
        <f t="shared" si="15"/>
        <v>7.0563161325100732E-3</v>
      </c>
      <c r="Q32" s="5">
        <f t="shared" si="16"/>
        <v>7.4877173194632341E-3</v>
      </c>
      <c r="S32" s="6">
        <f t="shared" si="24"/>
        <v>2.0590917569744049E-3</v>
      </c>
      <c r="T32" s="6">
        <f t="shared" si="17"/>
        <v>1.0507881463003438E-3</v>
      </c>
      <c r="U32" s="7">
        <f t="shared" si="17"/>
        <v>1.3873763523373941E-3</v>
      </c>
      <c r="AI32" s="1">
        <f t="shared" si="18"/>
        <v>0</v>
      </c>
      <c r="AJ32" s="1">
        <f t="shared" si="18"/>
        <v>0</v>
      </c>
      <c r="AK32" s="1">
        <f t="shared" si="18"/>
        <v>0</v>
      </c>
      <c r="AM32" s="1">
        <f t="shared" si="25"/>
        <v>0</v>
      </c>
      <c r="AN32" s="1">
        <f t="shared" si="19"/>
        <v>0</v>
      </c>
      <c r="AO32" s="1">
        <f t="shared" si="19"/>
        <v>0</v>
      </c>
      <c r="AQ32">
        <v>52</v>
      </c>
      <c r="AR32">
        <v>48</v>
      </c>
      <c r="AS32">
        <v>100</v>
      </c>
      <c r="AU32" s="3">
        <v>7173813.8846153859</v>
      </c>
      <c r="AV32" s="3">
        <v>8051009.4166666642</v>
      </c>
      <c r="AW32" s="3">
        <v>7594867.7399999993</v>
      </c>
      <c r="BC32" s="3">
        <f t="shared" si="20"/>
        <v>4.3329698415556361</v>
      </c>
      <c r="BD32" s="3">
        <f t="shared" si="20"/>
        <v>4.0825595564526562</v>
      </c>
      <c r="BE32" s="3">
        <f t="shared" si="20"/>
        <v>4.1431120486412718</v>
      </c>
    </row>
    <row r="33" spans="2:57" x14ac:dyDescent="0.25">
      <c r="B33" t="s">
        <v>4</v>
      </c>
      <c r="C33" s="3">
        <v>533034211</v>
      </c>
      <c r="D33" s="3">
        <v>1549527947.1428566</v>
      </c>
      <c r="E33" s="3">
        <f t="shared" si="21"/>
        <v>2082562158.1428566</v>
      </c>
      <c r="G33" s="3">
        <v>5436189.879999999</v>
      </c>
      <c r="H33" s="3">
        <v>10851116.98</v>
      </c>
      <c r="I33" s="3">
        <f t="shared" si="22"/>
        <v>16287306.859999999</v>
      </c>
      <c r="K33" s="2">
        <f t="shared" si="14"/>
        <v>10.198575940935241</v>
      </c>
      <c r="L33" s="3">
        <f t="shared" si="14"/>
        <v>7.0028533528602415</v>
      </c>
      <c r="M33" s="3">
        <f t="shared" si="14"/>
        <v>7.820802272967617</v>
      </c>
      <c r="O33" s="5">
        <f t="shared" si="23"/>
        <v>0.10322996395888431</v>
      </c>
      <c r="P33" s="5">
        <f t="shared" si="15"/>
        <v>5.3850243236944505E-2</v>
      </c>
      <c r="Q33" s="5">
        <f t="shared" si="16"/>
        <v>6.4079044737996652E-2</v>
      </c>
      <c r="S33" s="6">
        <f t="shared" si="24"/>
        <v>2.3256736934095905E-2</v>
      </c>
      <c r="T33" s="6">
        <f t="shared" si="17"/>
        <v>8.0190847754213444E-3</v>
      </c>
      <c r="U33" s="7">
        <f t="shared" si="17"/>
        <v>1.1873011167072144E-2</v>
      </c>
      <c r="AI33" s="1">
        <f t="shared" si="18"/>
        <v>0</v>
      </c>
      <c r="AJ33" s="1">
        <f t="shared" si="18"/>
        <v>0</v>
      </c>
      <c r="AK33" s="1">
        <f t="shared" si="18"/>
        <v>0</v>
      </c>
      <c r="AM33" s="1">
        <f t="shared" si="25"/>
        <v>0</v>
      </c>
      <c r="AN33" s="1">
        <f t="shared" si="19"/>
        <v>0</v>
      </c>
      <c r="AO33" s="1">
        <f t="shared" si="19"/>
        <v>0</v>
      </c>
      <c r="AQ33">
        <v>53</v>
      </c>
      <c r="AR33">
        <v>52</v>
      </c>
      <c r="AS33">
        <v>105</v>
      </c>
      <c r="AU33" s="3">
        <v>10117132.792452833</v>
      </c>
      <c r="AV33" s="3">
        <v>7709113.788461538</v>
      </c>
      <c r="AW33" s="3">
        <v>8924590.0476190504</v>
      </c>
      <c r="BC33" s="3">
        <f t="shared" si="20"/>
        <v>48.939411955347488</v>
      </c>
      <c r="BD33" s="3">
        <f t="shared" si="20"/>
        <v>31.156033972373042</v>
      </c>
      <c r="BE33" s="3">
        <f t="shared" si="20"/>
        <v>35.456288077185143</v>
      </c>
    </row>
    <row r="34" spans="2:57" x14ac:dyDescent="0.25">
      <c r="B34" t="s">
        <v>5</v>
      </c>
      <c r="C34" s="3">
        <v>578094390</v>
      </c>
      <c r="D34" s="3">
        <v>2531247168.4285717</v>
      </c>
      <c r="E34" s="3">
        <f t="shared" si="21"/>
        <v>3109341558.4285717</v>
      </c>
      <c r="G34" s="3">
        <v>9857143.9100000001</v>
      </c>
      <c r="H34" s="3">
        <v>50264318.289999999</v>
      </c>
      <c r="I34" s="3">
        <f t="shared" si="22"/>
        <v>60121462.200000003</v>
      </c>
      <c r="K34" s="2">
        <f t="shared" si="14"/>
        <v>17.051097676280857</v>
      </c>
      <c r="L34" s="3">
        <f t="shared" si="14"/>
        <v>19.857530673784293</v>
      </c>
      <c r="M34" s="3">
        <f t="shared" si="14"/>
        <v>19.33575358970365</v>
      </c>
      <c r="O34" s="5">
        <f t="shared" si="23"/>
        <v>0.1871812120305916</v>
      </c>
      <c r="P34" s="5">
        <f t="shared" si="15"/>
        <v>0.24944397623254619</v>
      </c>
      <c r="Q34" s="5">
        <f t="shared" si="16"/>
        <v>0.23653547508759681</v>
      </c>
      <c r="S34" s="6">
        <f t="shared" si="24"/>
        <v>4.2170161068103749E-2</v>
      </c>
      <c r="T34" s="6">
        <f t="shared" si="17"/>
        <v>3.7145837639497234E-2</v>
      </c>
      <c r="U34" s="7">
        <f t="shared" si="17"/>
        <v>4.3826938254253892E-2</v>
      </c>
      <c r="AI34" s="1">
        <f t="shared" si="18"/>
        <v>0</v>
      </c>
      <c r="AJ34" s="1">
        <f t="shared" si="18"/>
        <v>0</v>
      </c>
      <c r="AK34" s="1">
        <f t="shared" si="18"/>
        <v>0</v>
      </c>
      <c r="AM34" s="1">
        <f t="shared" si="25"/>
        <v>0</v>
      </c>
      <c r="AN34" s="1">
        <f t="shared" si="19"/>
        <v>0</v>
      </c>
      <c r="AO34" s="1">
        <f t="shared" si="19"/>
        <v>0</v>
      </c>
      <c r="AQ34">
        <v>48</v>
      </c>
      <c r="AR34">
        <v>52</v>
      </c>
      <c r="AS34">
        <v>100</v>
      </c>
      <c r="AU34" s="3">
        <v>12043633.124999998</v>
      </c>
      <c r="AV34" s="3">
        <v>49022856.384615384</v>
      </c>
      <c r="AW34" s="3">
        <v>31272829.219999995</v>
      </c>
      <c r="BC34" s="3">
        <f t="shared" si="20"/>
        <v>88.73914214980195</v>
      </c>
      <c r="BD34" s="3">
        <f t="shared" si="20"/>
        <v>144.32033228724916</v>
      </c>
      <c r="BE34" s="3">
        <f t="shared" si="20"/>
        <v>130.88007131614867</v>
      </c>
    </row>
    <row r="35" spans="2:57" x14ac:dyDescent="0.25">
      <c r="B35" t="s">
        <v>6</v>
      </c>
      <c r="C35" s="3">
        <v>144407</v>
      </c>
      <c r="D35" s="3">
        <v>44326062</v>
      </c>
      <c r="E35" s="3">
        <f t="shared" si="21"/>
        <v>44470469</v>
      </c>
      <c r="G35" s="3">
        <v>8835.5299999999988</v>
      </c>
      <c r="H35" s="3">
        <v>312090.9800000001</v>
      </c>
      <c r="I35" s="3">
        <f t="shared" si="22"/>
        <v>320926.51000000013</v>
      </c>
      <c r="K35" s="2">
        <f t="shared" si="14"/>
        <v>61.184914858697979</v>
      </c>
      <c r="L35" s="3">
        <f t="shared" si="14"/>
        <v>7.0408009626481167</v>
      </c>
      <c r="M35" s="3">
        <f t="shared" si="14"/>
        <v>7.216620764669698</v>
      </c>
      <c r="O35" s="5">
        <f t="shared" si="23"/>
        <v>1.6778138063448976E-4</v>
      </c>
      <c r="P35" s="5">
        <f t="shared" si="15"/>
        <v>1.5487967935496709E-3</v>
      </c>
      <c r="Q35" s="5">
        <f t="shared" si="16"/>
        <v>1.2626190670235297E-3</v>
      </c>
      <c r="S35" s="6">
        <f t="shared" si="24"/>
        <v>3.7799562086545882E-5</v>
      </c>
      <c r="T35" s="6">
        <f t="shared" si="17"/>
        <v>2.3063837859983404E-4</v>
      </c>
      <c r="U35" s="7">
        <f t="shared" si="17"/>
        <v>2.3394684399281291E-4</v>
      </c>
      <c r="AI35" s="1">
        <f t="shared" si="18"/>
        <v>0</v>
      </c>
      <c r="AJ35" s="1">
        <f t="shared" si="18"/>
        <v>0</v>
      </c>
      <c r="AK35" s="1">
        <f t="shared" si="18"/>
        <v>0</v>
      </c>
      <c r="AM35" s="1">
        <f t="shared" si="25"/>
        <v>0</v>
      </c>
      <c r="AN35" s="1">
        <f t="shared" si="19"/>
        <v>0</v>
      </c>
      <c r="AO35" s="1">
        <f t="shared" si="19"/>
        <v>0</v>
      </c>
      <c r="AQ35">
        <v>8</v>
      </c>
      <c r="AR35">
        <v>51</v>
      </c>
      <c r="AS35">
        <v>59</v>
      </c>
      <c r="AU35" s="3">
        <v>2.5485250000000001E-2</v>
      </c>
      <c r="AV35" s="3">
        <v>6.7504450980392164E-2</v>
      </c>
      <c r="AW35" s="3">
        <v>6.1806932203389828E-2</v>
      </c>
      <c r="BC35" s="3">
        <f t="shared" si="20"/>
        <v>7.9542041771696062E-2</v>
      </c>
      <c r="BD35" s="3">
        <f t="shared" si="20"/>
        <v>0.89608444856625247</v>
      </c>
      <c r="BE35" s="3">
        <f t="shared" si="20"/>
        <v>0.6986337819981151</v>
      </c>
    </row>
    <row r="36" spans="2:57" x14ac:dyDescent="0.25">
      <c r="B36" t="s">
        <v>8</v>
      </c>
      <c r="C36" s="3">
        <v>0</v>
      </c>
      <c r="D36" s="3">
        <v>253145233</v>
      </c>
      <c r="E36" s="3">
        <f t="shared" si="21"/>
        <v>253145233</v>
      </c>
      <c r="G36" s="3">
        <v>0</v>
      </c>
      <c r="H36" s="3">
        <v>968752.01000000024</v>
      </c>
      <c r="I36" s="3">
        <f t="shared" si="22"/>
        <v>968752.01000000024</v>
      </c>
      <c r="K36" s="2">
        <f t="shared" si="14"/>
        <v>0</v>
      </c>
      <c r="L36" s="3">
        <f t="shared" si="14"/>
        <v>3.8268625425784744</v>
      </c>
      <c r="M36" s="3">
        <f t="shared" si="14"/>
        <v>3.8268625425784744</v>
      </c>
      <c r="O36" s="5">
        <f t="shared" si="23"/>
        <v>0</v>
      </c>
      <c r="P36" s="5">
        <f t="shared" si="15"/>
        <v>4.8075724804119572E-3</v>
      </c>
      <c r="Q36" s="5">
        <f t="shared" si="16"/>
        <v>3.8113546900297177E-3</v>
      </c>
      <c r="S36" s="6">
        <f t="shared" si="24"/>
        <v>0</v>
      </c>
      <c r="T36" s="6">
        <f t="shared" si="17"/>
        <v>7.1591749576271056E-4</v>
      </c>
      <c r="U36" s="7">
        <f t="shared" si="17"/>
        <v>7.0619431019018619E-4</v>
      </c>
      <c r="AI36" s="1">
        <f t="shared" si="18"/>
        <v>0</v>
      </c>
      <c r="AJ36" s="1">
        <f t="shared" si="18"/>
        <v>0</v>
      </c>
      <c r="AK36" s="1">
        <f t="shared" si="18"/>
        <v>0</v>
      </c>
      <c r="AM36" s="1">
        <f t="shared" si="25"/>
        <v>0</v>
      </c>
      <c r="AN36" s="1">
        <f t="shared" si="19"/>
        <v>0</v>
      </c>
      <c r="AO36" s="1">
        <f t="shared" si="19"/>
        <v>0</v>
      </c>
      <c r="AQ36">
        <v>0</v>
      </c>
      <c r="AR36">
        <v>43</v>
      </c>
      <c r="AS36">
        <v>43</v>
      </c>
      <c r="AU36" s="3">
        <v>0</v>
      </c>
      <c r="AV36" s="3">
        <v>5.9115191162790701</v>
      </c>
      <c r="AW36" s="3">
        <v>5.9115191162790701</v>
      </c>
      <c r="BC36" s="3">
        <f t="shared" si="20"/>
        <v>0</v>
      </c>
      <c r="BD36" s="3">
        <f t="shared" si="20"/>
        <v>2.7815081700800794</v>
      </c>
      <c r="BE36" s="3">
        <f t="shared" si="20"/>
        <v>2.1089030026362598</v>
      </c>
    </row>
    <row r="37" spans="2:57" x14ac:dyDescent="0.25">
      <c r="B37" t="s">
        <v>9</v>
      </c>
      <c r="C37" s="3">
        <v>0</v>
      </c>
      <c r="D37" s="3">
        <v>125614</v>
      </c>
      <c r="E37" s="3">
        <f t="shared" si="21"/>
        <v>125614</v>
      </c>
      <c r="G37" s="3">
        <v>0</v>
      </c>
      <c r="H37" s="3">
        <v>13281.500000000004</v>
      </c>
      <c r="I37" s="3">
        <f t="shared" si="22"/>
        <v>13281.500000000004</v>
      </c>
      <c r="K37" s="2">
        <f t="shared" si="14"/>
        <v>0</v>
      </c>
      <c r="L37" s="3">
        <f t="shared" si="14"/>
        <v>105.73264126610094</v>
      </c>
      <c r="M37" s="3">
        <f t="shared" si="14"/>
        <v>105.73264126610094</v>
      </c>
      <c r="O37" s="5">
        <f t="shared" si="23"/>
        <v>0</v>
      </c>
      <c r="P37" s="5">
        <f t="shared" si="15"/>
        <v>6.5911371785015873E-5</v>
      </c>
      <c r="Q37" s="5">
        <f t="shared" si="16"/>
        <v>5.2253318489248547E-5</v>
      </c>
      <c r="S37" s="6">
        <f t="shared" si="24"/>
        <v>0</v>
      </c>
      <c r="T37" s="6">
        <f t="shared" si="17"/>
        <v>9.8151623138025184E-6</v>
      </c>
      <c r="U37" s="7">
        <f t="shared" si="17"/>
        <v>9.6818583434897424E-6</v>
      </c>
      <c r="AI37" s="1">
        <f t="shared" si="18"/>
        <v>0</v>
      </c>
      <c r="AJ37" s="1">
        <f t="shared" si="18"/>
        <v>0</v>
      </c>
      <c r="AK37" s="1">
        <f t="shared" si="18"/>
        <v>0</v>
      </c>
      <c r="AM37" s="1">
        <f t="shared" si="25"/>
        <v>0</v>
      </c>
      <c r="AN37" s="1">
        <f t="shared" si="19"/>
        <v>0</v>
      </c>
      <c r="AO37" s="3">
        <f t="shared" si="19"/>
        <v>0</v>
      </c>
      <c r="AQ37">
        <v>0</v>
      </c>
      <c r="AR37">
        <v>40</v>
      </c>
      <c r="AS37">
        <v>40</v>
      </c>
      <c r="AU37" s="3">
        <v>0</v>
      </c>
      <c r="AV37" s="3">
        <v>3.3326000000000002E-3</v>
      </c>
      <c r="AW37" s="3">
        <v>3.3326000000000002E-3</v>
      </c>
      <c r="BC37" s="3">
        <f t="shared" si="20"/>
        <v>0</v>
      </c>
      <c r="BD37" s="3">
        <f t="shared" si="20"/>
        <v>3.8134218437305308E-2</v>
      </c>
      <c r="BE37" s="3">
        <f t="shared" si="20"/>
        <v>2.8912864118355208E-2</v>
      </c>
    </row>
    <row r="38" spans="2:57" x14ac:dyDescent="0.25">
      <c r="B38" t="s">
        <v>36</v>
      </c>
      <c r="C38" s="3">
        <v>0</v>
      </c>
      <c r="D38" s="3">
        <v>0</v>
      </c>
      <c r="E38" s="3">
        <f t="shared" si="21"/>
        <v>0</v>
      </c>
      <c r="G38" s="3">
        <v>0</v>
      </c>
      <c r="H38" s="3">
        <v>1431973.6880000008</v>
      </c>
      <c r="I38" s="3">
        <f t="shared" si="22"/>
        <v>1431973.6880000008</v>
      </c>
      <c r="K38" s="2">
        <f t="shared" si="14"/>
        <v>0</v>
      </c>
      <c r="L38" s="3">
        <f t="shared" si="14"/>
        <v>0</v>
      </c>
      <c r="M38" s="3">
        <f t="shared" si="14"/>
        <v>0</v>
      </c>
      <c r="O38" s="5">
        <f t="shared" si="23"/>
        <v>0</v>
      </c>
      <c r="P38" s="5">
        <f t="shared" si="15"/>
        <v>7.1063773019710381E-3</v>
      </c>
      <c r="Q38" s="5">
        <f t="shared" si="16"/>
        <v>5.6338047048366414E-3</v>
      </c>
      <c r="S38" s="6">
        <f t="shared" si="24"/>
        <v>0</v>
      </c>
      <c r="T38" s="6">
        <f t="shared" si="17"/>
        <v>1.0582429828569372E-3</v>
      </c>
      <c r="U38" s="7">
        <f t="shared" si="17"/>
        <v>1.0438705265836375E-3</v>
      </c>
      <c r="AI38" s="1">
        <f t="shared" si="18"/>
        <v>0</v>
      </c>
      <c r="AJ38" s="1">
        <f t="shared" si="18"/>
        <v>0</v>
      </c>
      <c r="AK38" s="1">
        <f t="shared" si="18"/>
        <v>0</v>
      </c>
      <c r="AQ38">
        <v>0</v>
      </c>
      <c r="AR38">
        <v>20</v>
      </c>
      <c r="AS38">
        <v>20</v>
      </c>
      <c r="AU38" s="3">
        <v>0</v>
      </c>
      <c r="AV38" s="3">
        <v>73135.349600000045</v>
      </c>
      <c r="AW38" s="3">
        <v>73135.349600000045</v>
      </c>
      <c r="BC38" s="3">
        <f t="shared" si="20"/>
        <v>0</v>
      </c>
      <c r="BD38" s="3">
        <f t="shared" si="20"/>
        <v>4.1115233531352402</v>
      </c>
      <c r="BE38" s="3">
        <f t="shared" si="20"/>
        <v>3.1173030653317761</v>
      </c>
    </row>
    <row r="39" spans="2:57" x14ac:dyDescent="0.25">
      <c r="B39" t="s">
        <v>35</v>
      </c>
      <c r="C39" s="3">
        <v>0</v>
      </c>
      <c r="D39" s="3">
        <v>915.65939999999978</v>
      </c>
      <c r="E39" s="3">
        <f t="shared" si="21"/>
        <v>915.65939999999978</v>
      </c>
      <c r="G39" s="3">
        <v>0</v>
      </c>
      <c r="H39" s="3">
        <v>11810336.08</v>
      </c>
      <c r="I39" s="3">
        <f t="shared" si="22"/>
        <v>11810336.08</v>
      </c>
      <c r="K39" s="2">
        <f t="shared" si="14"/>
        <v>0</v>
      </c>
      <c r="L39" s="3">
        <f>IFERROR(H39/D39,0)</f>
        <v>12898.175981156315</v>
      </c>
      <c r="M39" s="3">
        <f>IFERROR(I39/E39,0)</f>
        <v>12898.175981156315</v>
      </c>
      <c r="O39" s="5">
        <f t="shared" si="23"/>
        <v>0</v>
      </c>
      <c r="P39" s="5">
        <f t="shared" si="15"/>
        <v>5.8610507267617871E-2</v>
      </c>
      <c r="Q39" s="5">
        <f t="shared" si="16"/>
        <v>4.6465327911252727E-2</v>
      </c>
      <c r="S39" s="6">
        <f t="shared" si="24"/>
        <v>0</v>
      </c>
      <c r="T39" s="6">
        <f t="shared" si="17"/>
        <v>8.7279573546480554E-3</v>
      </c>
      <c r="U39" s="7">
        <f t="shared" si="17"/>
        <v>8.6094191857520545E-3</v>
      </c>
      <c r="AI39" s="1">
        <f t="shared" si="18"/>
        <v>0</v>
      </c>
      <c r="AJ39" s="1">
        <f t="shared" si="18"/>
        <v>0</v>
      </c>
      <c r="AK39" s="1">
        <f t="shared" si="18"/>
        <v>0</v>
      </c>
      <c r="AQ39">
        <v>0</v>
      </c>
      <c r="AR39">
        <v>12</v>
      </c>
      <c r="AS39">
        <v>12</v>
      </c>
      <c r="AU39" s="3">
        <v>0</v>
      </c>
      <c r="AV39" s="3">
        <v>76.333333333333329</v>
      </c>
      <c r="AW39" s="3">
        <v>76.333333333333329</v>
      </c>
      <c r="BC39" s="3">
        <f t="shared" si="20"/>
        <v>0</v>
      </c>
      <c r="BD39" s="3">
        <f t="shared" si="20"/>
        <v>33.910170981644235</v>
      </c>
      <c r="BE39" s="3">
        <f t="shared" si="20"/>
        <v>25.710246754745157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Bhat</dc:creator>
  <cp:lastModifiedBy>Kavya Bhat</cp:lastModifiedBy>
  <dcterms:created xsi:type="dcterms:W3CDTF">2022-09-15T13:22:11Z</dcterms:created>
  <dcterms:modified xsi:type="dcterms:W3CDTF">2022-09-21T12:11:51Z</dcterms:modified>
</cp:coreProperties>
</file>