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mboll-my.sharepoint.com/personal/kvba_ramboll_com/Documents/Projects/Risk assessment near frankfurt airport/3. Airport Risk with Multi contours/"/>
    </mc:Choice>
  </mc:AlternateContent>
  <xr:revisionPtr revIDLastSave="6" documentId="13_ncr:1_{6FF2DDA8-2001-48CF-8B3E-83A1D26D1921}" xr6:coauthVersionLast="47" xr6:coauthVersionMax="47" xr10:uidLastSave="{05ECC657-B5AC-4E40-8F5B-A6174AD83114}"/>
  <bookViews>
    <workbookView xWindow="-120" yWindow="-120" windowWidth="29040" windowHeight="15840" activeTab="3" xr2:uid="{8DF46740-5ECA-4E14-BCA2-525EC1D01AC9}"/>
  </bookViews>
  <sheets>
    <sheet name="From PDF" sheetId="1" r:id="rId1"/>
    <sheet name="Calculation of area, takeoff" sheetId="2" r:id="rId2"/>
    <sheet name="Calculation of area, landing" sheetId="3" r:id="rId3"/>
    <sheet name="Fast track risk calculation" sheetId="4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B18" i="5"/>
  <c r="B19" i="5" s="1"/>
  <c r="E55" i="4"/>
  <c r="D11" i="5"/>
  <c r="D7" i="5"/>
  <c r="B4" i="5"/>
  <c r="E8" i="5" s="1"/>
  <c r="D3" i="5"/>
  <c r="E11" i="5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A57" i="4"/>
  <c r="A58" i="4" s="1"/>
  <c r="A59" i="4" s="1"/>
  <c r="A60" i="4" s="1"/>
  <c r="A61" i="4" s="1"/>
  <c r="A62" i="4" s="1"/>
  <c r="A10" i="4"/>
  <c r="A11" i="4" s="1"/>
  <c r="A12" i="4" s="1"/>
  <c r="A13" i="4" s="1"/>
  <c r="A14" i="4" s="1"/>
  <c r="A15" i="4" s="1"/>
  <c r="A16" i="4" s="1"/>
  <c r="B10" i="4" l="1"/>
  <c r="B68" i="4"/>
  <c r="C68" i="4" s="1"/>
  <c r="C10" i="4"/>
  <c r="B56" i="4"/>
  <c r="D56" i="4" s="1"/>
  <c r="B55" i="4"/>
  <c r="D9" i="4"/>
  <c r="B61" i="4"/>
  <c r="D61" i="4" s="1"/>
  <c r="B57" i="4"/>
  <c r="C57" i="4" s="1"/>
  <c r="F55" i="4"/>
  <c r="H55" i="4" s="1"/>
  <c r="B58" i="4"/>
  <c r="D58" i="4" s="1"/>
  <c r="B9" i="4"/>
  <c r="B59" i="4"/>
  <c r="D59" i="4" s="1"/>
  <c r="D16" i="4"/>
  <c r="C9" i="4"/>
  <c r="B60" i="4"/>
  <c r="D60" i="4" s="1"/>
  <c r="D10" i="4"/>
  <c r="B62" i="4"/>
  <c r="D62" i="4" s="1"/>
  <c r="E9" i="5"/>
  <c r="G10" i="5" s="1"/>
  <c r="G8" i="5"/>
  <c r="H8" i="5"/>
  <c r="C19" i="5"/>
  <c r="B20" i="5"/>
  <c r="C20" i="5" s="1"/>
  <c r="D11" i="4"/>
  <c r="B16" i="4"/>
  <c r="B12" i="4"/>
  <c r="C16" i="4"/>
  <c r="C12" i="4"/>
  <c r="D12" i="4"/>
  <c r="A17" i="4"/>
  <c r="B13" i="4"/>
  <c r="T14" i="4"/>
  <c r="C11" i="4"/>
  <c r="D15" i="4"/>
  <c r="D13" i="4"/>
  <c r="B14" i="4"/>
  <c r="C13" i="4"/>
  <c r="C14" i="4"/>
  <c r="D14" i="4"/>
  <c r="B15" i="4"/>
  <c r="B11" i="4"/>
  <c r="C15" i="4"/>
  <c r="A63" i="4"/>
  <c r="O10" i="4"/>
  <c r="F16" i="4"/>
  <c r="S10" i="4"/>
  <c r="H15" i="4"/>
  <c r="I16" i="4"/>
  <c r="K17" i="4"/>
  <c r="H17" i="4"/>
  <c r="S9" i="4"/>
  <c r="T10" i="4"/>
  <c r="T11" i="4"/>
  <c r="S12" i="4"/>
  <c r="T9" i="4"/>
  <c r="E14" i="4"/>
  <c r="I15" i="4"/>
  <c r="M16" i="4"/>
  <c r="L17" i="4"/>
  <c r="G17" i="4"/>
  <c r="R12" i="4"/>
  <c r="H14" i="4"/>
  <c r="J15" i="4"/>
  <c r="N16" i="4"/>
  <c r="N17" i="4"/>
  <c r="Q12" i="4"/>
  <c r="P9" i="4"/>
  <c r="G16" i="4"/>
  <c r="F13" i="4"/>
  <c r="I14" i="4"/>
  <c r="M15" i="4"/>
  <c r="O16" i="4"/>
  <c r="R17" i="4"/>
  <c r="Q11" i="4"/>
  <c r="R11" i="4"/>
  <c r="E11" i="4"/>
  <c r="E12" i="4"/>
  <c r="J13" i="4"/>
  <c r="K14" i="4"/>
  <c r="N15" i="4"/>
  <c r="R16" i="4"/>
  <c r="S17" i="4"/>
  <c r="F9" i="4"/>
  <c r="G10" i="4"/>
  <c r="F11" i="4"/>
  <c r="F12" i="4"/>
  <c r="K13" i="4"/>
  <c r="O14" i="4"/>
  <c r="P15" i="4"/>
  <c r="S16" i="4"/>
  <c r="T17" i="4"/>
  <c r="H10" i="4"/>
  <c r="H11" i="4"/>
  <c r="G12" i="4"/>
  <c r="P14" i="4"/>
  <c r="T15" i="4"/>
  <c r="O9" i="4"/>
  <c r="G9" i="4"/>
  <c r="L13" i="4"/>
  <c r="H9" i="4"/>
  <c r="I10" i="4"/>
  <c r="L11" i="4"/>
  <c r="J12" i="4"/>
  <c r="O13" i="4"/>
  <c r="Q14" i="4"/>
  <c r="L10" i="4"/>
  <c r="K12" i="4"/>
  <c r="J9" i="4"/>
  <c r="M11" i="4"/>
  <c r="P13" i="4"/>
  <c r="N9" i="4"/>
  <c r="M10" i="4"/>
  <c r="N11" i="4"/>
  <c r="M12" i="4"/>
  <c r="R13" i="4"/>
  <c r="F17" i="4"/>
  <c r="R9" i="4"/>
  <c r="K10" i="4"/>
  <c r="P11" i="4"/>
  <c r="I12" i="4"/>
  <c r="N13" i="4"/>
  <c r="G14" i="4"/>
  <c r="S14" i="4"/>
  <c r="L15" i="4"/>
  <c r="E16" i="4"/>
  <c r="Q16" i="4"/>
  <c r="J17" i="4"/>
  <c r="I9" i="4"/>
  <c r="N10" i="4"/>
  <c r="G11" i="4"/>
  <c r="S11" i="4"/>
  <c r="L12" i="4"/>
  <c r="E13" i="4"/>
  <c r="Q13" i="4"/>
  <c r="J14" i="4"/>
  <c r="O15" i="4"/>
  <c r="H16" i="4"/>
  <c r="T16" i="4"/>
  <c r="M17" i="4"/>
  <c r="I11" i="4"/>
  <c r="G13" i="4"/>
  <c r="S13" i="4"/>
  <c r="L14" i="4"/>
  <c r="E15" i="4"/>
  <c r="Q15" i="4"/>
  <c r="J16" i="4"/>
  <c r="O17" i="4"/>
  <c r="K9" i="4"/>
  <c r="P10" i="4"/>
  <c r="N12" i="4"/>
  <c r="L9" i="4"/>
  <c r="E10" i="4"/>
  <c r="Q10" i="4"/>
  <c r="J11" i="4"/>
  <c r="O12" i="4"/>
  <c r="H13" i="4"/>
  <c r="T13" i="4"/>
  <c r="M14" i="4"/>
  <c r="F15" i="4"/>
  <c r="R15" i="4"/>
  <c r="K16" i="4"/>
  <c r="P17" i="4"/>
  <c r="M9" i="4"/>
  <c r="F10" i="4"/>
  <c r="R10" i="4"/>
  <c r="K11" i="4"/>
  <c r="P12" i="4"/>
  <c r="I13" i="4"/>
  <c r="N14" i="4"/>
  <c r="G15" i="4"/>
  <c r="S15" i="4"/>
  <c r="L16" i="4"/>
  <c r="E17" i="4"/>
  <c r="Q17" i="4"/>
  <c r="E9" i="4"/>
  <c r="Q9" i="4"/>
  <c r="J10" i="4"/>
  <c r="O11" i="4"/>
  <c r="H12" i="4"/>
  <c r="T12" i="4"/>
  <c r="M13" i="4"/>
  <c r="F14" i="4"/>
  <c r="R14" i="4"/>
  <c r="K15" i="4"/>
  <c r="P16" i="4"/>
  <c r="I17" i="4"/>
  <c r="B12" i="3"/>
  <c r="B13" i="3" s="1"/>
  <c r="C7" i="3"/>
  <c r="C12" i="3" s="1"/>
  <c r="C6" i="3"/>
  <c r="C5" i="3"/>
  <c r="B4" i="3"/>
  <c r="C6" i="2"/>
  <c r="C5" i="2"/>
  <c r="C7" i="2" s="1"/>
  <c r="B4" i="2"/>
  <c r="E1" i="1"/>
  <c r="A8" i="1" s="1"/>
  <c r="G55" i="4" l="1"/>
  <c r="C58" i="4"/>
  <c r="C56" i="4"/>
  <c r="D68" i="4"/>
  <c r="D57" i="4"/>
  <c r="C62" i="4"/>
  <c r="C60" i="4"/>
  <c r="C59" i="4"/>
  <c r="C61" i="4"/>
  <c r="H10" i="5"/>
  <c r="H9" i="5"/>
  <c r="G9" i="5"/>
  <c r="D17" i="4"/>
  <c r="C17" i="4"/>
  <c r="B17" i="4"/>
  <c r="A18" i="4"/>
  <c r="B63" i="4"/>
  <c r="A64" i="4"/>
  <c r="C13" i="3"/>
  <c r="G18" i="3"/>
  <c r="I17" i="3"/>
  <c r="D18" i="3"/>
  <c r="H16" i="3"/>
  <c r="F17" i="3"/>
  <c r="B9" i="3"/>
  <c r="H17" i="3"/>
  <c r="C9" i="3"/>
  <c r="B10" i="3"/>
  <c r="C10" i="3"/>
  <c r="F18" i="3"/>
  <c r="D5" i="1"/>
  <c r="D7" i="1" s="1"/>
  <c r="A9" i="1" s="1"/>
  <c r="B4" i="1"/>
  <c r="D3" i="1"/>
  <c r="C12" i="2"/>
  <c r="B12" i="2"/>
  <c r="C10" i="2"/>
  <c r="B10" i="2"/>
  <c r="C9" i="2"/>
  <c r="B9" i="2"/>
  <c r="A19" i="4" l="1"/>
  <c r="I18" i="4"/>
  <c r="L18" i="4"/>
  <c r="E18" i="4"/>
  <c r="K18" i="4"/>
  <c r="T18" i="4"/>
  <c r="J18" i="4"/>
  <c r="B18" i="4"/>
  <c r="F18" i="4"/>
  <c r="C18" i="4"/>
  <c r="O18" i="4"/>
  <c r="Q18" i="4"/>
  <c r="D18" i="4"/>
  <c r="S18" i="4"/>
  <c r="G18" i="4"/>
  <c r="R18" i="4"/>
  <c r="M18" i="4"/>
  <c r="P18" i="4"/>
  <c r="N18" i="4"/>
  <c r="H18" i="4"/>
  <c r="D63" i="4"/>
  <c r="C63" i="4"/>
  <c r="B64" i="4"/>
  <c r="A65" i="4"/>
  <c r="I18" i="3"/>
  <c r="C11" i="3"/>
  <c r="C16" i="3"/>
  <c r="E18" i="3"/>
  <c r="I16" i="3"/>
  <c r="H21" i="3" s="1"/>
  <c r="G17" i="3"/>
  <c r="F19" i="3" s="1"/>
  <c r="D17" i="3"/>
  <c r="B18" i="3"/>
  <c r="F16" i="3"/>
  <c r="H18" i="3"/>
  <c r="H19" i="3" s="1"/>
  <c r="B11" i="3"/>
  <c r="B16" i="3"/>
  <c r="E17" i="3"/>
  <c r="C18" i="3"/>
  <c r="G16" i="3"/>
  <c r="C11" i="2"/>
  <c r="I18" i="2"/>
  <c r="C16" i="2"/>
  <c r="G18" i="2"/>
  <c r="I17" i="2"/>
  <c r="C13" i="2"/>
  <c r="F18" i="2"/>
  <c r="H17" i="2"/>
  <c r="B13" i="2"/>
  <c r="B18" i="2"/>
  <c r="F16" i="2"/>
  <c r="D17" i="2"/>
  <c r="B11" i="2"/>
  <c r="B16" i="2"/>
  <c r="H18" i="2"/>
  <c r="C18" i="2"/>
  <c r="G16" i="2"/>
  <c r="E17" i="2"/>
  <c r="A20" i="4" l="1"/>
  <c r="K19" i="4"/>
  <c r="I19" i="4"/>
  <c r="G19" i="4"/>
  <c r="N19" i="4"/>
  <c r="F19" i="4"/>
  <c r="J19" i="4"/>
  <c r="S19" i="4"/>
  <c r="M19" i="4"/>
  <c r="O19" i="4"/>
  <c r="D19" i="4"/>
  <c r="P19" i="4"/>
  <c r="L19" i="4"/>
  <c r="B19" i="4"/>
  <c r="Q19" i="4"/>
  <c r="H19" i="4"/>
  <c r="E19" i="4"/>
  <c r="T19" i="4"/>
  <c r="R19" i="4"/>
  <c r="C19" i="4"/>
  <c r="B65" i="4"/>
  <c r="A66" i="4"/>
  <c r="D64" i="4"/>
  <c r="C64" i="4"/>
  <c r="H24" i="3"/>
  <c r="I24" i="3" s="1"/>
  <c r="H23" i="3"/>
  <c r="I23" i="3" s="1"/>
  <c r="B17" i="3"/>
  <c r="D16" i="3"/>
  <c r="H20" i="3"/>
  <c r="H22" i="3" s="1"/>
  <c r="I22" i="3" s="1"/>
  <c r="C17" i="3"/>
  <c r="E16" i="3"/>
  <c r="D19" i="3"/>
  <c r="B20" i="3"/>
  <c r="F21" i="3"/>
  <c r="F20" i="3"/>
  <c r="F22" i="3" s="1"/>
  <c r="G22" i="3" s="1"/>
  <c r="F23" i="3"/>
  <c r="G23" i="3" s="1"/>
  <c r="E18" i="2"/>
  <c r="I16" i="2"/>
  <c r="G17" i="2"/>
  <c r="B20" i="2"/>
  <c r="B17" i="2"/>
  <c r="B21" i="2" s="1"/>
  <c r="D16" i="2"/>
  <c r="C17" i="2"/>
  <c r="E16" i="2"/>
  <c r="F20" i="2"/>
  <c r="D18" i="2"/>
  <c r="H16" i="2"/>
  <c r="F17" i="2"/>
  <c r="H19" i="2"/>
  <c r="A21" i="4" l="1"/>
  <c r="F20" i="4"/>
  <c r="C20" i="4"/>
  <c r="S20" i="4"/>
  <c r="P20" i="4"/>
  <c r="O20" i="4"/>
  <c r="N20" i="4"/>
  <c r="Q20" i="4"/>
  <c r="H20" i="4"/>
  <c r="L20" i="4"/>
  <c r="R20" i="4"/>
  <c r="J20" i="4"/>
  <c r="T20" i="4"/>
  <c r="M20" i="4"/>
  <c r="D20" i="4"/>
  <c r="E20" i="4"/>
  <c r="B20" i="4"/>
  <c r="K20" i="4"/>
  <c r="G20" i="4"/>
  <c r="I20" i="4"/>
  <c r="C65" i="4"/>
  <c r="D65" i="4"/>
  <c r="A67" i="4"/>
  <c r="B66" i="4"/>
  <c r="D66" i="4" s="1"/>
  <c r="H25" i="3"/>
  <c r="B19" i="3"/>
  <c r="B23" i="3" s="1"/>
  <c r="C23" i="3" s="1"/>
  <c r="F24" i="3"/>
  <c r="B21" i="3"/>
  <c r="B22" i="3" s="1"/>
  <c r="C22" i="3" s="1"/>
  <c r="D21" i="3"/>
  <c r="D23" i="3" s="1"/>
  <c r="E23" i="3" s="1"/>
  <c r="D20" i="3"/>
  <c r="F19" i="2"/>
  <c r="D19" i="2"/>
  <c r="B19" i="2"/>
  <c r="B24" i="2" s="1"/>
  <c r="C24" i="2" s="1"/>
  <c r="H20" i="2"/>
  <c r="H24" i="2" s="1"/>
  <c r="I24" i="2" s="1"/>
  <c r="H21" i="2"/>
  <c r="F21" i="2"/>
  <c r="D21" i="2"/>
  <c r="D20" i="2"/>
  <c r="C21" i="4" l="1"/>
  <c r="H21" i="4"/>
  <c r="L21" i="4"/>
  <c r="J21" i="4"/>
  <c r="D21" i="4"/>
  <c r="I21" i="4"/>
  <c r="B21" i="4"/>
  <c r="G21" i="4"/>
  <c r="E21" i="4"/>
  <c r="S21" i="4"/>
  <c r="K21" i="4"/>
  <c r="Q21" i="4"/>
  <c r="A22" i="4"/>
  <c r="F21" i="4"/>
  <c r="T21" i="4"/>
  <c r="M21" i="4"/>
  <c r="O21" i="4"/>
  <c r="P21" i="4"/>
  <c r="R21" i="4"/>
  <c r="N21" i="4"/>
  <c r="C66" i="4"/>
  <c r="B67" i="4"/>
  <c r="C67" i="4" s="1"/>
  <c r="D22" i="3"/>
  <c r="E22" i="3" s="1"/>
  <c r="B24" i="3"/>
  <c r="C24" i="3" s="1"/>
  <c r="D24" i="3"/>
  <c r="E24" i="3" s="1"/>
  <c r="G24" i="3"/>
  <c r="F25" i="3"/>
  <c r="B23" i="2"/>
  <c r="C23" i="2" s="1"/>
  <c r="F22" i="2"/>
  <c r="G22" i="2" s="1"/>
  <c r="B22" i="2"/>
  <c r="C22" i="2" s="1"/>
  <c r="H23" i="2"/>
  <c r="I23" i="2" s="1"/>
  <c r="F24" i="2"/>
  <c r="D22" i="2"/>
  <c r="E22" i="2" s="1"/>
  <c r="G24" i="2"/>
  <c r="F25" i="2"/>
  <c r="B25" i="2"/>
  <c r="H25" i="2"/>
  <c r="D23" i="2"/>
  <c r="E23" i="2" s="1"/>
  <c r="D24" i="2"/>
  <c r="E24" i="2" s="1"/>
  <c r="H22" i="2"/>
  <c r="I22" i="2" s="1"/>
  <c r="F23" i="2"/>
  <c r="G23" i="2" s="1"/>
  <c r="R22" i="4" l="1"/>
  <c r="A23" i="4"/>
  <c r="N22" i="4"/>
  <c r="C22" i="4"/>
  <c r="O22" i="4"/>
  <c r="D22" i="4"/>
  <c r="L22" i="4"/>
  <c r="J22" i="4"/>
  <c r="M22" i="4"/>
  <c r="F22" i="4"/>
  <c r="H22" i="4"/>
  <c r="K22" i="4"/>
  <c r="G22" i="4"/>
  <c r="P22" i="4"/>
  <c r="T22" i="4"/>
  <c r="E22" i="4"/>
  <c r="B22" i="4"/>
  <c r="S22" i="4"/>
  <c r="I22" i="4"/>
  <c r="Q22" i="4"/>
  <c r="D67" i="4"/>
  <c r="B25" i="3"/>
  <c r="D25" i="3"/>
  <c r="B26" i="3" s="1"/>
  <c r="B27" i="3" s="1"/>
  <c r="D25" i="2"/>
  <c r="B26" i="2" s="1"/>
  <c r="B27" i="2" s="1"/>
  <c r="A24" i="4" l="1"/>
  <c r="A25" i="4" s="1"/>
  <c r="R23" i="4"/>
  <c r="M23" i="4"/>
  <c r="Q23" i="4"/>
  <c r="O23" i="4"/>
  <c r="C23" i="4"/>
  <c r="K23" i="4"/>
  <c r="F23" i="4"/>
  <c r="L23" i="4"/>
  <c r="G23" i="4"/>
  <c r="B23" i="4"/>
  <c r="D23" i="4"/>
  <c r="P23" i="4"/>
  <c r="J23" i="4"/>
  <c r="N23" i="4"/>
  <c r="S23" i="4"/>
  <c r="H23" i="4"/>
  <c r="E23" i="4"/>
  <c r="I23" i="4"/>
  <c r="T23" i="4"/>
  <c r="B25" i="4" l="1"/>
  <c r="N25" i="4"/>
  <c r="J25" i="4"/>
  <c r="S25" i="4"/>
  <c r="A26" i="4"/>
  <c r="P25" i="4"/>
  <c r="K25" i="4"/>
  <c r="E25" i="4"/>
  <c r="L25" i="4"/>
  <c r="M25" i="4"/>
  <c r="I25" i="4"/>
  <c r="D25" i="4"/>
  <c r="Q25" i="4"/>
  <c r="C25" i="4"/>
  <c r="H25" i="4"/>
  <c r="T25" i="4"/>
  <c r="R25" i="4"/>
  <c r="G25" i="4"/>
  <c r="F25" i="4"/>
  <c r="O25" i="4"/>
  <c r="C24" i="4"/>
  <c r="K24" i="4"/>
  <c r="D24" i="4"/>
  <c r="S24" i="4"/>
  <c r="N24" i="4"/>
  <c r="G24" i="4"/>
  <c r="I24" i="4"/>
  <c r="M24" i="4"/>
  <c r="P24" i="4"/>
  <c r="O24" i="4"/>
  <c r="L24" i="4"/>
  <c r="H24" i="4"/>
  <c r="Q24" i="4"/>
  <c r="T24" i="4"/>
  <c r="E24" i="4"/>
  <c r="J24" i="4"/>
  <c r="B24" i="4"/>
  <c r="F24" i="4"/>
  <c r="R24" i="4"/>
  <c r="S26" i="4" l="1"/>
  <c r="M26" i="4"/>
  <c r="T26" i="4"/>
  <c r="Q26" i="4"/>
  <c r="O26" i="4"/>
  <c r="H26" i="4"/>
  <c r="C26" i="4"/>
  <c r="I26" i="4"/>
  <c r="B26" i="4"/>
  <c r="J26" i="4"/>
  <c r="D26" i="4"/>
  <c r="E26" i="4"/>
  <c r="P26" i="4"/>
  <c r="A27" i="4"/>
  <c r="L26" i="4"/>
  <c r="F26" i="4"/>
  <c r="K26" i="4"/>
  <c r="N26" i="4"/>
  <c r="R26" i="4"/>
  <c r="G26" i="4"/>
  <c r="M27" i="4" l="1"/>
  <c r="Q27" i="4"/>
  <c r="R27" i="4"/>
  <c r="P27" i="4"/>
  <c r="O27" i="4"/>
  <c r="G27" i="4"/>
  <c r="K27" i="4"/>
  <c r="B27" i="4"/>
  <c r="H27" i="4"/>
  <c r="J27" i="4"/>
  <c r="S27" i="4"/>
  <c r="I27" i="4"/>
  <c r="N27" i="4"/>
  <c r="T27" i="4"/>
  <c r="D27" i="4"/>
  <c r="A28" i="4"/>
  <c r="C27" i="4"/>
  <c r="F27" i="4"/>
  <c r="L27" i="4"/>
  <c r="E27" i="4"/>
  <c r="M28" i="4" l="1"/>
  <c r="Q28" i="4"/>
  <c r="A29" i="4"/>
  <c r="B28" i="4"/>
  <c r="S28" i="4"/>
  <c r="K28" i="4"/>
  <c r="N28" i="4"/>
  <c r="F28" i="4"/>
  <c r="L28" i="4"/>
  <c r="T28" i="4"/>
  <c r="C28" i="4"/>
  <c r="R28" i="4"/>
  <c r="J28" i="4"/>
  <c r="P28" i="4"/>
  <c r="I28" i="4"/>
  <c r="O28" i="4"/>
  <c r="G28" i="4"/>
  <c r="E28" i="4"/>
  <c r="D28" i="4"/>
  <c r="H28" i="4"/>
  <c r="E29" i="4" l="1"/>
  <c r="K29" i="4"/>
  <c r="P29" i="4"/>
  <c r="G29" i="4"/>
  <c r="C29" i="4"/>
  <c r="S29" i="4"/>
  <c r="T29" i="4"/>
  <c r="Q29" i="4"/>
  <c r="I29" i="4"/>
  <c r="B29" i="4"/>
  <c r="J29" i="4"/>
  <c r="D29" i="4"/>
  <c r="R29" i="4"/>
  <c r="A30" i="4"/>
  <c r="N29" i="4"/>
  <c r="F29" i="4"/>
  <c r="L29" i="4"/>
  <c r="M29" i="4"/>
  <c r="H29" i="4"/>
  <c r="O29" i="4"/>
  <c r="A31" i="4" l="1"/>
  <c r="N30" i="4"/>
  <c r="F30" i="4"/>
  <c r="M30" i="4"/>
  <c r="K30" i="4"/>
  <c r="O30" i="4"/>
  <c r="R30" i="4"/>
  <c r="Q30" i="4"/>
  <c r="B30" i="4"/>
  <c r="C30" i="4"/>
  <c r="D30" i="4"/>
  <c r="G30" i="4"/>
  <c r="H30" i="4"/>
  <c r="L30" i="4"/>
  <c r="E30" i="4"/>
  <c r="J30" i="4"/>
  <c r="P30" i="4"/>
  <c r="T30" i="4"/>
  <c r="S30" i="4"/>
  <c r="I30" i="4"/>
  <c r="C31" i="4" l="1"/>
  <c r="G31" i="4"/>
  <c r="L31" i="4"/>
  <c r="O31" i="4"/>
  <c r="H31" i="4"/>
  <c r="N31" i="4"/>
  <c r="D31" i="4"/>
  <c r="F31" i="4"/>
  <c r="J31" i="4"/>
  <c r="P31" i="4"/>
  <c r="R31" i="4"/>
  <c r="K31" i="4"/>
  <c r="S31" i="4"/>
  <c r="T31" i="4"/>
  <c r="B31" i="4"/>
  <c r="M31" i="4"/>
  <c r="E31" i="4"/>
  <c r="I31" i="4"/>
  <c r="Q31" i="4"/>
  <c r="A32" i="4"/>
  <c r="Q32" i="4" l="1"/>
  <c r="I32" i="4"/>
  <c r="C32" i="4"/>
  <c r="D32" i="4"/>
  <c r="O32" i="4"/>
  <c r="J32" i="4"/>
  <c r="F32" i="4"/>
  <c r="A33" i="4"/>
  <c r="B32" i="4"/>
  <c r="N32" i="4"/>
  <c r="R32" i="4"/>
  <c r="T32" i="4"/>
  <c r="M32" i="4"/>
  <c r="G32" i="4"/>
  <c r="K32" i="4"/>
  <c r="H32" i="4"/>
  <c r="S32" i="4"/>
  <c r="L32" i="4"/>
  <c r="P32" i="4"/>
  <c r="E32" i="4"/>
  <c r="L33" i="4" l="1"/>
  <c r="I33" i="4"/>
  <c r="R33" i="4"/>
  <c r="M33" i="4"/>
  <c r="E33" i="4"/>
  <c r="J33" i="4"/>
  <c r="P33" i="4"/>
  <c r="Q33" i="4"/>
  <c r="G33" i="4"/>
  <c r="A34" i="4"/>
  <c r="B33" i="4"/>
  <c r="T33" i="4"/>
  <c r="K33" i="4"/>
  <c r="N33" i="4"/>
  <c r="H33" i="4"/>
  <c r="D33" i="4"/>
  <c r="C33" i="4"/>
  <c r="O33" i="4"/>
  <c r="F33" i="4"/>
  <c r="S33" i="4"/>
  <c r="D34" i="4" l="1"/>
  <c r="H34" i="4"/>
  <c r="E34" i="4"/>
  <c r="S34" i="4"/>
  <c r="P34" i="4"/>
  <c r="L34" i="4"/>
  <c r="G34" i="4"/>
  <c r="B34" i="4"/>
  <c r="A35" i="4"/>
  <c r="K34" i="4"/>
  <c r="T34" i="4"/>
  <c r="J34" i="4"/>
  <c r="N34" i="4"/>
  <c r="I34" i="4"/>
  <c r="M34" i="4"/>
  <c r="O34" i="4"/>
  <c r="Q34" i="4"/>
  <c r="R34" i="4"/>
  <c r="C34" i="4"/>
  <c r="F34" i="4"/>
  <c r="H35" i="4" l="1"/>
  <c r="F35" i="4"/>
  <c r="E35" i="4"/>
  <c r="O35" i="4"/>
  <c r="T35" i="4"/>
  <c r="M35" i="4"/>
  <c r="D35" i="4"/>
  <c r="Q35" i="4"/>
  <c r="A36" i="4"/>
  <c r="P35" i="4"/>
  <c r="I35" i="4"/>
  <c r="N35" i="4"/>
  <c r="S35" i="4"/>
  <c r="L35" i="4"/>
  <c r="C35" i="4"/>
  <c r="R35" i="4"/>
  <c r="K35" i="4"/>
  <c r="B35" i="4"/>
  <c r="G35" i="4"/>
  <c r="J35" i="4"/>
  <c r="P36" i="4" l="1"/>
  <c r="E36" i="4"/>
  <c r="Q36" i="4"/>
  <c r="M36" i="4"/>
  <c r="J36" i="4"/>
  <c r="B36" i="4"/>
  <c r="C36" i="4"/>
  <c r="O36" i="4"/>
  <c r="I36" i="4"/>
  <c r="L36" i="4"/>
  <c r="T36" i="4"/>
  <c r="A37" i="4"/>
  <c r="D36" i="4"/>
  <c r="F36" i="4"/>
  <c r="R36" i="4"/>
  <c r="K36" i="4"/>
  <c r="N36" i="4"/>
  <c r="S36" i="4"/>
  <c r="H36" i="4"/>
  <c r="G36" i="4"/>
  <c r="D37" i="4" l="1"/>
  <c r="R37" i="4"/>
  <c r="L37" i="4"/>
  <c r="G37" i="4"/>
  <c r="I37" i="4"/>
  <c r="M37" i="4"/>
  <c r="E37" i="4"/>
  <c r="A38" i="4"/>
  <c r="S37" i="4"/>
  <c r="P37" i="4"/>
  <c r="T37" i="4"/>
  <c r="Q37" i="4"/>
  <c r="F37" i="4"/>
  <c r="B37" i="4"/>
  <c r="H37" i="4"/>
  <c r="K37" i="4"/>
  <c r="O37" i="4"/>
  <c r="N37" i="4"/>
  <c r="J37" i="4"/>
  <c r="C37" i="4"/>
  <c r="Q38" i="4" l="1"/>
  <c r="P38" i="4"/>
  <c r="H38" i="4"/>
  <c r="T38" i="4"/>
  <c r="D38" i="4"/>
  <c r="F38" i="4"/>
  <c r="C38" i="4"/>
  <c r="M38" i="4"/>
  <c r="I38" i="4"/>
  <c r="R38" i="4"/>
  <c r="K38" i="4"/>
  <c r="L38" i="4"/>
  <c r="O38" i="4"/>
  <c r="B38" i="4"/>
  <c r="G38" i="4"/>
  <c r="J38" i="4"/>
  <c r="E38" i="4"/>
  <c r="A39" i="4"/>
  <c r="N38" i="4"/>
  <c r="S38" i="4"/>
  <c r="O39" i="4" l="1"/>
  <c r="E39" i="4"/>
  <c r="Q39" i="4"/>
  <c r="H39" i="4"/>
  <c r="B39" i="4"/>
  <c r="C39" i="4"/>
  <c r="M39" i="4"/>
  <c r="D39" i="4"/>
  <c r="S39" i="4"/>
  <c r="K39" i="4"/>
  <c r="P39" i="4"/>
  <c r="R39" i="4"/>
  <c r="A40" i="4"/>
  <c r="T39" i="4"/>
  <c r="L39" i="4"/>
  <c r="J39" i="4"/>
  <c r="I39" i="4"/>
  <c r="F39" i="4"/>
  <c r="N39" i="4"/>
  <c r="G39" i="4"/>
  <c r="D40" i="4" l="1"/>
  <c r="R40" i="4"/>
  <c r="M40" i="4"/>
  <c r="E40" i="4"/>
  <c r="P40" i="4"/>
  <c r="T40" i="4"/>
  <c r="I40" i="4"/>
  <c r="N40" i="4"/>
  <c r="B40" i="4"/>
  <c r="Q40" i="4"/>
  <c r="A41" i="4"/>
  <c r="J40" i="4"/>
  <c r="K40" i="4"/>
  <c r="L40" i="4"/>
  <c r="C40" i="4"/>
  <c r="S40" i="4"/>
  <c r="G40" i="4"/>
  <c r="O40" i="4"/>
  <c r="H40" i="4"/>
  <c r="F40" i="4"/>
  <c r="H41" i="4" l="1"/>
  <c r="E41" i="4"/>
  <c r="T41" i="4"/>
  <c r="C41" i="4"/>
  <c r="M41" i="4"/>
  <c r="N41" i="4"/>
  <c r="S41" i="4"/>
  <c r="R41" i="4"/>
  <c r="D41" i="4"/>
  <c r="Q41" i="4"/>
  <c r="J41" i="4"/>
  <c r="K41" i="4"/>
  <c r="F41" i="4"/>
  <c r="I41" i="4"/>
  <c r="B41" i="4"/>
  <c r="A42" i="4"/>
  <c r="O41" i="4"/>
  <c r="G41" i="4"/>
  <c r="P41" i="4"/>
  <c r="L41" i="4"/>
  <c r="C42" i="4" l="1"/>
  <c r="H42" i="4"/>
  <c r="D42" i="4"/>
  <c r="E42" i="4"/>
  <c r="A43" i="4"/>
  <c r="M42" i="4"/>
  <c r="G42" i="4"/>
  <c r="I42" i="4"/>
  <c r="Q42" i="4"/>
  <c r="K42" i="4"/>
  <c r="T42" i="4"/>
  <c r="B42" i="4"/>
  <c r="L42" i="4"/>
  <c r="N42" i="4"/>
  <c r="S42" i="4"/>
  <c r="J42" i="4"/>
  <c r="R42" i="4"/>
  <c r="O42" i="4"/>
  <c r="F42" i="4"/>
  <c r="P42" i="4"/>
  <c r="D43" i="4" l="1"/>
  <c r="S43" i="4"/>
  <c r="P43" i="4"/>
  <c r="T43" i="4"/>
  <c r="B43" i="4"/>
  <c r="Q43" i="4"/>
  <c r="L43" i="4"/>
  <c r="G43" i="4"/>
  <c r="I43" i="4"/>
  <c r="C43" i="4"/>
  <c r="M43" i="4"/>
  <c r="K43" i="4"/>
  <c r="H43" i="4"/>
  <c r="O43" i="4"/>
  <c r="J43" i="4"/>
  <c r="E43" i="4"/>
  <c r="A44" i="4"/>
  <c r="R43" i="4"/>
  <c r="N43" i="4"/>
  <c r="F43" i="4"/>
  <c r="H44" i="4" l="1"/>
  <c r="R44" i="4"/>
  <c r="I44" i="4"/>
  <c r="N44" i="4"/>
  <c r="D44" i="4"/>
  <c r="T44" i="4"/>
  <c r="M44" i="4"/>
  <c r="K44" i="4"/>
  <c r="P44" i="4"/>
  <c r="L44" i="4"/>
  <c r="F44" i="4"/>
  <c r="C44" i="4"/>
  <c r="B44" i="4"/>
  <c r="A45" i="4"/>
  <c r="Q44" i="4"/>
  <c r="G44" i="4"/>
  <c r="O44" i="4"/>
  <c r="S44" i="4"/>
  <c r="J44" i="4"/>
  <c r="E44" i="4"/>
  <c r="L45" i="4" l="1"/>
  <c r="E45" i="4"/>
  <c r="M45" i="4"/>
  <c r="Q45" i="4"/>
  <c r="O45" i="4"/>
  <c r="T45" i="4"/>
  <c r="K45" i="4"/>
  <c r="F45" i="4"/>
  <c r="C45" i="4"/>
  <c r="R45" i="4"/>
  <c r="D45" i="4"/>
  <c r="N45" i="4"/>
  <c r="J45" i="4"/>
  <c r="G45" i="4"/>
  <c r="H45" i="4"/>
  <c r="S45" i="4"/>
  <c r="P45" i="4"/>
  <c r="B45" i="4"/>
  <c r="A46" i="4"/>
  <c r="I45" i="4"/>
  <c r="A47" i="4" l="1"/>
  <c r="P46" i="4"/>
  <c r="H46" i="4"/>
  <c r="S46" i="4"/>
  <c r="L46" i="4"/>
  <c r="E46" i="4"/>
  <c r="G46" i="4"/>
  <c r="T46" i="4"/>
  <c r="J46" i="4"/>
  <c r="B46" i="4"/>
  <c r="Q46" i="4"/>
  <c r="K46" i="4"/>
  <c r="M46" i="4"/>
  <c r="O46" i="4"/>
  <c r="N46" i="4"/>
  <c r="I46" i="4"/>
  <c r="D46" i="4"/>
  <c r="C46" i="4"/>
  <c r="R46" i="4"/>
  <c r="F46" i="4"/>
  <c r="J47" i="4" l="1"/>
  <c r="R47" i="4"/>
  <c r="T47" i="4"/>
  <c r="F47" i="4"/>
  <c r="H47" i="4"/>
  <c r="Q47" i="4"/>
  <c r="S47" i="4"/>
  <c r="O47" i="4"/>
  <c r="E47" i="4"/>
  <c r="C47" i="4"/>
  <c r="B47" i="4"/>
  <c r="K47" i="4"/>
  <c r="M47" i="4"/>
  <c r="P47" i="4"/>
  <c r="G47" i="4"/>
  <c r="A48" i="4"/>
  <c r="L47" i="4"/>
  <c r="D47" i="4"/>
  <c r="I47" i="4"/>
  <c r="N47" i="4"/>
  <c r="H48" i="4" l="1"/>
  <c r="L48" i="4"/>
  <c r="B48" i="4"/>
  <c r="C48" i="4"/>
  <c r="I48" i="4"/>
  <c r="N48" i="4"/>
  <c r="D48" i="4"/>
  <c r="F48" i="4"/>
  <c r="A49" i="4"/>
  <c r="T48" i="4"/>
  <c r="R48" i="4"/>
  <c r="J48" i="4"/>
  <c r="P48" i="4"/>
  <c r="G48" i="4"/>
  <c r="M48" i="4"/>
  <c r="K48" i="4"/>
  <c r="E48" i="4"/>
  <c r="S48" i="4"/>
  <c r="O48" i="4"/>
  <c r="Q48" i="4"/>
  <c r="M49" i="4" l="1"/>
  <c r="D49" i="4"/>
  <c r="S49" i="4"/>
  <c r="E49" i="4"/>
  <c r="I49" i="4"/>
  <c r="B49" i="4"/>
  <c r="P49" i="4"/>
  <c r="H49" i="4"/>
  <c r="N49" i="4"/>
  <c r="R49" i="4"/>
  <c r="J49" i="4"/>
  <c r="Q49" i="4"/>
  <c r="C49" i="4"/>
  <c r="G49" i="4"/>
  <c r="T49" i="4"/>
  <c r="O49" i="4"/>
  <c r="K49" i="4"/>
  <c r="L49" i="4"/>
  <c r="F49" i="4"/>
</calcChain>
</file>

<file path=xl/sharedStrings.xml><?xml version="1.0" encoding="utf-8"?>
<sst xmlns="http://schemas.openxmlformats.org/spreadsheetml/2006/main" count="134" uniqueCount="65">
  <si>
    <t>m</t>
  </si>
  <si>
    <t>cm</t>
  </si>
  <si>
    <t>m/cm</t>
  </si>
  <si>
    <t>i 3000 m</t>
  </si>
  <si>
    <t>i 2850 m</t>
  </si>
  <si>
    <t>i 6000 m</t>
  </si>
  <si>
    <t>Deltabrede på 3000 m</t>
  </si>
  <si>
    <t>Start bredde</t>
  </si>
  <si>
    <t>Afstand i minutter</t>
  </si>
  <si>
    <t>min.</t>
  </si>
  <si>
    <t>Hastighed</t>
  </si>
  <si>
    <t>km/hr</t>
  </si>
  <si>
    <t>Afstand</t>
  </si>
  <si>
    <t>meter</t>
  </si>
  <si>
    <t>Vinkelværdi</t>
  </si>
  <si>
    <t>Vinkel udbredelse</t>
  </si>
  <si>
    <t>Start vinkel</t>
  </si>
  <si>
    <t>Start punkt</t>
  </si>
  <si>
    <t>Slut punkt</t>
  </si>
  <si>
    <t>Øvre startpunkt</t>
  </si>
  <si>
    <t>Øvre slutpunkt</t>
  </si>
  <si>
    <t>Nedre startpunkt</t>
  </si>
  <si>
    <t>Nedre slutpunkt</t>
  </si>
  <si>
    <t>Trekant 1</t>
  </si>
  <si>
    <t>Trekant 2</t>
  </si>
  <si>
    <t>Trekant 3</t>
  </si>
  <si>
    <t>Trekant 4</t>
  </si>
  <si>
    <t>Punkt A</t>
  </si>
  <si>
    <t>Punkt B</t>
  </si>
  <si>
    <t>Punkt C</t>
  </si>
  <si>
    <t>Længde a</t>
  </si>
  <si>
    <t>Længde b</t>
  </si>
  <si>
    <t>Længde c</t>
  </si>
  <si>
    <t>Vinkel A</t>
  </si>
  <si>
    <t>Vinkel B</t>
  </si>
  <si>
    <t>Vinkel C</t>
  </si>
  <si>
    <t>Areal</t>
  </si>
  <si>
    <t>m2</t>
  </si>
  <si>
    <t>Total areal</t>
  </si>
  <si>
    <t>km2</t>
  </si>
  <si>
    <t>P</t>
  </si>
  <si>
    <t>Accident likelihood depends on airport</t>
  </si>
  <si>
    <t>k</t>
  </si>
  <si>
    <t>r0</t>
  </si>
  <si>
    <t>ro0</t>
  </si>
  <si>
    <t>grader</t>
  </si>
  <si>
    <t>Name</t>
  </si>
  <si>
    <t>07C</t>
  </si>
  <si>
    <t>Punkt</t>
  </si>
  <si>
    <t>Direction</t>
  </si>
  <si>
    <t>rad</t>
  </si>
  <si>
    <t>Risk Cut Off</t>
  </si>
  <si>
    <t>Flight Path Cut Off</t>
  </si>
  <si>
    <t>X</t>
  </si>
  <si>
    <t>Y</t>
  </si>
  <si>
    <t>L</t>
  </si>
  <si>
    <t>ACOS</t>
  </si>
  <si>
    <t>ASIN</t>
  </si>
  <si>
    <t xml:space="preserve">Yearly movements = </t>
  </si>
  <si>
    <t xml:space="preserve">Total directions (3 runways and 2direction each) = </t>
  </si>
  <si>
    <t>Distance</t>
  </si>
  <si>
    <t>Angle</t>
  </si>
  <si>
    <t>movements</t>
  </si>
  <si>
    <t>% of traffic movements to/from north</t>
  </si>
  <si>
    <t xml:space="preserve">Likelihood of an accident pr. movement=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</si>
</sst>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0.000%"/>
  </numFmts>
  <fonts count="8" x14ac:knownFonts="1">
    <font>
      <sz val="11"/>
      <color theme="1"/>
      <name val="Mangal"/>
      <family val="2"/>
      <scheme val="minor"/>
    </font>
    <font>
      <sz val="11"/>
      <color theme="8" tint="0.39997558519241921"/>
      <name val="Mangal"/>
      <family val="2"/>
      <scheme val="minor"/>
    </font>
    <font>
      <sz val="11"/>
      <color rgb="FFFF0000"/>
      <name val="Mangal"/>
      <family val="2"/>
      <scheme val="minor"/>
    </font>
    <font>
      <sz val="11"/>
      <name val="Mangal"/>
      <family val="2"/>
      <scheme val="minor"/>
    </font>
    <font>
      <sz val="11"/>
      <color theme="1"/>
      <name val="Mangal"/>
      <family val="2"/>
      <scheme val="minor"/>
    </font>
    <font>
      <sz val="11"/>
      <color rgb="FF3F3F76"/>
      <name val="Mangal"/>
      <family val="2"/>
      <scheme val="minor"/>
    </font>
    <font>
      <b/>
      <sz val="11"/>
      <color rgb="FFFA7D00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4" borderId="1" applyNumberFormat="0" applyAlignment="0" applyProtection="0"/>
    <xf numFmtId="0" fontId="6" fillId="5" borderId="1" applyNumberFormat="0" applyAlignment="0" applyProtection="0"/>
    <xf numFmtId="0" fontId="4" fillId="6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0" borderId="0" xfId="0" applyNumberFormat="1"/>
    <xf numFmtId="3" fontId="0" fillId="0" borderId="0" xfId="0" applyNumberFormat="1"/>
    <xf numFmtId="165" fontId="1" fillId="0" borderId="0" xfId="0" applyNumberFormat="1" applyFont="1"/>
    <xf numFmtId="11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166" fontId="3" fillId="0" borderId="0" xfId="0" applyNumberFormat="1" applyFont="1"/>
    <xf numFmtId="3" fontId="3" fillId="0" borderId="0" xfId="0" applyNumberFormat="1" applyFont="1"/>
    <xf numFmtId="0" fontId="0" fillId="0" borderId="0" xfId="0" quotePrefix="1"/>
    <xf numFmtId="0" fontId="7" fillId="0" borderId="0" xfId="0" applyFont="1"/>
    <xf numFmtId="11" fontId="6" fillId="5" borderId="1" xfId="2" applyNumberFormat="1"/>
    <xf numFmtId="0" fontId="5" fillId="4" borderId="1" xfId="1"/>
    <xf numFmtId="0" fontId="4" fillId="6" borderId="1" xfId="3" applyBorder="1"/>
    <xf numFmtId="11" fontId="5" fillId="4" borderId="1" xfId="1" applyNumberFormat="1"/>
    <xf numFmtId="167" fontId="5" fillId="4" borderId="1" xfId="1" applyNumberFormat="1"/>
    <xf numFmtId="1" fontId="6" fillId="5" borderId="1" xfId="2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40% - Accent3" xfId="3" builtinId="39"/>
    <cellStyle name="Calculation" xfId="2" builtinId="22"/>
    <cellStyle name="Input" xfId="1" builtinId="20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209550</xdr:colOff>
      <xdr:row>5</xdr:row>
      <xdr:rowOff>61149</xdr:rowOff>
    </xdr:from>
    <xdr:to>
      <xdr:col>34</xdr:col>
      <xdr:colOff>5823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21EBB-E7F0-43BA-A987-367E1062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11550" y="1680399"/>
          <a:ext cx="9702273" cy="965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455C-2949-4FBA-A515-0C28E7DD22BC}">
  <dimension ref="A1:F9"/>
  <sheetViews>
    <sheetView workbookViewId="0">
      <selection activeCell="C43" sqref="C43"/>
    </sheetView>
  </sheetViews>
  <sheetFormatPr defaultRowHeight="25.5" x14ac:dyDescent="0.7"/>
  <cols>
    <col min="1" max="1" width="19" customWidth="1"/>
    <col min="2" max="9" width="14.6640625" customWidth="1"/>
  </cols>
  <sheetData>
    <row r="1" spans="1:6" x14ac:dyDescent="0.7">
      <c r="A1">
        <v>3000</v>
      </c>
      <c r="B1" t="s">
        <v>0</v>
      </c>
      <c r="C1">
        <v>26.7</v>
      </c>
      <c r="D1" t="s">
        <v>1</v>
      </c>
      <c r="E1">
        <f>A1/C1</f>
        <v>112.35955056179776</v>
      </c>
      <c r="F1" t="s">
        <v>2</v>
      </c>
    </row>
    <row r="3" spans="1:6" x14ac:dyDescent="0.7">
      <c r="A3" t="s">
        <v>3</v>
      </c>
      <c r="B3">
        <v>3</v>
      </c>
      <c r="C3" t="s">
        <v>1</v>
      </c>
      <c r="D3">
        <f>B3*E1</f>
        <v>337.07865168539331</v>
      </c>
      <c r="E3" t="s">
        <v>0</v>
      </c>
    </row>
    <row r="4" spans="1:6" x14ac:dyDescent="0.7">
      <c r="A4" t="s">
        <v>4</v>
      </c>
      <c r="B4">
        <f>D4/E1</f>
        <v>2.67</v>
      </c>
      <c r="C4" t="s">
        <v>1</v>
      </c>
      <c r="D4">
        <v>300</v>
      </c>
      <c r="E4" t="s">
        <v>0</v>
      </c>
    </row>
    <row r="5" spans="1:6" x14ac:dyDescent="0.7">
      <c r="A5" t="s">
        <v>5</v>
      </c>
      <c r="B5">
        <v>11</v>
      </c>
      <c r="C5" t="s">
        <v>1</v>
      </c>
      <c r="D5">
        <f>B5*E1</f>
        <v>1235.9550561797753</v>
      </c>
      <c r="E5" t="s">
        <v>0</v>
      </c>
    </row>
    <row r="7" spans="1:6" x14ac:dyDescent="0.7">
      <c r="A7" t="s">
        <v>6</v>
      </c>
      <c r="D7">
        <f>(D5-D3)/2</f>
        <v>449.43820224719099</v>
      </c>
      <c r="E7" t="s">
        <v>0</v>
      </c>
    </row>
    <row r="8" spans="1:6" x14ac:dyDescent="0.7">
      <c r="A8">
        <f>SIN(RADIANS(8))*(28.5*E1)</f>
        <v>445.66667161369276</v>
      </c>
    </row>
    <row r="9" spans="1:6" x14ac:dyDescent="0.7">
      <c r="A9">
        <f>(D7-A8)/E1</f>
        <v>3.3566622638134244E-2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4305-1D62-4E62-BCC0-691A1F97BC8A}">
  <dimension ref="A1:I27"/>
  <sheetViews>
    <sheetView workbookViewId="0">
      <selection activeCell="B30" sqref="B30"/>
    </sheetView>
  </sheetViews>
  <sheetFormatPr defaultRowHeight="25.5" x14ac:dyDescent="0.7"/>
  <cols>
    <col min="1" max="1" width="19" customWidth="1"/>
    <col min="2" max="9" width="14.6640625" customWidth="1"/>
  </cols>
  <sheetData>
    <row r="1" spans="1:9" x14ac:dyDescent="0.7">
      <c r="A1" t="s">
        <v>7</v>
      </c>
      <c r="B1" s="5">
        <v>300</v>
      </c>
      <c r="C1" t="s">
        <v>0</v>
      </c>
    </row>
    <row r="2" spans="1:9" x14ac:dyDescent="0.7">
      <c r="A2" t="s">
        <v>8</v>
      </c>
      <c r="B2" s="5">
        <v>3</v>
      </c>
      <c r="C2" t="s">
        <v>9</v>
      </c>
    </row>
    <row r="3" spans="1:9" x14ac:dyDescent="0.7">
      <c r="A3" t="s">
        <v>10</v>
      </c>
      <c r="B3" s="5">
        <v>275</v>
      </c>
      <c r="C3" t="s">
        <v>11</v>
      </c>
    </row>
    <row r="4" spans="1:9" x14ac:dyDescent="0.7">
      <c r="A4" t="s">
        <v>12</v>
      </c>
      <c r="B4" s="4">
        <f>B3/60*B2*1000</f>
        <v>13750</v>
      </c>
      <c r="C4" t="s">
        <v>13</v>
      </c>
    </row>
    <row r="5" spans="1:9" x14ac:dyDescent="0.7">
      <c r="A5" t="s">
        <v>14</v>
      </c>
      <c r="B5" s="4">
        <v>90</v>
      </c>
      <c r="C5" s="6">
        <f>RADIANS(B5)</f>
        <v>1.5707963267948966</v>
      </c>
    </row>
    <row r="6" spans="1:9" x14ac:dyDescent="0.7">
      <c r="A6" t="s">
        <v>15</v>
      </c>
      <c r="B6" s="4">
        <v>8</v>
      </c>
      <c r="C6" s="6">
        <f>RADIANS(B6)</f>
        <v>0.13962634015954636</v>
      </c>
    </row>
    <row r="7" spans="1:9" x14ac:dyDescent="0.7">
      <c r="A7" t="s">
        <v>16</v>
      </c>
      <c r="B7" s="4">
        <v>0</v>
      </c>
      <c r="C7" s="6">
        <f>RADIANS(B7)+C5</f>
        <v>1.5707963267948966</v>
      </c>
    </row>
    <row r="8" spans="1:9" x14ac:dyDescent="0.7">
      <c r="A8" t="s">
        <v>17</v>
      </c>
      <c r="B8" s="4">
        <v>0</v>
      </c>
      <c r="C8" s="4">
        <v>0</v>
      </c>
    </row>
    <row r="9" spans="1:9" x14ac:dyDescent="0.7">
      <c r="A9" t="s">
        <v>18</v>
      </c>
      <c r="B9" s="4">
        <f>$B$8+COS($C$7)*$B$4</f>
        <v>8.4228956274967626E-13</v>
      </c>
      <c r="C9" s="4">
        <f>$C$8+SIN($C$7)*$B$4</f>
        <v>13750</v>
      </c>
    </row>
    <row r="10" spans="1:9" x14ac:dyDescent="0.7">
      <c r="A10" t="s">
        <v>19</v>
      </c>
      <c r="B10" s="4">
        <f>$B$8+COS($C$7+$C$5)*$B$1/2</f>
        <v>-150</v>
      </c>
      <c r="C10" s="4">
        <f>$C$8+SIN($C$7+$C$5)*$B$1/2</f>
        <v>1.83772268236293E-14</v>
      </c>
    </row>
    <row r="11" spans="1:9" x14ac:dyDescent="0.7">
      <c r="A11" t="s">
        <v>20</v>
      </c>
      <c r="B11" s="4">
        <f>$B$10+COS($C$7+$C$6)*$B$4</f>
        <v>-2063.6301382008987</v>
      </c>
      <c r="C11" s="4">
        <f>$C$10+SIN($C$7+$C$6)*$B$4</f>
        <v>13616.185945196592</v>
      </c>
    </row>
    <row r="12" spans="1:9" x14ac:dyDescent="0.7">
      <c r="A12" t="s">
        <v>21</v>
      </c>
      <c r="B12" s="4">
        <f>$B$8+COS($C$7-$C$5)*$B$1/2</f>
        <v>150</v>
      </c>
      <c r="C12" s="4">
        <f>$C$8+SIN($C$7-$C$5)*$B$1/2</f>
        <v>0</v>
      </c>
    </row>
    <row r="13" spans="1:9" x14ac:dyDescent="0.7">
      <c r="A13" t="s">
        <v>22</v>
      </c>
      <c r="B13" s="4">
        <f>$B$12+COS($C$7-$C$6)*$B$4</f>
        <v>2063.6301382009001</v>
      </c>
      <c r="C13" s="4">
        <f>$C$12+SIN($C$7-$C$6)*$B$4</f>
        <v>13616.185945196592</v>
      </c>
    </row>
    <row r="15" spans="1:9" x14ac:dyDescent="0.7">
      <c r="B15" s="20" t="s">
        <v>23</v>
      </c>
      <c r="C15" s="20"/>
      <c r="D15" s="21" t="s">
        <v>24</v>
      </c>
      <c r="E15" s="21"/>
      <c r="F15" s="20" t="s">
        <v>25</v>
      </c>
      <c r="G15" s="20"/>
      <c r="H15" s="21" t="s">
        <v>26</v>
      </c>
      <c r="I15" s="21"/>
    </row>
    <row r="16" spans="1:9" x14ac:dyDescent="0.7">
      <c r="A16" t="s">
        <v>27</v>
      </c>
      <c r="B16" s="1">
        <f>$B$10</f>
        <v>-150</v>
      </c>
      <c r="C16" s="1">
        <f>$C$10</f>
        <v>1.83772268236293E-14</v>
      </c>
      <c r="D16" s="1">
        <f>$B$11</f>
        <v>-2063.6301382008987</v>
      </c>
      <c r="E16" s="1">
        <f>$C$11</f>
        <v>13616.185945196592</v>
      </c>
      <c r="F16" s="1">
        <f>$B$9</f>
        <v>8.4228956274967626E-13</v>
      </c>
      <c r="G16" s="1">
        <f>$C$9</f>
        <v>13750</v>
      </c>
      <c r="H16" s="1">
        <f>$B$13</f>
        <v>2063.6301382009001</v>
      </c>
      <c r="I16" s="1">
        <f>$C$13</f>
        <v>13616.185945196592</v>
      </c>
    </row>
    <row r="17" spans="1:9" x14ac:dyDescent="0.7">
      <c r="A17" t="s">
        <v>28</v>
      </c>
      <c r="B17" s="1">
        <f>$B$11</f>
        <v>-2063.6301382008987</v>
      </c>
      <c r="C17" s="1">
        <f>$C$11</f>
        <v>13616.185945196592</v>
      </c>
      <c r="D17" s="1">
        <f>$B$9</f>
        <v>8.4228956274967626E-13</v>
      </c>
      <c r="E17" s="1">
        <f>$C$9</f>
        <v>13750</v>
      </c>
      <c r="F17" s="1">
        <f>$B$13</f>
        <v>2063.6301382009001</v>
      </c>
      <c r="G17" s="1">
        <f>$C$13</f>
        <v>13616.185945196592</v>
      </c>
      <c r="H17" s="1">
        <f>$B$12</f>
        <v>150</v>
      </c>
      <c r="I17" s="1">
        <f>$C$12</f>
        <v>0</v>
      </c>
    </row>
    <row r="18" spans="1:9" x14ac:dyDescent="0.7">
      <c r="A18" t="s">
        <v>29</v>
      </c>
      <c r="B18" s="1">
        <f>$B$9</f>
        <v>8.4228956274967626E-13</v>
      </c>
      <c r="C18" s="1">
        <f>$C$9</f>
        <v>13750</v>
      </c>
      <c r="D18" s="1">
        <f>$B$13</f>
        <v>2063.6301382009001</v>
      </c>
      <c r="E18" s="1">
        <f>$C$13</f>
        <v>13616.185945196592</v>
      </c>
      <c r="F18" s="1">
        <f>$B$12</f>
        <v>150</v>
      </c>
      <c r="G18" s="1">
        <f>$C$12</f>
        <v>0</v>
      </c>
      <c r="H18" s="1">
        <f>$B$10</f>
        <v>-150</v>
      </c>
      <c r="I18" s="1">
        <f>$C$10</f>
        <v>1.83772268236293E-14</v>
      </c>
    </row>
    <row r="19" spans="1:9" x14ac:dyDescent="0.7">
      <c r="A19" t="s">
        <v>30</v>
      </c>
      <c r="B19" s="4">
        <f>SQRT((B$17-B$18)^2+(C$17-C$18)^2)</f>
        <v>2067.9641071725578</v>
      </c>
      <c r="D19" s="4">
        <f>SQRT((D$17-D$18)^2+(E$17-E$18)^2)</f>
        <v>2067.9641071725573</v>
      </c>
      <c r="F19" s="4">
        <f>SQRT((F$17-F$18)^2+(G$17-G$18)^2)</f>
        <v>13750.000000000002</v>
      </c>
      <c r="H19" s="4">
        <f>SQRT((H$17-H$18)^2+(I$17-I$18)^2)</f>
        <v>300</v>
      </c>
    </row>
    <row r="20" spans="1:9" x14ac:dyDescent="0.7">
      <c r="A20" t="s">
        <v>31</v>
      </c>
      <c r="B20" s="4">
        <f>SQRT((B$16-B$18)^2+(C$16-C$18)^2)</f>
        <v>13750.818157477031</v>
      </c>
      <c r="D20" s="4">
        <f>SQRT((D$16-D$18)^2+(E$16-E$18)^2)</f>
        <v>4127.2602764017993</v>
      </c>
      <c r="F20" s="4">
        <f>SQRT((F$16-F$18)^2+(G$16-G$18)^2)</f>
        <v>13750.818157477031</v>
      </c>
      <c r="H20" s="4">
        <f>SQRT((H$16-H$18)^2+(I$16-I$18)^2)</f>
        <v>13794.951180882104</v>
      </c>
    </row>
    <row r="21" spans="1:9" x14ac:dyDescent="0.7">
      <c r="A21" t="s">
        <v>32</v>
      </c>
      <c r="B21" s="4">
        <f>SQRT((B$16-B$17)^2+(C$16-C$17)^2)</f>
        <v>13750</v>
      </c>
      <c r="D21" s="4">
        <f>SQRT((D$16-D$17)^2+(E$16-E$17)^2)</f>
        <v>2067.9641071725578</v>
      </c>
      <c r="F21" s="4">
        <f>SQRT((F$16-F$17)^2+(G$16-G$17)^2)</f>
        <v>2067.9641071725573</v>
      </c>
      <c r="H21" s="4">
        <f>SQRT((H$16-H$17)^2+(I$16-I$17)^2)</f>
        <v>13750.000000000002</v>
      </c>
    </row>
    <row r="22" spans="1:9" x14ac:dyDescent="0.7">
      <c r="A22" t="s">
        <v>33</v>
      </c>
      <c r="B22" s="6">
        <f>ACOS((B$20^2+B$21^2-B$19^2)/(2*B$20*B$21))</f>
        <v>0.15053499834221085</v>
      </c>
      <c r="C22" s="1">
        <f>DEGREES(B22)</f>
        <v>8.6250200740175256</v>
      </c>
      <c r="D22" s="6">
        <f>ACOS((D$20^2+D$21^2-D$19^2)/(2*D$20*D$21))</f>
        <v>6.4753355128142287E-2</v>
      </c>
      <c r="E22" s="1">
        <f>DEGREES(D22)</f>
        <v>3.7100939581543591</v>
      </c>
      <c r="F22" s="6">
        <f>ACOS((F$20^2+F$21^2-F$19^2)/(2*F$20*F$21))</f>
        <v>1.4951343134840906</v>
      </c>
      <c r="G22" s="1">
        <f>DEGREES(F22)</f>
        <v>85.66488596782817</v>
      </c>
      <c r="H22" s="6">
        <f>ACOS((H$20^2+H$21^2-H$19^2)/(2*H$20*H$21))</f>
        <v>2.1537110542825477E-2</v>
      </c>
      <c r="I22" s="1">
        <f>DEGREES(H22)</f>
        <v>1.2339855370106092</v>
      </c>
    </row>
    <row r="23" spans="1:9" x14ac:dyDescent="0.7">
      <c r="A23" t="s">
        <v>34</v>
      </c>
      <c r="B23" s="6">
        <f>ACOS((B$19^2+B$21^2-B$20^2)/(2*B$19*B$21))</f>
        <v>1.495923341763493</v>
      </c>
      <c r="C23" s="1">
        <f>DEGREES(B23)</f>
        <v>85.710093958154388</v>
      </c>
      <c r="D23" s="6">
        <f>ACOS((D$19^2+D$21^2-D$20^2)/(2*D$19*D$21))</f>
        <v>3.0120859433335121</v>
      </c>
      <c r="E23" s="1">
        <f>DEGREES(D23)</f>
        <v>172.57981208369148</v>
      </c>
      <c r="F23" s="6">
        <f>ACOS((F$19^2+F$21^2-F$20^2)/(2*F$19*F$21))</f>
        <v>1.4959233417634918</v>
      </c>
      <c r="G23" s="1">
        <f>DEGREES(F23)</f>
        <v>85.710093958154317</v>
      </c>
      <c r="H23" s="6">
        <f>ACOS((H$19^2+H$21^2-H$20^2)/(2*H$19*H$21))</f>
        <v>1.7104226669544369</v>
      </c>
      <c r="I23" s="1">
        <f>DEGREES(H23)</f>
        <v>97.999999999999659</v>
      </c>
    </row>
    <row r="24" spans="1:9" x14ac:dyDescent="0.7">
      <c r="A24" t="s">
        <v>35</v>
      </c>
      <c r="B24" s="6">
        <f>ACOS((B$19^2+B$20^2-B$21^2)/(2*B$19*B$20))</f>
        <v>1.4951343134840895</v>
      </c>
      <c r="C24" s="1">
        <f>DEGREES(B24)</f>
        <v>85.664885967828099</v>
      </c>
      <c r="D24" s="6">
        <f>ACOS((D$19^2+D$20^2-D$21^2)/(2*D$19*D$20))</f>
        <v>6.4753355128142287E-2</v>
      </c>
      <c r="E24" s="1">
        <f>DEGREES(D24)</f>
        <v>3.7100939581543591</v>
      </c>
      <c r="F24" s="6">
        <f>ACOS((F$19^2+F$20^2-F$21^2)/(2*F$19*F$20))</f>
        <v>0.15053499834221018</v>
      </c>
      <c r="G24" s="1">
        <f>DEGREES(F24)</f>
        <v>8.6250200740174883</v>
      </c>
      <c r="H24" s="6">
        <f>ACOS((H$19^2+H$20^2-H$21^2)/(2*H$19*H$20))</f>
        <v>1.4096328760925341</v>
      </c>
      <c r="I24" s="1">
        <f>DEGREES(H24)</f>
        <v>80.766014462989929</v>
      </c>
    </row>
    <row r="25" spans="1:9" x14ac:dyDescent="0.7">
      <c r="A25" t="s">
        <v>36</v>
      </c>
      <c r="B25" s="2">
        <f>0.5*B19*B20*SIN(B24)</f>
        <v>14177421.146020928</v>
      </c>
      <c r="C25" t="s">
        <v>37</v>
      </c>
      <c r="D25" s="3">
        <f>0.5*D19*D20*SIN(D24)</f>
        <v>276142.71640717977</v>
      </c>
      <c r="E25" t="s">
        <v>37</v>
      </c>
      <c r="F25" s="2">
        <f>0.5*F19*F20*SIN(F24)</f>
        <v>14177421.146020919</v>
      </c>
      <c r="G25" t="s">
        <v>37</v>
      </c>
      <c r="H25" s="3">
        <f>0.5*H19*H20*SIN(H24)</f>
        <v>2042427.8917794907</v>
      </c>
      <c r="I25" t="s">
        <v>37</v>
      </c>
    </row>
    <row r="26" spans="1:9" x14ac:dyDescent="0.7">
      <c r="A26" t="s">
        <v>38</v>
      </c>
      <c r="B26" s="4">
        <f>B25+D25+F25+H25</f>
        <v>30673412.900228515</v>
      </c>
      <c r="C26" t="s">
        <v>37</v>
      </c>
    </row>
    <row r="27" spans="1:9" x14ac:dyDescent="0.7">
      <c r="A27" t="s">
        <v>38</v>
      </c>
      <c r="B27" s="4">
        <f>B26/1000/1000</f>
        <v>30.673412900228517</v>
      </c>
      <c r="C27" t="s">
        <v>39</v>
      </c>
    </row>
  </sheetData>
  <mergeCells count="4">
    <mergeCell ref="B15:C15"/>
    <mergeCell ref="D15:E15"/>
    <mergeCell ref="F15:G15"/>
    <mergeCell ref="H15:I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9DE0-EE9A-4859-AE10-68C5D91BE150}">
  <dimension ref="A1:I27"/>
  <sheetViews>
    <sheetView workbookViewId="0">
      <selection activeCell="B3" sqref="B3"/>
    </sheetView>
  </sheetViews>
  <sheetFormatPr defaultRowHeight="25.5" x14ac:dyDescent="0.7"/>
  <cols>
    <col min="1" max="1" width="19" customWidth="1"/>
    <col min="2" max="9" width="14.6640625" customWidth="1"/>
  </cols>
  <sheetData>
    <row r="1" spans="1:9" x14ac:dyDescent="0.7">
      <c r="A1" t="s">
        <v>7</v>
      </c>
      <c r="B1" s="5">
        <v>300</v>
      </c>
      <c r="C1" t="s">
        <v>0</v>
      </c>
    </row>
    <row r="2" spans="1:9" x14ac:dyDescent="0.7">
      <c r="A2" t="s">
        <v>8</v>
      </c>
      <c r="B2" s="5">
        <v>8</v>
      </c>
      <c r="C2" t="s">
        <v>9</v>
      </c>
    </row>
    <row r="3" spans="1:9" x14ac:dyDescent="0.7">
      <c r="A3" t="s">
        <v>10</v>
      </c>
      <c r="B3" s="5">
        <v>275</v>
      </c>
      <c r="C3" t="s">
        <v>11</v>
      </c>
    </row>
    <row r="4" spans="1:9" x14ac:dyDescent="0.7">
      <c r="A4" t="s">
        <v>12</v>
      </c>
      <c r="B4" s="4">
        <f>B3/60*B2*1000</f>
        <v>36666.666666666664</v>
      </c>
      <c r="C4" t="s">
        <v>13</v>
      </c>
    </row>
    <row r="5" spans="1:9" x14ac:dyDescent="0.7">
      <c r="A5" t="s">
        <v>14</v>
      </c>
      <c r="B5" s="4">
        <v>90</v>
      </c>
      <c r="C5" s="6">
        <f>RADIANS(B5)</f>
        <v>1.5707963267948966</v>
      </c>
    </row>
    <row r="6" spans="1:9" x14ac:dyDescent="0.7">
      <c r="A6" t="s">
        <v>15</v>
      </c>
      <c r="B6" s="4">
        <v>8</v>
      </c>
      <c r="C6" s="6">
        <f>RADIANS(B6)</f>
        <v>0.13962634015954636</v>
      </c>
    </row>
    <row r="7" spans="1:9" x14ac:dyDescent="0.7">
      <c r="A7" t="s">
        <v>16</v>
      </c>
      <c r="B7" s="4">
        <v>0</v>
      </c>
      <c r="C7" s="6">
        <f>RADIANS(B7)+C5</f>
        <v>1.5707963267948966</v>
      </c>
    </row>
    <row r="8" spans="1:9" x14ac:dyDescent="0.7">
      <c r="A8" t="s">
        <v>17</v>
      </c>
      <c r="B8" s="4">
        <v>0</v>
      </c>
      <c r="C8" s="4">
        <v>0</v>
      </c>
    </row>
    <row r="9" spans="1:9" x14ac:dyDescent="0.7">
      <c r="A9" t="s">
        <v>18</v>
      </c>
      <c r="B9" s="4">
        <f>$B$8+COS($C$7)*$B$4</f>
        <v>2.2461055006658031E-12</v>
      </c>
      <c r="C9" s="4">
        <f>$C$8+SIN($C$7)*$B$4</f>
        <v>36666.666666666664</v>
      </c>
    </row>
    <row r="10" spans="1:9" x14ac:dyDescent="0.7">
      <c r="A10" t="s">
        <v>19</v>
      </c>
      <c r="B10" s="4">
        <f>$B$8+COS($C$7+$C$5)*$B$1/2</f>
        <v>-150</v>
      </c>
      <c r="C10" s="4">
        <f>$C$8+SIN($C$7+$C$5)*$B$1/2</f>
        <v>1.83772268236293E-14</v>
      </c>
    </row>
    <row r="11" spans="1:9" x14ac:dyDescent="0.7">
      <c r="A11" t="s">
        <v>20</v>
      </c>
      <c r="B11" s="4">
        <f>$B$10+COS($C$7+$C$6)*$B$4</f>
        <v>-5253.013701869063</v>
      </c>
      <c r="C11" s="4">
        <f>$C$10+SIN($C$7+$C$6)*$B$4</f>
        <v>36309.82918719091</v>
      </c>
    </row>
    <row r="12" spans="1:9" x14ac:dyDescent="0.7">
      <c r="A12" t="s">
        <v>21</v>
      </c>
      <c r="B12" s="4">
        <f>$B$8+COS($C$7-$C$5)*$B$1/2</f>
        <v>150</v>
      </c>
      <c r="C12" s="4">
        <f>$C$8+SIN($C$7-$C$5)*$B$1/2</f>
        <v>0</v>
      </c>
    </row>
    <row r="13" spans="1:9" x14ac:dyDescent="0.7">
      <c r="A13" t="s">
        <v>22</v>
      </c>
      <c r="B13" s="4">
        <f>$B$12+COS($C$7-$C$6)*$B$4</f>
        <v>5253.0137018690666</v>
      </c>
      <c r="C13" s="4">
        <f>$C$12+SIN($C$7-$C$6)*$B$4</f>
        <v>36309.82918719091</v>
      </c>
    </row>
    <row r="15" spans="1:9" x14ac:dyDescent="0.7">
      <c r="B15" s="20" t="s">
        <v>23</v>
      </c>
      <c r="C15" s="20"/>
      <c r="D15" s="21" t="s">
        <v>24</v>
      </c>
      <c r="E15" s="21"/>
      <c r="F15" s="20" t="s">
        <v>25</v>
      </c>
      <c r="G15" s="20"/>
      <c r="H15" s="21" t="s">
        <v>26</v>
      </c>
      <c r="I15" s="21"/>
    </row>
    <row r="16" spans="1:9" x14ac:dyDescent="0.7">
      <c r="A16" t="s">
        <v>27</v>
      </c>
      <c r="B16" s="1">
        <f>$B$10</f>
        <v>-150</v>
      </c>
      <c r="C16" s="1">
        <f>$C$10</f>
        <v>1.83772268236293E-14</v>
      </c>
      <c r="D16" s="1">
        <f>$B$11</f>
        <v>-5253.013701869063</v>
      </c>
      <c r="E16" s="1">
        <f>$C$11</f>
        <v>36309.82918719091</v>
      </c>
      <c r="F16" s="1">
        <f>$B$9</f>
        <v>2.2461055006658031E-12</v>
      </c>
      <c r="G16" s="1">
        <f>$C$9</f>
        <v>36666.666666666664</v>
      </c>
      <c r="H16" s="1">
        <f>$B$13</f>
        <v>5253.0137018690666</v>
      </c>
      <c r="I16" s="1">
        <f>$C$13</f>
        <v>36309.82918719091</v>
      </c>
    </row>
    <row r="17" spans="1:9" x14ac:dyDescent="0.7">
      <c r="A17" t="s">
        <v>28</v>
      </c>
      <c r="B17" s="1">
        <f>$B$11</f>
        <v>-5253.013701869063</v>
      </c>
      <c r="C17" s="1">
        <f>$C$11</f>
        <v>36309.82918719091</v>
      </c>
      <c r="D17" s="1">
        <f>$B$9</f>
        <v>2.2461055006658031E-12</v>
      </c>
      <c r="E17" s="1">
        <f>$C$9</f>
        <v>36666.666666666664</v>
      </c>
      <c r="F17" s="1">
        <f>$B$13</f>
        <v>5253.0137018690666</v>
      </c>
      <c r="G17" s="1">
        <f>$C$13</f>
        <v>36309.82918719091</v>
      </c>
      <c r="H17" s="1">
        <f>$B$12</f>
        <v>150</v>
      </c>
      <c r="I17" s="1">
        <f>$C$12</f>
        <v>0</v>
      </c>
    </row>
    <row r="18" spans="1:9" x14ac:dyDescent="0.7">
      <c r="A18" t="s">
        <v>29</v>
      </c>
      <c r="B18" s="1">
        <f>$B$9</f>
        <v>2.2461055006658031E-12</v>
      </c>
      <c r="C18" s="1">
        <f>$C$9</f>
        <v>36666.666666666664</v>
      </c>
      <c r="D18" s="1">
        <f>$B$13</f>
        <v>5253.0137018690666</v>
      </c>
      <c r="E18" s="1">
        <f>$C$13</f>
        <v>36309.82918719091</v>
      </c>
      <c r="F18" s="1">
        <f>$B$12</f>
        <v>150</v>
      </c>
      <c r="G18" s="1">
        <f>$C$12</f>
        <v>0</v>
      </c>
      <c r="H18" s="1">
        <f>$B$10</f>
        <v>-150</v>
      </c>
      <c r="I18" s="1">
        <f>$C$10</f>
        <v>1.83772268236293E-14</v>
      </c>
    </row>
    <row r="19" spans="1:9" x14ac:dyDescent="0.7">
      <c r="A19" t="s">
        <v>30</v>
      </c>
      <c r="B19" s="4">
        <f>SQRT((B$17-B$18)^2+(C$17-C$18)^2)</f>
        <v>5265.119745911079</v>
      </c>
      <c r="D19" s="4">
        <f>SQRT((D$17-D$18)^2+(E$17-E$18)^2)</f>
        <v>5265.119745911079</v>
      </c>
      <c r="F19" s="4">
        <f>SQRT((F$17-F$18)^2+(G$17-G$18)^2)</f>
        <v>36666.666666666664</v>
      </c>
      <c r="H19" s="4">
        <f>SQRT((H$17-H$18)^2+(I$17-I$18)^2)</f>
        <v>300</v>
      </c>
    </row>
    <row r="20" spans="1:9" x14ac:dyDescent="0.7">
      <c r="A20" t="s">
        <v>31</v>
      </c>
      <c r="B20" s="4">
        <f>SQRT((B$16-B$18)^2+(C$16-C$18)^2)</f>
        <v>36666.973483564798</v>
      </c>
      <c r="D20" s="4">
        <f>SQRT((D$16-D$18)^2+(E$16-E$18)^2)</f>
        <v>10506.02740373813</v>
      </c>
      <c r="F20" s="4">
        <f>SQRT((F$16-F$18)^2+(G$16-G$18)^2)</f>
        <v>36666.973483564798</v>
      </c>
      <c r="H20" s="4">
        <f>SQRT((H$16-H$18)^2+(I$16-I$18)^2)</f>
        <v>36709.620709911535</v>
      </c>
    </row>
    <row r="21" spans="1:9" x14ac:dyDescent="0.7">
      <c r="A21" t="s">
        <v>32</v>
      </c>
      <c r="B21" s="4">
        <f>SQRT((B$16-B$17)^2+(C$16-C$17)^2)</f>
        <v>36666.666666666664</v>
      </c>
      <c r="D21" s="4">
        <f>SQRT((D$16-D$17)^2+(E$16-E$17)^2)</f>
        <v>5265.119745911079</v>
      </c>
      <c r="F21" s="4">
        <f>SQRT((F$16-F$17)^2+(G$16-G$17)^2)</f>
        <v>5265.119745911079</v>
      </c>
      <c r="H21" s="4">
        <f>SQRT((H$16-H$17)^2+(I$16-I$17)^2)</f>
        <v>36666.666666666664</v>
      </c>
    </row>
    <row r="22" spans="1:9" x14ac:dyDescent="0.7">
      <c r="A22" t="s">
        <v>33</v>
      </c>
      <c r="B22" s="6">
        <f>ACOS((B$20^2+B$21^2-B$19^2)/(2*B$20*B$21))</f>
        <v>0.14371722642949747</v>
      </c>
      <c r="C22" s="1">
        <f>DEGREES(B22)</f>
        <v>8.2343905177362142</v>
      </c>
      <c r="D22" s="6">
        <f>ACOS((D$20^2+D$21^2-D$19^2)/(2*D$20*D$21))</f>
        <v>6.7825850046414171E-2</v>
      </c>
      <c r="E22" s="1">
        <f>DEGREES(D22)</f>
        <v>3.8861349495467308</v>
      </c>
      <c r="F22" s="6">
        <f>ACOS((F$20^2+F$21^2-F$19^2)/(2*F$20*F$21))</f>
        <v>1.498879590478535</v>
      </c>
      <c r="G22" s="1">
        <f>DEGREES(F22)</f>
        <v>85.879474532717268</v>
      </c>
      <c r="H22" s="6">
        <f>ACOS((H$20^2+H$21^2-H$19^2)/(2*H$20*H$21))</f>
        <v>8.0928012249987802E-3</v>
      </c>
      <c r="I22" s="1">
        <f>DEGREES(H22)</f>
        <v>0.46368335463073262</v>
      </c>
    </row>
    <row r="23" spans="1:9" x14ac:dyDescent="0.7">
      <c r="A23" t="s">
        <v>34</v>
      </c>
      <c r="B23" s="6">
        <f>ACOS((B$19^2+B$21^2-B$20^2)/(2*B$19*B$21))</f>
        <v>1.4989958366817608</v>
      </c>
      <c r="C23" s="1">
        <f>DEGREES(B23)</f>
        <v>85.88613494954653</v>
      </c>
      <c r="D23" s="6">
        <f>ACOS((D$19^2+D$21^2-D$20^2)/(2*D$19*D$21))</f>
        <v>3.0059409534969719</v>
      </c>
      <c r="E23" s="1">
        <f>DEGREES(D23)</f>
        <v>172.22773010090694</v>
      </c>
      <c r="F23" s="6">
        <f>ACOS((F$19^2+F$21^2-F$20^2)/(2*F$19*F$21))</f>
        <v>1.4989958366817608</v>
      </c>
      <c r="G23" s="1">
        <f>DEGREES(F23)</f>
        <v>85.88613494954653</v>
      </c>
      <c r="H23" s="6">
        <f>ACOS((H$19^2+H$21^2-H$20^2)/(2*H$19*H$21))</f>
        <v>1.710422666954448</v>
      </c>
      <c r="I23" s="1">
        <f>DEGREES(H23)</f>
        <v>98.000000000000284</v>
      </c>
    </row>
    <row r="24" spans="1:9" x14ac:dyDescent="0.7">
      <c r="A24" t="s">
        <v>35</v>
      </c>
      <c r="B24" s="6">
        <f>ACOS((B$19^2+B$20^2-B$21^2)/(2*B$19*B$20))</f>
        <v>1.498879590478535</v>
      </c>
      <c r="C24" s="1">
        <f>DEGREES(B24)</f>
        <v>85.879474532717268</v>
      </c>
      <c r="D24" s="6">
        <f>ACOS((D$19^2+D$20^2-D$21^2)/(2*D$19*D$20))</f>
        <v>6.7825850046414171E-2</v>
      </c>
      <c r="E24" s="1">
        <f>DEGREES(D24)</f>
        <v>3.8861349495467308</v>
      </c>
      <c r="F24" s="6">
        <f>ACOS((F$19^2+F$20^2-F$21^2)/(2*F$19*F$20))</f>
        <v>0.14371722642949747</v>
      </c>
      <c r="G24" s="1">
        <f>DEGREES(F24)</f>
        <v>8.2343905177362142</v>
      </c>
      <c r="H24" s="6">
        <f>ACOS((H$19^2+H$20^2-H$21^2)/(2*H$19*H$20))</f>
        <v>1.4230771854103588</v>
      </c>
      <c r="I24" s="1">
        <f>DEGREES(H24)</f>
        <v>81.536316645369695</v>
      </c>
    </row>
    <row r="25" spans="1:9" x14ac:dyDescent="0.7">
      <c r="A25" t="s">
        <v>36</v>
      </c>
      <c r="B25" s="2">
        <f>0.5*B19*B20*SIN(B24)</f>
        <v>96278488.38997215</v>
      </c>
      <c r="C25" t="s">
        <v>37</v>
      </c>
      <c r="D25" s="3">
        <f>0.5*D19*D20*SIN(D24)</f>
        <v>1874472.169026644</v>
      </c>
      <c r="E25" t="s">
        <v>37</v>
      </c>
      <c r="F25" s="2">
        <f>0.5*F19*F20*SIN(F24)</f>
        <v>96278488.389972135</v>
      </c>
      <c r="G25" t="s">
        <v>37</v>
      </c>
      <c r="H25" s="3">
        <f>0.5*H19*H20*SIN(H24)</f>
        <v>5446474.378078633</v>
      </c>
      <c r="I25" t="s">
        <v>37</v>
      </c>
    </row>
    <row r="26" spans="1:9" x14ac:dyDescent="0.7">
      <c r="A26" t="s">
        <v>38</v>
      </c>
      <c r="B26" s="4">
        <f>B25+D25+F25+H25</f>
        <v>199877923.32704955</v>
      </c>
      <c r="C26" t="s">
        <v>37</v>
      </c>
    </row>
    <row r="27" spans="1:9" x14ac:dyDescent="0.7">
      <c r="A27" t="s">
        <v>38</v>
      </c>
      <c r="B27" s="4">
        <f>B26/1000/1000</f>
        <v>199.87792332704956</v>
      </c>
      <c r="C27" t="s">
        <v>39</v>
      </c>
    </row>
  </sheetData>
  <mergeCells count="4">
    <mergeCell ref="B15:C15"/>
    <mergeCell ref="D15:E15"/>
    <mergeCell ref="F15:G15"/>
    <mergeCell ref="H15:I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DD5D-ED27-43E2-9D2E-58CE80803108}">
  <dimension ref="A1:T68"/>
  <sheetViews>
    <sheetView tabSelected="1" topLeftCell="A4" workbookViewId="0">
      <selection activeCell="F9" sqref="F9"/>
    </sheetView>
  </sheetViews>
  <sheetFormatPr defaultRowHeight="25.5" x14ac:dyDescent="0.7"/>
  <sheetData>
    <row r="1" spans="1:20" x14ac:dyDescent="0.7">
      <c r="A1" t="s">
        <v>40</v>
      </c>
      <c r="B1" s="14">
        <f>J1*L4</f>
        <v>1.9999999999999999E-6</v>
      </c>
      <c r="C1" t="s">
        <v>41</v>
      </c>
      <c r="G1" t="s">
        <v>64</v>
      </c>
      <c r="J1" s="17">
        <v>2E-8</v>
      </c>
    </row>
    <row r="2" spans="1:20" x14ac:dyDescent="0.7">
      <c r="A2" t="s">
        <v>42</v>
      </c>
      <c r="B2" s="15">
        <v>0.23</v>
      </c>
      <c r="G2" t="s">
        <v>58</v>
      </c>
      <c r="J2" s="15">
        <v>482636</v>
      </c>
    </row>
    <row r="3" spans="1:20" x14ac:dyDescent="0.7">
      <c r="A3" t="s">
        <v>43</v>
      </c>
      <c r="B3" s="15">
        <v>5000</v>
      </c>
      <c r="C3" t="s">
        <v>0</v>
      </c>
      <c r="G3" t="s">
        <v>59</v>
      </c>
      <c r="J3" s="15">
        <v>6</v>
      </c>
    </row>
    <row r="4" spans="1:20" x14ac:dyDescent="0.7">
      <c r="A4" t="s">
        <v>44</v>
      </c>
      <c r="B4" s="15">
        <v>5</v>
      </c>
      <c r="C4" t="s">
        <v>45</v>
      </c>
      <c r="G4" t="s">
        <v>63</v>
      </c>
      <c r="J4" s="18">
        <v>2.0000000000000001E-4</v>
      </c>
      <c r="L4" s="19">
        <v>100</v>
      </c>
      <c r="M4" t="s">
        <v>62</v>
      </c>
    </row>
    <row r="6" spans="1:20" x14ac:dyDescent="0.7">
      <c r="B6">
        <v>252</v>
      </c>
      <c r="C6">
        <v>247.25700000000001</v>
      </c>
      <c r="D6">
        <v>242.262</v>
      </c>
    </row>
    <row r="7" spans="1:20" x14ac:dyDescent="0.7">
      <c r="A7" s="13" t="s">
        <v>60</v>
      </c>
      <c r="B7" s="22" t="s">
        <v>61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x14ac:dyDescent="0.7">
      <c r="B8" s="16">
        <v>0</v>
      </c>
      <c r="C8" s="16">
        <v>5</v>
      </c>
      <c r="D8" s="16">
        <f t="shared" ref="D8:K8" si="0">C8+5</f>
        <v>10</v>
      </c>
      <c r="E8" s="16">
        <f t="shared" si="0"/>
        <v>15</v>
      </c>
      <c r="F8" s="16">
        <f t="shared" si="0"/>
        <v>20</v>
      </c>
      <c r="G8" s="16">
        <f t="shared" si="0"/>
        <v>25</v>
      </c>
      <c r="H8" s="16">
        <f t="shared" si="0"/>
        <v>30</v>
      </c>
      <c r="I8" s="16">
        <f t="shared" si="0"/>
        <v>35</v>
      </c>
      <c r="J8" s="16">
        <f t="shared" si="0"/>
        <v>40</v>
      </c>
      <c r="K8" s="16">
        <f t="shared" si="0"/>
        <v>45</v>
      </c>
      <c r="L8" s="16">
        <f t="shared" ref="L8:T8" si="1">K8+5</f>
        <v>50</v>
      </c>
      <c r="M8" s="16">
        <f t="shared" si="1"/>
        <v>55</v>
      </c>
      <c r="N8" s="16">
        <f t="shared" si="1"/>
        <v>60</v>
      </c>
      <c r="O8" s="16">
        <f t="shared" si="1"/>
        <v>65</v>
      </c>
      <c r="P8" s="16">
        <f t="shared" si="1"/>
        <v>70</v>
      </c>
      <c r="Q8" s="16">
        <f t="shared" si="1"/>
        <v>75</v>
      </c>
      <c r="R8" s="16">
        <f t="shared" si="1"/>
        <v>80</v>
      </c>
      <c r="S8" s="16">
        <f t="shared" si="1"/>
        <v>85</v>
      </c>
      <c r="T8" s="16">
        <f t="shared" si="1"/>
        <v>90</v>
      </c>
    </row>
    <row r="9" spans="1:20" x14ac:dyDescent="0.7">
      <c r="A9" s="16">
        <v>0</v>
      </c>
      <c r="B9" s="14">
        <f t="shared" ref="B9:K18" si="2">$B$1*$B$2*EXP(-(($A9/$B$3)+(ABS(B$8)/$B$4)))</f>
        <v>4.5999999999999999E-7</v>
      </c>
      <c r="C9" s="14">
        <f t="shared" si="2"/>
        <v>1.6922454293886348E-7</v>
      </c>
      <c r="D9" s="14">
        <f t="shared" si="2"/>
        <v>6.2254230288841845E-8</v>
      </c>
      <c r="E9" s="14">
        <f t="shared" si="2"/>
        <v>2.2902051449217414E-8</v>
      </c>
      <c r="F9" s="14">
        <f t="shared" si="2"/>
        <v>8.4251938888177224E-9</v>
      </c>
      <c r="G9" s="14">
        <f t="shared" si="2"/>
        <v>3.0994556195793149E-9</v>
      </c>
      <c r="H9" s="14">
        <f t="shared" si="2"/>
        <v>1.1402260012665248E-9</v>
      </c>
      <c r="I9" s="14">
        <f t="shared" si="2"/>
        <v>4.1946570415507744E-10</v>
      </c>
      <c r="J9" s="14">
        <f t="shared" si="2"/>
        <v>1.5431280883515546E-10</v>
      </c>
      <c r="K9" s="14">
        <f t="shared" si="2"/>
        <v>5.6768509879872599E-11</v>
      </c>
      <c r="L9" s="14">
        <f t="shared" ref="L9:T18" si="3">$B$1*$B$2*EXP(-(($A9/$B$3)+(ABS(L$8)/$B$4)))</f>
        <v>2.0883967690743031E-11</v>
      </c>
      <c r="M9" s="14">
        <f t="shared" si="3"/>
        <v>7.6827823635130033E-12</v>
      </c>
      <c r="N9" s="14">
        <f t="shared" si="3"/>
        <v>2.8263376825309763E-12</v>
      </c>
      <c r="O9" s="14">
        <f t="shared" si="3"/>
        <v>1.039751527211285E-12</v>
      </c>
      <c r="P9" s="14">
        <f t="shared" si="3"/>
        <v>3.8250321078764124E-13</v>
      </c>
      <c r="Q9" s="14">
        <f t="shared" si="3"/>
        <v>1.4071506743083987E-13</v>
      </c>
      <c r="R9" s="14">
        <f t="shared" si="3"/>
        <v>5.1766180370859191E-14</v>
      </c>
      <c r="S9" s="14">
        <f t="shared" si="3"/>
        <v>1.9043713506411767E-14</v>
      </c>
      <c r="T9" s="14">
        <f t="shared" si="3"/>
        <v>7.005790682567809E-15</v>
      </c>
    </row>
    <row r="10" spans="1:20" x14ac:dyDescent="0.7">
      <c r="A10" s="16">
        <f>A9+1000</f>
        <v>1000</v>
      </c>
      <c r="B10" s="14">
        <f t="shared" si="2"/>
        <v>3.7661614641587162E-7</v>
      </c>
      <c r="C10" s="14">
        <f t="shared" si="2"/>
        <v>1.3854933747961299E-7</v>
      </c>
      <c r="D10" s="14">
        <f t="shared" si="2"/>
        <v>5.0969452846673577E-8</v>
      </c>
      <c r="E10" s="14">
        <f t="shared" si="2"/>
        <v>1.8750613830048457E-8</v>
      </c>
      <c r="F10" s="14">
        <f t="shared" si="2"/>
        <v>6.8979653374197431E-9</v>
      </c>
      <c r="G10" s="14">
        <f t="shared" si="2"/>
        <v>2.5376196335499548E-9</v>
      </c>
      <c r="H10" s="14">
        <f t="shared" si="2"/>
        <v>9.3353809269603767E-10</v>
      </c>
      <c r="I10" s="14">
        <f t="shared" si="2"/>
        <v>3.434294718532724E-10</v>
      </c>
      <c r="J10" s="14">
        <f t="shared" si="2"/>
        <v>1.2634064218718557E-10</v>
      </c>
      <c r="K10" s="14">
        <f t="shared" si="2"/>
        <v>4.6478124845062972E-11</v>
      </c>
      <c r="L10" s="14">
        <f t="shared" si="3"/>
        <v>1.7098346594698299E-11</v>
      </c>
      <c r="M10" s="14">
        <f t="shared" si="3"/>
        <v>6.2901301902132434E-12</v>
      </c>
      <c r="N10" s="14">
        <f t="shared" si="3"/>
        <v>2.3140095792712662E-12</v>
      </c>
      <c r="O10" s="14">
        <f t="shared" si="3"/>
        <v>8.512765508876777E-13</v>
      </c>
      <c r="P10" s="14">
        <f t="shared" si="3"/>
        <v>3.1316714182291175E-13</v>
      </c>
      <c r="Q10" s="14">
        <f t="shared" si="3"/>
        <v>1.1520775312707061E-13</v>
      </c>
      <c r="R10" s="14">
        <f t="shared" si="3"/>
        <v>4.2382563839004222E-14</v>
      </c>
      <c r="S10" s="14">
        <f t="shared" si="3"/>
        <v>1.559167390050585E-14</v>
      </c>
      <c r="T10" s="14">
        <f t="shared" si="3"/>
        <v>5.7358562814454543E-15</v>
      </c>
    </row>
    <row r="11" spans="1:20" x14ac:dyDescent="0.7">
      <c r="A11" s="16">
        <f t="shared" ref="A11:A16" si="4">A10+1000</f>
        <v>2000</v>
      </c>
      <c r="B11" s="14">
        <f t="shared" si="2"/>
        <v>3.0834722117639409E-7</v>
      </c>
      <c r="C11" s="14">
        <f t="shared" si="2"/>
        <v>1.1343460341313898E-7</v>
      </c>
      <c r="D11" s="14">
        <f t="shared" si="2"/>
        <v>4.1730258513129754E-8</v>
      </c>
      <c r="E11" s="14">
        <f t="shared" si="2"/>
        <v>1.5351704181749996E-8</v>
      </c>
      <c r="F11" s="14">
        <f t="shared" si="2"/>
        <v>5.6475763554114802E-9</v>
      </c>
      <c r="G11" s="14">
        <f t="shared" si="2"/>
        <v>2.0776272336018263E-9</v>
      </c>
      <c r="H11" s="14">
        <f t="shared" si="2"/>
        <v>7.6431634566000954E-10</v>
      </c>
      <c r="I11" s="14">
        <f t="shared" si="2"/>
        <v>2.8117627011960327E-10</v>
      </c>
      <c r="J11" s="14">
        <f t="shared" si="2"/>
        <v>1.0343896912227017E-10</v>
      </c>
      <c r="K11" s="14">
        <f t="shared" si="2"/>
        <v>3.8053070156050823E-11</v>
      </c>
      <c r="L11" s="14">
        <f t="shared" si="3"/>
        <v>1.3998942183865666E-11</v>
      </c>
      <c r="M11" s="14">
        <f t="shared" si="3"/>
        <v>5.149923027591832E-12</v>
      </c>
      <c r="N11" s="14">
        <f t="shared" si="3"/>
        <v>1.8945508054664258E-12</v>
      </c>
      <c r="O11" s="14">
        <f t="shared" si="3"/>
        <v>6.9696629158589447E-13</v>
      </c>
      <c r="P11" s="14">
        <f t="shared" si="3"/>
        <v>2.5639956986395137E-13</v>
      </c>
      <c r="Q11" s="14">
        <f t="shared" si="3"/>
        <v>9.4324130478148622E-14</v>
      </c>
      <c r="R11" s="14">
        <f t="shared" si="3"/>
        <v>3.469990840928359E-14</v>
      </c>
      <c r="S11" s="14">
        <f t="shared" si="3"/>
        <v>1.2765382914307479E-14</v>
      </c>
      <c r="T11" s="14">
        <f t="shared" si="3"/>
        <v>4.6961219328549136E-15</v>
      </c>
    </row>
    <row r="12" spans="1:20" x14ac:dyDescent="0.7">
      <c r="A12" s="16">
        <f t="shared" si="4"/>
        <v>3000</v>
      </c>
      <c r="B12" s="14">
        <f t="shared" si="2"/>
        <v>2.5245335260325215E-7</v>
      </c>
      <c r="C12" s="14">
        <f t="shared" si="2"/>
        <v>9.2872398277541476E-8</v>
      </c>
      <c r="D12" s="14">
        <f t="shared" si="2"/>
        <v>3.4165845978593585E-8</v>
      </c>
      <c r="E12" s="14">
        <f t="shared" si="2"/>
        <v>1.2568912325754576E-8</v>
      </c>
      <c r="F12" s="14">
        <f t="shared" si="2"/>
        <v>4.6238444425314497E-9</v>
      </c>
      <c r="G12" s="14">
        <f t="shared" si="2"/>
        <v>1.7010173095821487E-9</v>
      </c>
      <c r="H12" s="14">
        <f t="shared" si="2"/>
        <v>6.2576929727203112E-10</v>
      </c>
      <c r="I12" s="14">
        <f t="shared" si="2"/>
        <v>2.3020765938268097E-10</v>
      </c>
      <c r="J12" s="14">
        <f t="shared" si="2"/>
        <v>8.4688665087086433E-11</v>
      </c>
      <c r="K12" s="14">
        <f t="shared" si="2"/>
        <v>3.115521878579279E-11</v>
      </c>
      <c r="L12" s="14">
        <f t="shared" si="3"/>
        <v>1.1461364476491473E-11</v>
      </c>
      <c r="M12" s="14">
        <f t="shared" si="3"/>
        <v>4.2164003586739038E-12</v>
      </c>
      <c r="N12" s="14">
        <f t="shared" si="3"/>
        <v>1.5511270077040247E-12</v>
      </c>
      <c r="O12" s="14">
        <f t="shared" si="3"/>
        <v>5.7062773678008818E-13</v>
      </c>
      <c r="P12" s="14">
        <f t="shared" si="3"/>
        <v>2.0992221292358372E-13</v>
      </c>
      <c r="Q12" s="14">
        <f t="shared" si="3"/>
        <v>7.7226066379800507E-14</v>
      </c>
      <c r="R12" s="14">
        <f t="shared" si="3"/>
        <v>2.8409882143669672E-14</v>
      </c>
      <c r="S12" s="14">
        <f t="shared" si="3"/>
        <v>1.0451411566759735E-14</v>
      </c>
      <c r="T12" s="14">
        <f t="shared" si="3"/>
        <v>3.8448594466323197E-15</v>
      </c>
    </row>
    <row r="13" spans="1:20" x14ac:dyDescent="0.7">
      <c r="A13" s="16">
        <f t="shared" si="4"/>
        <v>4000</v>
      </c>
      <c r="B13" s="14">
        <f t="shared" si="2"/>
        <v>2.0669132349392192E-7</v>
      </c>
      <c r="C13" s="14">
        <f t="shared" si="2"/>
        <v>7.6037488581929798E-8</v>
      </c>
      <c r="D13" s="14">
        <f t="shared" si="2"/>
        <v>2.7972628807600267E-8</v>
      </c>
      <c r="E13" s="14">
        <f t="shared" si="2"/>
        <v>1.0290555053836176E-8</v>
      </c>
      <c r="F13" s="14">
        <f t="shared" si="2"/>
        <v>3.7856836425492137E-9</v>
      </c>
      <c r="G13" s="14">
        <f t="shared" si="2"/>
        <v>1.392675182872875E-9</v>
      </c>
      <c r="H13" s="14">
        <f t="shared" si="2"/>
        <v>5.1233656800860945E-10</v>
      </c>
      <c r="I13" s="14">
        <f t="shared" si="2"/>
        <v>1.8847809033070192E-10</v>
      </c>
      <c r="J13" s="14">
        <f t="shared" si="2"/>
        <v>6.9337214543919188E-11</v>
      </c>
      <c r="K13" s="14">
        <f t="shared" si="2"/>
        <v>2.5507735738801394E-11</v>
      </c>
      <c r="L13" s="14">
        <f t="shared" si="3"/>
        <v>9.3837715691390839E-12</v>
      </c>
      <c r="M13" s="14">
        <f t="shared" si="3"/>
        <v>3.4520966409353545E-12</v>
      </c>
      <c r="N13" s="14">
        <f t="shared" si="3"/>
        <v>1.2699553831371113E-12</v>
      </c>
      <c r="O13" s="14">
        <f t="shared" si="3"/>
        <v>4.671904766611455E-13</v>
      </c>
      <c r="P13" s="14">
        <f t="shared" si="3"/>
        <v>1.7186977147472195E-13</v>
      </c>
      <c r="Q13" s="14">
        <f t="shared" si="3"/>
        <v>6.3227355484384213E-14</v>
      </c>
      <c r="R13" s="14">
        <f t="shared" si="3"/>
        <v>2.3260044202343392E-14</v>
      </c>
      <c r="S13" s="14">
        <f t="shared" si="3"/>
        <v>8.5568920627811352E-15</v>
      </c>
      <c r="T13" s="14">
        <f t="shared" si="3"/>
        <v>3.1479046702202741E-15</v>
      </c>
    </row>
    <row r="14" spans="1:20" x14ac:dyDescent="0.7">
      <c r="A14" s="16">
        <f t="shared" si="4"/>
        <v>5000</v>
      </c>
      <c r="B14" s="14">
        <f t="shared" si="2"/>
        <v>1.6922454293886348E-7</v>
      </c>
      <c r="C14" s="14">
        <f t="shared" si="2"/>
        <v>6.2254230288841845E-8</v>
      </c>
      <c r="D14" s="14">
        <f t="shared" si="2"/>
        <v>2.2902051449217414E-8</v>
      </c>
      <c r="E14" s="14">
        <f t="shared" si="2"/>
        <v>8.4251938888177224E-9</v>
      </c>
      <c r="F14" s="14">
        <f t="shared" si="2"/>
        <v>3.0994556195793149E-9</v>
      </c>
      <c r="G14" s="14">
        <f t="shared" si="2"/>
        <v>1.1402260012665248E-9</v>
      </c>
      <c r="H14" s="14">
        <f t="shared" si="2"/>
        <v>4.1946570415507744E-10</v>
      </c>
      <c r="I14" s="14">
        <f t="shared" si="2"/>
        <v>1.5431280883515546E-10</v>
      </c>
      <c r="J14" s="14">
        <f t="shared" si="2"/>
        <v>5.6768509879872599E-11</v>
      </c>
      <c r="K14" s="14">
        <f t="shared" si="2"/>
        <v>2.0883967690743031E-11</v>
      </c>
      <c r="L14" s="14">
        <f t="shared" si="3"/>
        <v>7.6827823635130033E-12</v>
      </c>
      <c r="M14" s="14">
        <f t="shared" si="3"/>
        <v>2.8263376825309763E-12</v>
      </c>
      <c r="N14" s="14">
        <f t="shared" si="3"/>
        <v>1.039751527211285E-12</v>
      </c>
      <c r="O14" s="14">
        <f t="shared" si="3"/>
        <v>3.8250321078764124E-13</v>
      </c>
      <c r="P14" s="14">
        <f t="shared" si="3"/>
        <v>1.4071506743083987E-13</v>
      </c>
      <c r="Q14" s="14">
        <f t="shared" si="3"/>
        <v>5.1766180370859191E-14</v>
      </c>
      <c r="R14" s="14">
        <f t="shared" si="3"/>
        <v>1.9043713506411767E-14</v>
      </c>
      <c r="S14" s="14">
        <f t="shared" si="3"/>
        <v>7.005790682567809E-15</v>
      </c>
      <c r="T14" s="14">
        <f t="shared" si="3"/>
        <v>2.5772863612671433E-15</v>
      </c>
    </row>
    <row r="15" spans="1:20" x14ac:dyDescent="0.7">
      <c r="A15" s="16">
        <f t="shared" si="4"/>
        <v>6000</v>
      </c>
      <c r="B15" s="14">
        <f t="shared" si="2"/>
        <v>1.3854933747961299E-7</v>
      </c>
      <c r="C15" s="14">
        <f t="shared" si="2"/>
        <v>5.0969452846673577E-8</v>
      </c>
      <c r="D15" s="14">
        <f t="shared" si="2"/>
        <v>1.8750613830048457E-8</v>
      </c>
      <c r="E15" s="14">
        <f t="shared" si="2"/>
        <v>6.8979653374197431E-9</v>
      </c>
      <c r="F15" s="14">
        <f t="shared" si="2"/>
        <v>2.5376196335499548E-9</v>
      </c>
      <c r="G15" s="14">
        <f t="shared" si="2"/>
        <v>9.3353809269603767E-10</v>
      </c>
      <c r="H15" s="14">
        <f t="shared" si="2"/>
        <v>3.434294718532724E-10</v>
      </c>
      <c r="I15" s="14">
        <f t="shared" si="2"/>
        <v>1.2634064218718557E-10</v>
      </c>
      <c r="J15" s="14">
        <f t="shared" si="2"/>
        <v>4.6478124845062972E-11</v>
      </c>
      <c r="K15" s="14">
        <f t="shared" si="2"/>
        <v>1.7098346594698299E-11</v>
      </c>
      <c r="L15" s="14">
        <f t="shared" si="3"/>
        <v>6.2901301902132434E-12</v>
      </c>
      <c r="M15" s="14">
        <f t="shared" si="3"/>
        <v>2.3140095792712662E-12</v>
      </c>
      <c r="N15" s="14">
        <f t="shared" si="3"/>
        <v>8.512765508876777E-13</v>
      </c>
      <c r="O15" s="14">
        <f t="shared" si="3"/>
        <v>3.1316714182291175E-13</v>
      </c>
      <c r="P15" s="14">
        <f t="shared" si="3"/>
        <v>1.1520775312707061E-13</v>
      </c>
      <c r="Q15" s="14">
        <f t="shared" si="3"/>
        <v>4.2382563839004222E-14</v>
      </c>
      <c r="R15" s="14">
        <f t="shared" si="3"/>
        <v>1.559167390050585E-14</v>
      </c>
      <c r="S15" s="14">
        <f t="shared" si="3"/>
        <v>5.7358562814454543E-15</v>
      </c>
      <c r="T15" s="14">
        <f t="shared" si="3"/>
        <v>2.1101036034578608E-15</v>
      </c>
    </row>
    <row r="16" spans="1:20" x14ac:dyDescent="0.7">
      <c r="A16" s="16">
        <f t="shared" si="4"/>
        <v>7000</v>
      </c>
      <c r="B16" s="14">
        <f t="shared" si="2"/>
        <v>1.1343460341313898E-7</v>
      </c>
      <c r="C16" s="14">
        <f t="shared" si="2"/>
        <v>4.1730258513129754E-8</v>
      </c>
      <c r="D16" s="14">
        <f t="shared" si="2"/>
        <v>1.5351704181749996E-8</v>
      </c>
      <c r="E16" s="14">
        <f t="shared" si="2"/>
        <v>5.6475763554114802E-9</v>
      </c>
      <c r="F16" s="14">
        <f t="shared" si="2"/>
        <v>2.0776272336018263E-9</v>
      </c>
      <c r="G16" s="14">
        <f t="shared" si="2"/>
        <v>7.6431634566000954E-10</v>
      </c>
      <c r="H16" s="14">
        <f t="shared" si="2"/>
        <v>2.8117627011960327E-10</v>
      </c>
      <c r="I16" s="14">
        <f t="shared" si="2"/>
        <v>1.0343896912227017E-10</v>
      </c>
      <c r="J16" s="14">
        <f t="shared" si="2"/>
        <v>3.8053070156050823E-11</v>
      </c>
      <c r="K16" s="14">
        <f t="shared" si="2"/>
        <v>1.3998942183865666E-11</v>
      </c>
      <c r="L16" s="14">
        <f t="shared" si="3"/>
        <v>5.149923027591832E-12</v>
      </c>
      <c r="M16" s="14">
        <f t="shared" si="3"/>
        <v>1.8945508054664258E-12</v>
      </c>
      <c r="N16" s="14">
        <f t="shared" si="3"/>
        <v>6.9696629158589447E-13</v>
      </c>
      <c r="O16" s="14">
        <f t="shared" si="3"/>
        <v>2.5639956986395137E-13</v>
      </c>
      <c r="P16" s="14">
        <f t="shared" si="3"/>
        <v>9.4324130478148622E-14</v>
      </c>
      <c r="Q16" s="14">
        <f t="shared" si="3"/>
        <v>3.469990840928359E-14</v>
      </c>
      <c r="R16" s="14">
        <f t="shared" si="3"/>
        <v>1.2765382914307479E-14</v>
      </c>
      <c r="S16" s="14">
        <f t="shared" si="3"/>
        <v>4.6961219328549136E-15</v>
      </c>
      <c r="T16" s="14">
        <f t="shared" si="3"/>
        <v>1.7276067123316191E-15</v>
      </c>
    </row>
    <row r="17" spans="1:20" x14ac:dyDescent="0.7">
      <c r="A17" s="16">
        <f t="shared" ref="A17:A49" si="5">A16+1000</f>
        <v>8000</v>
      </c>
      <c r="B17" s="14">
        <f t="shared" si="2"/>
        <v>9.2872398277541476E-8</v>
      </c>
      <c r="C17" s="14">
        <f t="shared" si="2"/>
        <v>3.4165845978593585E-8</v>
      </c>
      <c r="D17" s="14">
        <f t="shared" si="2"/>
        <v>1.2568912325754576E-8</v>
      </c>
      <c r="E17" s="14">
        <f t="shared" si="2"/>
        <v>4.6238444425314497E-9</v>
      </c>
      <c r="F17" s="14">
        <f t="shared" si="2"/>
        <v>1.7010173095821487E-9</v>
      </c>
      <c r="G17" s="14">
        <f t="shared" si="2"/>
        <v>6.2576929727203112E-10</v>
      </c>
      <c r="H17" s="14">
        <f t="shared" si="2"/>
        <v>2.3020765938268097E-10</v>
      </c>
      <c r="I17" s="14">
        <f t="shared" si="2"/>
        <v>8.4688665087086433E-11</v>
      </c>
      <c r="J17" s="14">
        <f t="shared" si="2"/>
        <v>3.115521878579279E-11</v>
      </c>
      <c r="K17" s="14">
        <f t="shared" si="2"/>
        <v>1.1461364476491473E-11</v>
      </c>
      <c r="L17" s="14">
        <f t="shared" si="3"/>
        <v>4.2164003586739038E-12</v>
      </c>
      <c r="M17" s="14">
        <f t="shared" si="3"/>
        <v>1.5511270077040247E-12</v>
      </c>
      <c r="N17" s="14">
        <f t="shared" si="3"/>
        <v>5.7062773678008818E-13</v>
      </c>
      <c r="O17" s="14">
        <f t="shared" si="3"/>
        <v>2.0992221292358372E-13</v>
      </c>
      <c r="P17" s="14">
        <f t="shared" si="3"/>
        <v>7.7226066379800507E-14</v>
      </c>
      <c r="Q17" s="14">
        <f t="shared" si="3"/>
        <v>2.8409882143669672E-14</v>
      </c>
      <c r="R17" s="14">
        <f t="shared" si="3"/>
        <v>1.0451411566759735E-14</v>
      </c>
      <c r="S17" s="14">
        <f t="shared" si="3"/>
        <v>3.8448594466323197E-15</v>
      </c>
      <c r="T17" s="14">
        <f t="shared" si="3"/>
        <v>1.4144447446098388E-15</v>
      </c>
    </row>
    <row r="18" spans="1:20" x14ac:dyDescent="0.7">
      <c r="A18" s="16">
        <f t="shared" si="5"/>
        <v>9000</v>
      </c>
      <c r="B18" s="14">
        <f t="shared" si="2"/>
        <v>7.6037488581929798E-8</v>
      </c>
      <c r="C18" s="14">
        <f t="shared" si="2"/>
        <v>2.7972628807600267E-8</v>
      </c>
      <c r="D18" s="14">
        <f t="shared" si="2"/>
        <v>1.0290555053836176E-8</v>
      </c>
      <c r="E18" s="14">
        <f t="shared" si="2"/>
        <v>3.7856836425492137E-9</v>
      </c>
      <c r="F18" s="14">
        <f t="shared" si="2"/>
        <v>1.392675182872875E-9</v>
      </c>
      <c r="G18" s="14">
        <f t="shared" si="2"/>
        <v>5.1233656800860945E-10</v>
      </c>
      <c r="H18" s="14">
        <f t="shared" si="2"/>
        <v>1.8847809033070192E-10</v>
      </c>
      <c r="I18" s="14">
        <f t="shared" si="2"/>
        <v>6.9337214543919188E-11</v>
      </c>
      <c r="J18" s="14">
        <f t="shared" si="2"/>
        <v>2.5507735738801394E-11</v>
      </c>
      <c r="K18" s="14">
        <f t="shared" si="2"/>
        <v>9.3837715691390839E-12</v>
      </c>
      <c r="L18" s="14">
        <f t="shared" si="3"/>
        <v>3.4520966409353545E-12</v>
      </c>
      <c r="M18" s="14">
        <f t="shared" si="3"/>
        <v>1.2699553831371113E-12</v>
      </c>
      <c r="N18" s="14">
        <f t="shared" si="3"/>
        <v>4.671904766611455E-13</v>
      </c>
      <c r="O18" s="14">
        <f t="shared" si="3"/>
        <v>1.7186977147472195E-13</v>
      </c>
      <c r="P18" s="14">
        <f t="shared" si="3"/>
        <v>6.3227355484384213E-14</v>
      </c>
      <c r="Q18" s="14">
        <f t="shared" si="3"/>
        <v>2.3260044202343392E-14</v>
      </c>
      <c r="R18" s="14">
        <f t="shared" si="3"/>
        <v>8.5568920627811352E-15</v>
      </c>
      <c r="S18" s="14">
        <f t="shared" si="3"/>
        <v>3.1479046702202741E-15</v>
      </c>
      <c r="T18" s="14">
        <f t="shared" si="3"/>
        <v>1.1580494109416079E-15</v>
      </c>
    </row>
    <row r="19" spans="1:20" x14ac:dyDescent="0.7">
      <c r="A19" s="16">
        <f t="shared" si="5"/>
        <v>10000</v>
      </c>
      <c r="B19" s="14">
        <f t="shared" ref="B19:K28" si="6">$B$1*$B$2*EXP(-(($A19/$B$3)+(ABS(B$8)/$B$4)))</f>
        <v>6.2254230288841845E-8</v>
      </c>
      <c r="C19" s="14">
        <f t="shared" si="6"/>
        <v>2.2902051449217414E-8</v>
      </c>
      <c r="D19" s="14">
        <f t="shared" si="6"/>
        <v>8.4251938888177224E-9</v>
      </c>
      <c r="E19" s="14">
        <f t="shared" si="6"/>
        <v>3.0994556195793149E-9</v>
      </c>
      <c r="F19" s="14">
        <f t="shared" si="6"/>
        <v>1.1402260012665248E-9</v>
      </c>
      <c r="G19" s="14">
        <f t="shared" si="6"/>
        <v>4.1946570415507744E-10</v>
      </c>
      <c r="H19" s="14">
        <f t="shared" si="6"/>
        <v>1.5431280883515546E-10</v>
      </c>
      <c r="I19" s="14">
        <f t="shared" si="6"/>
        <v>5.6768509879872599E-11</v>
      </c>
      <c r="J19" s="14">
        <f t="shared" si="6"/>
        <v>2.0883967690743031E-11</v>
      </c>
      <c r="K19" s="14">
        <f t="shared" si="6"/>
        <v>7.6827823635130033E-12</v>
      </c>
      <c r="L19" s="14">
        <f t="shared" ref="L19:T28" si="7">$B$1*$B$2*EXP(-(($A19/$B$3)+(ABS(L$8)/$B$4)))</f>
        <v>2.8263376825309763E-12</v>
      </c>
      <c r="M19" s="14">
        <f t="shared" si="7"/>
        <v>1.039751527211285E-12</v>
      </c>
      <c r="N19" s="14">
        <f t="shared" si="7"/>
        <v>3.8250321078764124E-13</v>
      </c>
      <c r="O19" s="14">
        <f t="shared" si="7"/>
        <v>1.4071506743083987E-13</v>
      </c>
      <c r="P19" s="14">
        <f t="shared" si="7"/>
        <v>5.1766180370859191E-14</v>
      </c>
      <c r="Q19" s="14">
        <f t="shared" si="7"/>
        <v>1.9043713506411767E-14</v>
      </c>
      <c r="R19" s="14">
        <f t="shared" si="7"/>
        <v>7.005790682567809E-15</v>
      </c>
      <c r="S19" s="14">
        <f t="shared" si="7"/>
        <v>2.5772863612671433E-15</v>
      </c>
      <c r="T19" s="14">
        <f t="shared" si="7"/>
        <v>9.4813066632173661E-16</v>
      </c>
    </row>
    <row r="20" spans="1:20" x14ac:dyDescent="0.7">
      <c r="A20" s="16">
        <f t="shared" si="5"/>
        <v>11000</v>
      </c>
      <c r="B20" s="14">
        <f t="shared" si="6"/>
        <v>5.0969452846673577E-8</v>
      </c>
      <c r="C20" s="14">
        <f t="shared" si="6"/>
        <v>1.8750613830048457E-8</v>
      </c>
      <c r="D20" s="14">
        <f t="shared" si="6"/>
        <v>6.8979653374197431E-9</v>
      </c>
      <c r="E20" s="14">
        <f t="shared" si="6"/>
        <v>2.5376196335499548E-9</v>
      </c>
      <c r="F20" s="14">
        <f t="shared" si="6"/>
        <v>9.3353809269603767E-10</v>
      </c>
      <c r="G20" s="14">
        <f t="shared" si="6"/>
        <v>3.434294718532724E-10</v>
      </c>
      <c r="H20" s="14">
        <f t="shared" si="6"/>
        <v>1.2634064218718557E-10</v>
      </c>
      <c r="I20" s="14">
        <f t="shared" si="6"/>
        <v>4.6478124845062972E-11</v>
      </c>
      <c r="J20" s="14">
        <f t="shared" si="6"/>
        <v>1.7098346594698299E-11</v>
      </c>
      <c r="K20" s="14">
        <f t="shared" si="6"/>
        <v>6.2901301902132434E-12</v>
      </c>
      <c r="L20" s="14">
        <f t="shared" si="7"/>
        <v>2.3140095792712662E-12</v>
      </c>
      <c r="M20" s="14">
        <f t="shared" si="7"/>
        <v>8.512765508876777E-13</v>
      </c>
      <c r="N20" s="14">
        <f t="shared" si="7"/>
        <v>3.1316714182291175E-13</v>
      </c>
      <c r="O20" s="14">
        <f t="shared" si="7"/>
        <v>1.1520775312707061E-13</v>
      </c>
      <c r="P20" s="14">
        <f t="shared" si="7"/>
        <v>4.2382563839004222E-14</v>
      </c>
      <c r="Q20" s="14">
        <f t="shared" si="7"/>
        <v>1.559167390050585E-14</v>
      </c>
      <c r="R20" s="14">
        <f t="shared" si="7"/>
        <v>5.7358562814454543E-15</v>
      </c>
      <c r="S20" s="14">
        <f t="shared" si="7"/>
        <v>2.1101036034578608E-15</v>
      </c>
      <c r="T20" s="14">
        <f t="shared" si="7"/>
        <v>7.7626373445392468E-16</v>
      </c>
    </row>
    <row r="21" spans="1:20" x14ac:dyDescent="0.7">
      <c r="A21" s="16">
        <f t="shared" si="5"/>
        <v>12000</v>
      </c>
      <c r="B21" s="14">
        <f t="shared" si="6"/>
        <v>4.1730258513129754E-8</v>
      </c>
      <c r="C21" s="14">
        <f t="shared" si="6"/>
        <v>1.5351704181749996E-8</v>
      </c>
      <c r="D21" s="14">
        <f t="shared" si="6"/>
        <v>5.6475763554114802E-9</v>
      </c>
      <c r="E21" s="14">
        <f t="shared" si="6"/>
        <v>2.0776272336018263E-9</v>
      </c>
      <c r="F21" s="14">
        <f t="shared" si="6"/>
        <v>7.6431634566000954E-10</v>
      </c>
      <c r="G21" s="14">
        <f t="shared" si="6"/>
        <v>2.8117627011960327E-10</v>
      </c>
      <c r="H21" s="14">
        <f t="shared" si="6"/>
        <v>1.0343896912227017E-10</v>
      </c>
      <c r="I21" s="14">
        <f t="shared" si="6"/>
        <v>3.8053070156050823E-11</v>
      </c>
      <c r="J21" s="14">
        <f t="shared" si="6"/>
        <v>1.3998942183865666E-11</v>
      </c>
      <c r="K21" s="14">
        <f t="shared" si="6"/>
        <v>5.149923027591832E-12</v>
      </c>
      <c r="L21" s="14">
        <f t="shared" si="7"/>
        <v>1.8945508054664258E-12</v>
      </c>
      <c r="M21" s="14">
        <f t="shared" si="7"/>
        <v>6.9696629158589447E-13</v>
      </c>
      <c r="N21" s="14">
        <f t="shared" si="7"/>
        <v>2.5639956986395137E-13</v>
      </c>
      <c r="O21" s="14">
        <f t="shared" si="7"/>
        <v>9.4324130478148622E-14</v>
      </c>
      <c r="P21" s="14">
        <f t="shared" si="7"/>
        <v>3.469990840928359E-14</v>
      </c>
      <c r="Q21" s="14">
        <f t="shared" si="7"/>
        <v>1.2765382914307479E-14</v>
      </c>
      <c r="R21" s="14">
        <f t="shared" si="7"/>
        <v>4.6961219328549136E-15</v>
      </c>
      <c r="S21" s="14">
        <f t="shared" si="7"/>
        <v>1.7276067123316191E-15</v>
      </c>
      <c r="T21" s="14">
        <f t="shared" si="7"/>
        <v>6.3555099189658872E-16</v>
      </c>
    </row>
    <row r="22" spans="1:20" x14ac:dyDescent="0.7">
      <c r="A22" s="16">
        <f t="shared" si="5"/>
        <v>13000</v>
      </c>
      <c r="B22" s="14">
        <f t="shared" si="6"/>
        <v>3.4165845978593585E-8</v>
      </c>
      <c r="C22" s="14">
        <f t="shared" si="6"/>
        <v>1.2568912325754576E-8</v>
      </c>
      <c r="D22" s="14">
        <f t="shared" si="6"/>
        <v>4.6238444425314497E-9</v>
      </c>
      <c r="E22" s="14">
        <f t="shared" si="6"/>
        <v>1.7010173095821487E-9</v>
      </c>
      <c r="F22" s="14">
        <f t="shared" si="6"/>
        <v>6.2576929727203112E-10</v>
      </c>
      <c r="G22" s="14">
        <f t="shared" si="6"/>
        <v>2.3020765938268097E-10</v>
      </c>
      <c r="H22" s="14">
        <f t="shared" si="6"/>
        <v>8.4688665087086433E-11</v>
      </c>
      <c r="I22" s="14">
        <f t="shared" si="6"/>
        <v>3.115521878579279E-11</v>
      </c>
      <c r="J22" s="14">
        <f t="shared" si="6"/>
        <v>1.1461364476491473E-11</v>
      </c>
      <c r="K22" s="14">
        <f t="shared" si="6"/>
        <v>4.2164003586739038E-12</v>
      </c>
      <c r="L22" s="14">
        <f t="shared" si="7"/>
        <v>1.5511270077040247E-12</v>
      </c>
      <c r="M22" s="14">
        <f t="shared" si="7"/>
        <v>5.7062773678008818E-13</v>
      </c>
      <c r="N22" s="14">
        <f t="shared" si="7"/>
        <v>2.0992221292358372E-13</v>
      </c>
      <c r="O22" s="14">
        <f t="shared" si="7"/>
        <v>7.7226066379800507E-14</v>
      </c>
      <c r="P22" s="14">
        <f t="shared" si="7"/>
        <v>2.8409882143669672E-14</v>
      </c>
      <c r="Q22" s="14">
        <f t="shared" si="7"/>
        <v>1.0451411566759735E-14</v>
      </c>
      <c r="R22" s="14">
        <f t="shared" si="7"/>
        <v>3.8448594466323197E-15</v>
      </c>
      <c r="S22" s="14">
        <f t="shared" si="7"/>
        <v>1.4144447446098388E-15</v>
      </c>
      <c r="T22" s="14">
        <f t="shared" si="7"/>
        <v>5.2034514221495098E-16</v>
      </c>
    </row>
    <row r="23" spans="1:20" x14ac:dyDescent="0.7">
      <c r="A23" s="16">
        <f t="shared" si="5"/>
        <v>14000</v>
      </c>
      <c r="B23" s="14">
        <f t="shared" si="6"/>
        <v>2.7972628807600267E-8</v>
      </c>
      <c r="C23" s="14">
        <f t="shared" si="6"/>
        <v>1.0290555053836176E-8</v>
      </c>
      <c r="D23" s="14">
        <f t="shared" si="6"/>
        <v>3.7856836425492137E-9</v>
      </c>
      <c r="E23" s="14">
        <f t="shared" si="6"/>
        <v>1.392675182872875E-9</v>
      </c>
      <c r="F23" s="14">
        <f t="shared" si="6"/>
        <v>5.1233656800860945E-10</v>
      </c>
      <c r="G23" s="14">
        <f t="shared" si="6"/>
        <v>1.8847809033070192E-10</v>
      </c>
      <c r="H23" s="14">
        <f t="shared" si="6"/>
        <v>6.9337214543919188E-11</v>
      </c>
      <c r="I23" s="14">
        <f t="shared" si="6"/>
        <v>2.5507735738801394E-11</v>
      </c>
      <c r="J23" s="14">
        <f t="shared" si="6"/>
        <v>9.3837715691390839E-12</v>
      </c>
      <c r="K23" s="14">
        <f t="shared" si="6"/>
        <v>3.4520966409353545E-12</v>
      </c>
      <c r="L23" s="14">
        <f t="shared" si="7"/>
        <v>1.2699553831371113E-12</v>
      </c>
      <c r="M23" s="14">
        <f t="shared" si="7"/>
        <v>4.671904766611455E-13</v>
      </c>
      <c r="N23" s="14">
        <f t="shared" si="7"/>
        <v>1.7186977147472195E-13</v>
      </c>
      <c r="O23" s="14">
        <f t="shared" si="7"/>
        <v>6.3227355484384213E-14</v>
      </c>
      <c r="P23" s="14">
        <f t="shared" si="7"/>
        <v>2.3260044202343392E-14</v>
      </c>
      <c r="Q23" s="14">
        <f t="shared" si="7"/>
        <v>8.5568920627811352E-15</v>
      </c>
      <c r="R23" s="14">
        <f t="shared" si="7"/>
        <v>3.1479046702202741E-15</v>
      </c>
      <c r="S23" s="14">
        <f t="shared" si="7"/>
        <v>1.1580494109416079E-15</v>
      </c>
      <c r="T23" s="14">
        <f t="shared" si="7"/>
        <v>4.2602257014611666E-16</v>
      </c>
    </row>
    <row r="24" spans="1:20" x14ac:dyDescent="0.7">
      <c r="A24" s="16">
        <f t="shared" si="5"/>
        <v>15000</v>
      </c>
      <c r="B24" s="14">
        <f t="shared" si="6"/>
        <v>2.2902051449217414E-8</v>
      </c>
      <c r="C24" s="14">
        <f t="shared" si="6"/>
        <v>8.4251938888177224E-9</v>
      </c>
      <c r="D24" s="14">
        <f t="shared" si="6"/>
        <v>3.0994556195793149E-9</v>
      </c>
      <c r="E24" s="14">
        <f t="shared" si="6"/>
        <v>1.1402260012665248E-9</v>
      </c>
      <c r="F24" s="14">
        <f t="shared" si="6"/>
        <v>4.1946570415507744E-10</v>
      </c>
      <c r="G24" s="14">
        <f t="shared" si="6"/>
        <v>1.5431280883515546E-10</v>
      </c>
      <c r="H24" s="14">
        <f t="shared" si="6"/>
        <v>5.6768509879872599E-11</v>
      </c>
      <c r="I24" s="14">
        <f t="shared" si="6"/>
        <v>2.0883967690743031E-11</v>
      </c>
      <c r="J24" s="14">
        <f t="shared" si="6"/>
        <v>7.6827823635130033E-12</v>
      </c>
      <c r="K24" s="14">
        <f t="shared" si="6"/>
        <v>2.8263376825309763E-12</v>
      </c>
      <c r="L24" s="14">
        <f t="shared" si="7"/>
        <v>1.039751527211285E-12</v>
      </c>
      <c r="M24" s="14">
        <f t="shared" si="7"/>
        <v>3.8250321078764124E-13</v>
      </c>
      <c r="N24" s="14">
        <f t="shared" si="7"/>
        <v>1.4071506743083987E-13</v>
      </c>
      <c r="O24" s="14">
        <f t="shared" si="7"/>
        <v>5.1766180370859191E-14</v>
      </c>
      <c r="P24" s="14">
        <f t="shared" si="7"/>
        <v>1.9043713506411767E-14</v>
      </c>
      <c r="Q24" s="14">
        <f t="shared" si="7"/>
        <v>7.005790682567809E-15</v>
      </c>
      <c r="R24" s="14">
        <f t="shared" si="7"/>
        <v>2.5772863612671433E-15</v>
      </c>
      <c r="S24" s="14">
        <f t="shared" si="7"/>
        <v>9.4813066632173661E-16</v>
      </c>
      <c r="T24" s="14">
        <f t="shared" si="7"/>
        <v>3.4879777968394768E-16</v>
      </c>
    </row>
    <row r="25" spans="1:20" x14ac:dyDescent="0.7">
      <c r="A25" s="16">
        <f t="shared" si="5"/>
        <v>16000</v>
      </c>
      <c r="B25" s="14">
        <f t="shared" si="6"/>
        <v>1.8750613830048457E-8</v>
      </c>
      <c r="C25" s="14">
        <f t="shared" si="6"/>
        <v>6.8979653374197431E-9</v>
      </c>
      <c r="D25" s="14">
        <f t="shared" si="6"/>
        <v>2.5376196335499548E-9</v>
      </c>
      <c r="E25" s="14">
        <f t="shared" si="6"/>
        <v>9.3353809269603767E-10</v>
      </c>
      <c r="F25" s="14">
        <f t="shared" si="6"/>
        <v>3.434294718532724E-10</v>
      </c>
      <c r="G25" s="14">
        <f t="shared" si="6"/>
        <v>1.2634064218718557E-10</v>
      </c>
      <c r="H25" s="14">
        <f t="shared" si="6"/>
        <v>4.6478124845062972E-11</v>
      </c>
      <c r="I25" s="14">
        <f t="shared" si="6"/>
        <v>1.7098346594698299E-11</v>
      </c>
      <c r="J25" s="14">
        <f t="shared" si="6"/>
        <v>6.2901301902132434E-12</v>
      </c>
      <c r="K25" s="14">
        <f t="shared" si="6"/>
        <v>2.3140095792712662E-12</v>
      </c>
      <c r="L25" s="14">
        <f t="shared" si="7"/>
        <v>8.512765508876777E-13</v>
      </c>
      <c r="M25" s="14">
        <f t="shared" si="7"/>
        <v>3.1316714182291175E-13</v>
      </c>
      <c r="N25" s="14">
        <f t="shared" si="7"/>
        <v>1.1520775312707061E-13</v>
      </c>
      <c r="O25" s="14">
        <f t="shared" si="7"/>
        <v>4.2382563839004222E-14</v>
      </c>
      <c r="P25" s="14">
        <f t="shared" si="7"/>
        <v>1.559167390050585E-14</v>
      </c>
      <c r="Q25" s="14">
        <f t="shared" si="7"/>
        <v>5.7358562814454543E-15</v>
      </c>
      <c r="R25" s="14">
        <f t="shared" si="7"/>
        <v>2.1101036034578608E-15</v>
      </c>
      <c r="S25" s="14">
        <f t="shared" si="7"/>
        <v>7.7626373445392468E-16</v>
      </c>
      <c r="T25" s="14">
        <f t="shared" si="7"/>
        <v>2.8557146883256672E-16</v>
      </c>
    </row>
    <row r="26" spans="1:20" x14ac:dyDescent="0.7">
      <c r="A26" s="16">
        <f t="shared" si="5"/>
        <v>17000</v>
      </c>
      <c r="B26" s="14">
        <f t="shared" si="6"/>
        <v>1.5351704181749996E-8</v>
      </c>
      <c r="C26" s="14">
        <f t="shared" si="6"/>
        <v>5.6475763554114802E-9</v>
      </c>
      <c r="D26" s="14">
        <f t="shared" si="6"/>
        <v>2.0776272336018263E-9</v>
      </c>
      <c r="E26" s="14">
        <f t="shared" si="6"/>
        <v>7.6431634566000954E-10</v>
      </c>
      <c r="F26" s="14">
        <f t="shared" si="6"/>
        <v>2.8117627011960327E-10</v>
      </c>
      <c r="G26" s="14">
        <f t="shared" si="6"/>
        <v>1.0343896912227017E-10</v>
      </c>
      <c r="H26" s="14">
        <f t="shared" si="6"/>
        <v>3.8053070156050823E-11</v>
      </c>
      <c r="I26" s="14">
        <f t="shared" si="6"/>
        <v>1.3998942183865666E-11</v>
      </c>
      <c r="J26" s="14">
        <f t="shared" si="6"/>
        <v>5.149923027591832E-12</v>
      </c>
      <c r="K26" s="14">
        <f t="shared" si="6"/>
        <v>1.8945508054664258E-12</v>
      </c>
      <c r="L26" s="14">
        <f t="shared" si="7"/>
        <v>6.9696629158589447E-13</v>
      </c>
      <c r="M26" s="14">
        <f t="shared" si="7"/>
        <v>2.5639956986395137E-13</v>
      </c>
      <c r="N26" s="14">
        <f t="shared" si="7"/>
        <v>9.4324130478148622E-14</v>
      </c>
      <c r="O26" s="14">
        <f t="shared" si="7"/>
        <v>3.469990840928359E-14</v>
      </c>
      <c r="P26" s="14">
        <f t="shared" si="7"/>
        <v>1.2765382914307479E-14</v>
      </c>
      <c r="Q26" s="14">
        <f t="shared" si="7"/>
        <v>4.6961219328549136E-15</v>
      </c>
      <c r="R26" s="14">
        <f t="shared" si="7"/>
        <v>1.7276067123316191E-15</v>
      </c>
      <c r="S26" s="14">
        <f t="shared" si="7"/>
        <v>6.3555099189658872E-16</v>
      </c>
      <c r="T26" s="14">
        <f t="shared" si="7"/>
        <v>2.338061437348729E-16</v>
      </c>
    </row>
    <row r="27" spans="1:20" x14ac:dyDescent="0.7">
      <c r="A27" s="16">
        <f t="shared" si="5"/>
        <v>18000</v>
      </c>
      <c r="B27" s="14">
        <f t="shared" si="6"/>
        <v>1.2568912325754576E-8</v>
      </c>
      <c r="C27" s="14">
        <f t="shared" si="6"/>
        <v>4.6238444425314497E-9</v>
      </c>
      <c r="D27" s="14">
        <f t="shared" si="6"/>
        <v>1.7010173095821487E-9</v>
      </c>
      <c r="E27" s="14">
        <f t="shared" si="6"/>
        <v>6.2576929727203112E-10</v>
      </c>
      <c r="F27" s="14">
        <f t="shared" si="6"/>
        <v>2.3020765938268097E-10</v>
      </c>
      <c r="G27" s="14">
        <f t="shared" si="6"/>
        <v>8.4688665087086433E-11</v>
      </c>
      <c r="H27" s="14">
        <f t="shared" si="6"/>
        <v>3.115521878579279E-11</v>
      </c>
      <c r="I27" s="14">
        <f t="shared" si="6"/>
        <v>1.1461364476491473E-11</v>
      </c>
      <c r="J27" s="14">
        <f t="shared" si="6"/>
        <v>4.2164003586739038E-12</v>
      </c>
      <c r="K27" s="14">
        <f t="shared" si="6"/>
        <v>1.5511270077040247E-12</v>
      </c>
      <c r="L27" s="14">
        <f t="shared" si="7"/>
        <v>5.7062773678008818E-13</v>
      </c>
      <c r="M27" s="14">
        <f t="shared" si="7"/>
        <v>2.0992221292358372E-13</v>
      </c>
      <c r="N27" s="14">
        <f t="shared" si="7"/>
        <v>7.7226066379800507E-14</v>
      </c>
      <c r="O27" s="14">
        <f t="shared" si="7"/>
        <v>2.8409882143669672E-14</v>
      </c>
      <c r="P27" s="14">
        <f t="shared" si="7"/>
        <v>1.0451411566759735E-14</v>
      </c>
      <c r="Q27" s="14">
        <f t="shared" si="7"/>
        <v>3.8448594466323197E-15</v>
      </c>
      <c r="R27" s="14">
        <f t="shared" si="7"/>
        <v>1.4144447446098388E-15</v>
      </c>
      <c r="S27" s="14">
        <f t="shared" si="7"/>
        <v>5.2034514221495098E-16</v>
      </c>
      <c r="T27" s="14">
        <f t="shared" si="7"/>
        <v>1.9142428013431085E-16</v>
      </c>
    </row>
    <row r="28" spans="1:20" x14ac:dyDescent="0.7">
      <c r="A28" s="16">
        <f t="shared" si="5"/>
        <v>19000</v>
      </c>
      <c r="B28" s="14">
        <f t="shared" si="6"/>
        <v>1.0290555053836176E-8</v>
      </c>
      <c r="C28" s="14">
        <f t="shared" si="6"/>
        <v>3.7856836425492137E-9</v>
      </c>
      <c r="D28" s="14">
        <f t="shared" si="6"/>
        <v>1.392675182872875E-9</v>
      </c>
      <c r="E28" s="14">
        <f t="shared" si="6"/>
        <v>5.1233656800860945E-10</v>
      </c>
      <c r="F28" s="14">
        <f t="shared" si="6"/>
        <v>1.8847809033070192E-10</v>
      </c>
      <c r="G28" s="14">
        <f t="shared" si="6"/>
        <v>6.9337214543919188E-11</v>
      </c>
      <c r="H28" s="14">
        <f t="shared" si="6"/>
        <v>2.5507735738801394E-11</v>
      </c>
      <c r="I28" s="14">
        <f t="shared" si="6"/>
        <v>9.3837715691390839E-12</v>
      </c>
      <c r="J28" s="14">
        <f t="shared" si="6"/>
        <v>3.4520966409353545E-12</v>
      </c>
      <c r="K28" s="14">
        <f t="shared" si="6"/>
        <v>1.2699553831371113E-12</v>
      </c>
      <c r="L28" s="14">
        <f t="shared" si="7"/>
        <v>4.671904766611455E-13</v>
      </c>
      <c r="M28" s="14">
        <f t="shared" si="7"/>
        <v>1.7186977147472195E-13</v>
      </c>
      <c r="N28" s="14">
        <f t="shared" si="7"/>
        <v>6.3227355484384213E-14</v>
      </c>
      <c r="O28" s="14">
        <f t="shared" si="7"/>
        <v>2.3260044202343392E-14</v>
      </c>
      <c r="P28" s="14">
        <f t="shared" si="7"/>
        <v>8.5568920627811352E-15</v>
      </c>
      <c r="Q28" s="14">
        <f t="shared" si="7"/>
        <v>3.1479046702202741E-15</v>
      </c>
      <c r="R28" s="14">
        <f t="shared" si="7"/>
        <v>1.1580494109416079E-15</v>
      </c>
      <c r="S28" s="14">
        <f t="shared" si="7"/>
        <v>4.2602257014611666E-16</v>
      </c>
      <c r="T28" s="14">
        <f t="shared" si="7"/>
        <v>1.5672494503177498E-16</v>
      </c>
    </row>
    <row r="29" spans="1:20" x14ac:dyDescent="0.7">
      <c r="A29" s="16">
        <f t="shared" si="5"/>
        <v>20000</v>
      </c>
      <c r="B29" s="14">
        <f t="shared" ref="B29:K38" si="8">$B$1*$B$2*EXP(-(($A29/$B$3)+(ABS(B$8)/$B$4)))</f>
        <v>8.4251938888177224E-9</v>
      </c>
      <c r="C29" s="14">
        <f t="shared" si="8"/>
        <v>3.0994556195793149E-9</v>
      </c>
      <c r="D29" s="14">
        <f t="shared" si="8"/>
        <v>1.1402260012665248E-9</v>
      </c>
      <c r="E29" s="14">
        <f t="shared" si="8"/>
        <v>4.1946570415507744E-10</v>
      </c>
      <c r="F29" s="14">
        <f t="shared" si="8"/>
        <v>1.5431280883515546E-10</v>
      </c>
      <c r="G29" s="14">
        <f t="shared" si="8"/>
        <v>5.6768509879872599E-11</v>
      </c>
      <c r="H29" s="14">
        <f t="shared" si="8"/>
        <v>2.0883967690743031E-11</v>
      </c>
      <c r="I29" s="14">
        <f t="shared" si="8"/>
        <v>7.6827823635130033E-12</v>
      </c>
      <c r="J29" s="14">
        <f t="shared" si="8"/>
        <v>2.8263376825309763E-12</v>
      </c>
      <c r="K29" s="14">
        <f t="shared" si="8"/>
        <v>1.039751527211285E-12</v>
      </c>
      <c r="L29" s="14">
        <f t="shared" ref="L29:T38" si="9">$B$1*$B$2*EXP(-(($A29/$B$3)+(ABS(L$8)/$B$4)))</f>
        <v>3.8250321078764124E-13</v>
      </c>
      <c r="M29" s="14">
        <f t="shared" si="9"/>
        <v>1.4071506743083987E-13</v>
      </c>
      <c r="N29" s="14">
        <f t="shared" si="9"/>
        <v>5.1766180370859191E-14</v>
      </c>
      <c r="O29" s="14">
        <f t="shared" si="9"/>
        <v>1.9043713506411767E-14</v>
      </c>
      <c r="P29" s="14">
        <f t="shared" si="9"/>
        <v>7.005790682567809E-15</v>
      </c>
      <c r="Q29" s="14">
        <f t="shared" si="9"/>
        <v>2.5772863612671433E-15</v>
      </c>
      <c r="R29" s="14">
        <f t="shared" si="9"/>
        <v>9.4813066632173661E-16</v>
      </c>
      <c r="S29" s="14">
        <f t="shared" si="9"/>
        <v>3.4879777968394768E-16</v>
      </c>
      <c r="T29" s="14">
        <f t="shared" si="9"/>
        <v>1.2831553227197053E-16</v>
      </c>
    </row>
    <row r="30" spans="1:20" x14ac:dyDescent="0.7">
      <c r="A30" s="16">
        <f t="shared" si="5"/>
        <v>21000</v>
      </c>
      <c r="B30" s="14">
        <f t="shared" si="8"/>
        <v>6.8979653374197431E-9</v>
      </c>
      <c r="C30" s="14">
        <f t="shared" si="8"/>
        <v>2.5376196335499548E-9</v>
      </c>
      <c r="D30" s="14">
        <f t="shared" si="8"/>
        <v>9.3353809269603767E-10</v>
      </c>
      <c r="E30" s="14">
        <f t="shared" si="8"/>
        <v>3.434294718532724E-10</v>
      </c>
      <c r="F30" s="14">
        <f t="shared" si="8"/>
        <v>1.2634064218718557E-10</v>
      </c>
      <c r="G30" s="14">
        <f t="shared" si="8"/>
        <v>4.6478124845062972E-11</v>
      </c>
      <c r="H30" s="14">
        <f t="shared" si="8"/>
        <v>1.7098346594698299E-11</v>
      </c>
      <c r="I30" s="14">
        <f t="shared" si="8"/>
        <v>6.2901301902132434E-12</v>
      </c>
      <c r="J30" s="14">
        <f t="shared" si="8"/>
        <v>2.3140095792712662E-12</v>
      </c>
      <c r="K30" s="14">
        <f t="shared" si="8"/>
        <v>8.512765508876777E-13</v>
      </c>
      <c r="L30" s="14">
        <f t="shared" si="9"/>
        <v>3.1316714182291175E-13</v>
      </c>
      <c r="M30" s="14">
        <f t="shared" si="9"/>
        <v>1.1520775312707061E-13</v>
      </c>
      <c r="N30" s="14">
        <f t="shared" si="9"/>
        <v>4.2382563839004222E-14</v>
      </c>
      <c r="O30" s="14">
        <f t="shared" si="9"/>
        <v>1.559167390050585E-14</v>
      </c>
      <c r="P30" s="14">
        <f t="shared" si="9"/>
        <v>5.7358562814454543E-15</v>
      </c>
      <c r="Q30" s="14">
        <f t="shared" si="9"/>
        <v>2.1101036034578608E-15</v>
      </c>
      <c r="R30" s="14">
        <f t="shared" si="9"/>
        <v>7.7626373445392468E-16</v>
      </c>
      <c r="S30" s="14">
        <f t="shared" si="9"/>
        <v>2.8557146883256672E-16</v>
      </c>
      <c r="T30" s="14">
        <f t="shared" si="9"/>
        <v>1.0505587236863259E-16</v>
      </c>
    </row>
    <row r="31" spans="1:20" x14ac:dyDescent="0.7">
      <c r="A31" s="16">
        <f t="shared" si="5"/>
        <v>22000</v>
      </c>
      <c r="B31" s="14">
        <f t="shared" si="8"/>
        <v>5.6475763554114802E-9</v>
      </c>
      <c r="C31" s="14">
        <f t="shared" si="8"/>
        <v>2.0776272336018263E-9</v>
      </c>
      <c r="D31" s="14">
        <f t="shared" si="8"/>
        <v>7.6431634566000954E-10</v>
      </c>
      <c r="E31" s="14">
        <f t="shared" si="8"/>
        <v>2.8117627011960327E-10</v>
      </c>
      <c r="F31" s="14">
        <f t="shared" si="8"/>
        <v>1.0343896912227017E-10</v>
      </c>
      <c r="G31" s="14">
        <f t="shared" si="8"/>
        <v>3.8053070156050823E-11</v>
      </c>
      <c r="H31" s="14">
        <f t="shared" si="8"/>
        <v>1.3998942183865666E-11</v>
      </c>
      <c r="I31" s="14">
        <f t="shared" si="8"/>
        <v>5.149923027591832E-12</v>
      </c>
      <c r="J31" s="14">
        <f t="shared" si="8"/>
        <v>1.8945508054664258E-12</v>
      </c>
      <c r="K31" s="14">
        <f t="shared" si="8"/>
        <v>6.9696629158589447E-13</v>
      </c>
      <c r="L31" s="14">
        <f t="shared" si="9"/>
        <v>2.5639956986395137E-13</v>
      </c>
      <c r="M31" s="14">
        <f t="shared" si="9"/>
        <v>9.4324130478148622E-14</v>
      </c>
      <c r="N31" s="14">
        <f t="shared" si="9"/>
        <v>3.469990840928359E-14</v>
      </c>
      <c r="O31" s="14">
        <f t="shared" si="9"/>
        <v>1.2765382914307479E-14</v>
      </c>
      <c r="P31" s="14">
        <f t="shared" si="9"/>
        <v>4.6961219328549136E-15</v>
      </c>
      <c r="Q31" s="14">
        <f t="shared" si="9"/>
        <v>1.7276067123316191E-15</v>
      </c>
      <c r="R31" s="14">
        <f t="shared" si="9"/>
        <v>6.3555099189658872E-16</v>
      </c>
      <c r="S31" s="14">
        <f t="shared" si="9"/>
        <v>2.338061437348729E-16</v>
      </c>
      <c r="T31" s="14">
        <f t="shared" si="9"/>
        <v>8.6012473499634964E-17</v>
      </c>
    </row>
    <row r="32" spans="1:20" x14ac:dyDescent="0.7">
      <c r="A32" s="16">
        <f t="shared" si="5"/>
        <v>23000</v>
      </c>
      <c r="B32" s="14">
        <f t="shared" si="8"/>
        <v>4.6238444425314497E-9</v>
      </c>
      <c r="C32" s="14">
        <f t="shared" si="8"/>
        <v>1.7010173095821487E-9</v>
      </c>
      <c r="D32" s="14">
        <f t="shared" si="8"/>
        <v>6.2576929727203112E-10</v>
      </c>
      <c r="E32" s="14">
        <f t="shared" si="8"/>
        <v>2.3020765938268097E-10</v>
      </c>
      <c r="F32" s="14">
        <f t="shared" si="8"/>
        <v>8.4688665087086433E-11</v>
      </c>
      <c r="G32" s="14">
        <f t="shared" si="8"/>
        <v>3.115521878579279E-11</v>
      </c>
      <c r="H32" s="14">
        <f t="shared" si="8"/>
        <v>1.1461364476491473E-11</v>
      </c>
      <c r="I32" s="14">
        <f t="shared" si="8"/>
        <v>4.2164003586739038E-12</v>
      </c>
      <c r="J32" s="14">
        <f t="shared" si="8"/>
        <v>1.5511270077040247E-12</v>
      </c>
      <c r="K32" s="14">
        <f t="shared" si="8"/>
        <v>5.7062773678008818E-13</v>
      </c>
      <c r="L32" s="14">
        <f t="shared" si="9"/>
        <v>2.0992221292358372E-13</v>
      </c>
      <c r="M32" s="14">
        <f t="shared" si="9"/>
        <v>7.7226066379800507E-14</v>
      </c>
      <c r="N32" s="14">
        <f t="shared" si="9"/>
        <v>2.8409882143669672E-14</v>
      </c>
      <c r="O32" s="14">
        <f t="shared" si="9"/>
        <v>1.0451411566759735E-14</v>
      </c>
      <c r="P32" s="14">
        <f t="shared" si="9"/>
        <v>3.8448594466323197E-15</v>
      </c>
      <c r="Q32" s="14">
        <f t="shared" si="9"/>
        <v>1.4144447446098388E-15</v>
      </c>
      <c r="R32" s="14">
        <f t="shared" si="9"/>
        <v>5.2034514221495098E-16</v>
      </c>
      <c r="S32" s="14">
        <f t="shared" si="9"/>
        <v>1.9142428013431085E-16</v>
      </c>
      <c r="T32" s="14">
        <f t="shared" si="9"/>
        <v>7.0421057202455903E-17</v>
      </c>
    </row>
    <row r="33" spans="1:20" x14ac:dyDescent="0.7">
      <c r="A33" s="16">
        <f t="shared" si="5"/>
        <v>24000</v>
      </c>
      <c r="B33" s="14">
        <f t="shared" si="8"/>
        <v>3.7856836425492137E-9</v>
      </c>
      <c r="C33" s="14">
        <f t="shared" si="8"/>
        <v>1.392675182872875E-9</v>
      </c>
      <c r="D33" s="14">
        <f t="shared" si="8"/>
        <v>5.1233656800860945E-10</v>
      </c>
      <c r="E33" s="14">
        <f t="shared" si="8"/>
        <v>1.8847809033070192E-10</v>
      </c>
      <c r="F33" s="14">
        <f t="shared" si="8"/>
        <v>6.9337214543919188E-11</v>
      </c>
      <c r="G33" s="14">
        <f t="shared" si="8"/>
        <v>2.5507735738801394E-11</v>
      </c>
      <c r="H33" s="14">
        <f t="shared" si="8"/>
        <v>9.3837715691390839E-12</v>
      </c>
      <c r="I33" s="14">
        <f t="shared" si="8"/>
        <v>3.4520966409353545E-12</v>
      </c>
      <c r="J33" s="14">
        <f t="shared" si="8"/>
        <v>1.2699553831371113E-12</v>
      </c>
      <c r="K33" s="14">
        <f t="shared" si="8"/>
        <v>4.671904766611455E-13</v>
      </c>
      <c r="L33" s="14">
        <f t="shared" si="9"/>
        <v>1.7186977147472195E-13</v>
      </c>
      <c r="M33" s="14">
        <f t="shared" si="9"/>
        <v>6.3227355484384213E-14</v>
      </c>
      <c r="N33" s="14">
        <f t="shared" si="9"/>
        <v>2.3260044202343392E-14</v>
      </c>
      <c r="O33" s="14">
        <f t="shared" si="9"/>
        <v>8.5568920627811352E-15</v>
      </c>
      <c r="P33" s="14">
        <f t="shared" si="9"/>
        <v>3.1479046702202741E-15</v>
      </c>
      <c r="Q33" s="14">
        <f t="shared" si="9"/>
        <v>1.1580494109416079E-15</v>
      </c>
      <c r="R33" s="14">
        <f t="shared" si="9"/>
        <v>4.2602257014611666E-16</v>
      </c>
      <c r="S33" s="14">
        <f t="shared" si="9"/>
        <v>1.5672494503177498E-16</v>
      </c>
      <c r="T33" s="14">
        <f t="shared" si="9"/>
        <v>5.7655885195914393E-17</v>
      </c>
    </row>
    <row r="34" spans="1:20" x14ac:dyDescent="0.7">
      <c r="A34" s="16">
        <f t="shared" si="5"/>
        <v>25000</v>
      </c>
      <c r="B34" s="14">
        <f t="shared" si="8"/>
        <v>3.0994556195793149E-9</v>
      </c>
      <c r="C34" s="14">
        <f t="shared" si="8"/>
        <v>1.1402260012665248E-9</v>
      </c>
      <c r="D34" s="14">
        <f t="shared" si="8"/>
        <v>4.1946570415507744E-10</v>
      </c>
      <c r="E34" s="14">
        <f t="shared" si="8"/>
        <v>1.5431280883515546E-10</v>
      </c>
      <c r="F34" s="14">
        <f t="shared" si="8"/>
        <v>5.6768509879872599E-11</v>
      </c>
      <c r="G34" s="14">
        <f t="shared" si="8"/>
        <v>2.0883967690743031E-11</v>
      </c>
      <c r="H34" s="14">
        <f t="shared" si="8"/>
        <v>7.6827823635130033E-12</v>
      </c>
      <c r="I34" s="14">
        <f t="shared" si="8"/>
        <v>2.8263376825309763E-12</v>
      </c>
      <c r="J34" s="14">
        <f t="shared" si="8"/>
        <v>1.039751527211285E-12</v>
      </c>
      <c r="K34" s="14">
        <f t="shared" si="8"/>
        <v>3.8250321078764124E-13</v>
      </c>
      <c r="L34" s="14">
        <f t="shared" si="9"/>
        <v>1.4071506743083987E-13</v>
      </c>
      <c r="M34" s="14">
        <f t="shared" si="9"/>
        <v>5.1766180370859191E-14</v>
      </c>
      <c r="N34" s="14">
        <f t="shared" si="9"/>
        <v>1.9043713506411767E-14</v>
      </c>
      <c r="O34" s="14">
        <f t="shared" si="9"/>
        <v>7.005790682567809E-15</v>
      </c>
      <c r="P34" s="14">
        <f t="shared" si="9"/>
        <v>2.5772863612671433E-15</v>
      </c>
      <c r="Q34" s="14">
        <f t="shared" si="9"/>
        <v>9.4813066632173661E-16</v>
      </c>
      <c r="R34" s="14">
        <f t="shared" si="9"/>
        <v>3.4879777968394768E-16</v>
      </c>
      <c r="S34" s="14">
        <f t="shared" si="9"/>
        <v>1.2831553227197053E-16</v>
      </c>
      <c r="T34" s="14">
        <f t="shared" si="9"/>
        <v>4.7204646305828694E-17</v>
      </c>
    </row>
    <row r="35" spans="1:20" x14ac:dyDescent="0.7">
      <c r="A35" s="16">
        <f t="shared" si="5"/>
        <v>26000</v>
      </c>
      <c r="B35" s="14">
        <f t="shared" si="8"/>
        <v>2.5376196335499548E-9</v>
      </c>
      <c r="C35" s="14">
        <f t="shared" si="8"/>
        <v>9.3353809269603767E-10</v>
      </c>
      <c r="D35" s="14">
        <f t="shared" si="8"/>
        <v>3.434294718532724E-10</v>
      </c>
      <c r="E35" s="14">
        <f t="shared" si="8"/>
        <v>1.2634064218718557E-10</v>
      </c>
      <c r="F35" s="14">
        <f t="shared" si="8"/>
        <v>4.6478124845062972E-11</v>
      </c>
      <c r="G35" s="14">
        <f t="shared" si="8"/>
        <v>1.7098346594698299E-11</v>
      </c>
      <c r="H35" s="14">
        <f t="shared" si="8"/>
        <v>6.2901301902132434E-12</v>
      </c>
      <c r="I35" s="14">
        <f t="shared" si="8"/>
        <v>2.3140095792712662E-12</v>
      </c>
      <c r="J35" s="14">
        <f t="shared" si="8"/>
        <v>8.512765508876777E-13</v>
      </c>
      <c r="K35" s="14">
        <f t="shared" si="8"/>
        <v>3.1316714182291175E-13</v>
      </c>
      <c r="L35" s="14">
        <f t="shared" si="9"/>
        <v>1.1520775312707061E-13</v>
      </c>
      <c r="M35" s="14">
        <f t="shared" si="9"/>
        <v>4.2382563839004222E-14</v>
      </c>
      <c r="N35" s="14">
        <f t="shared" si="9"/>
        <v>1.559167390050585E-14</v>
      </c>
      <c r="O35" s="14">
        <f t="shared" si="9"/>
        <v>5.7358562814454543E-15</v>
      </c>
      <c r="P35" s="14">
        <f t="shared" si="9"/>
        <v>2.1101036034578608E-15</v>
      </c>
      <c r="Q35" s="14">
        <f t="shared" si="9"/>
        <v>7.7626373445392468E-16</v>
      </c>
      <c r="R35" s="14">
        <f t="shared" si="9"/>
        <v>2.8557146883256672E-16</v>
      </c>
      <c r="S35" s="14">
        <f t="shared" si="9"/>
        <v>1.0505587236863259E-16</v>
      </c>
      <c r="T35" s="14">
        <f t="shared" si="9"/>
        <v>3.8647895618750933E-17</v>
      </c>
    </row>
    <row r="36" spans="1:20" x14ac:dyDescent="0.7">
      <c r="A36" s="16">
        <f t="shared" si="5"/>
        <v>27000</v>
      </c>
      <c r="B36" s="14">
        <f t="shared" si="8"/>
        <v>2.0776272336018263E-9</v>
      </c>
      <c r="C36" s="14">
        <f t="shared" si="8"/>
        <v>7.6431634566000954E-10</v>
      </c>
      <c r="D36" s="14">
        <f t="shared" si="8"/>
        <v>2.8117627011960327E-10</v>
      </c>
      <c r="E36" s="14">
        <f t="shared" si="8"/>
        <v>1.0343896912227017E-10</v>
      </c>
      <c r="F36" s="14">
        <f t="shared" si="8"/>
        <v>3.8053070156050823E-11</v>
      </c>
      <c r="G36" s="14">
        <f t="shared" si="8"/>
        <v>1.3998942183865666E-11</v>
      </c>
      <c r="H36" s="14">
        <f t="shared" si="8"/>
        <v>5.149923027591832E-12</v>
      </c>
      <c r="I36" s="14">
        <f t="shared" si="8"/>
        <v>1.8945508054664258E-12</v>
      </c>
      <c r="J36" s="14">
        <f t="shared" si="8"/>
        <v>6.9696629158589447E-13</v>
      </c>
      <c r="K36" s="14">
        <f t="shared" si="8"/>
        <v>2.5639956986395137E-13</v>
      </c>
      <c r="L36" s="14">
        <f t="shared" si="9"/>
        <v>9.4324130478148622E-14</v>
      </c>
      <c r="M36" s="14">
        <f t="shared" si="9"/>
        <v>3.469990840928359E-14</v>
      </c>
      <c r="N36" s="14">
        <f t="shared" si="9"/>
        <v>1.2765382914307479E-14</v>
      </c>
      <c r="O36" s="14">
        <f t="shared" si="9"/>
        <v>4.6961219328549136E-15</v>
      </c>
      <c r="P36" s="14">
        <f t="shared" si="9"/>
        <v>1.7276067123316191E-15</v>
      </c>
      <c r="Q36" s="14">
        <f t="shared" si="9"/>
        <v>6.3555099189658872E-16</v>
      </c>
      <c r="R36" s="14">
        <f t="shared" si="9"/>
        <v>2.338061437348729E-16</v>
      </c>
      <c r="S36" s="14">
        <f t="shared" si="9"/>
        <v>8.6012473499634964E-17</v>
      </c>
      <c r="T36" s="14">
        <f t="shared" si="9"/>
        <v>3.1642220684819207E-17</v>
      </c>
    </row>
    <row r="37" spans="1:20" x14ac:dyDescent="0.7">
      <c r="A37" s="16">
        <f t="shared" si="5"/>
        <v>28000</v>
      </c>
      <c r="B37" s="14">
        <f t="shared" si="8"/>
        <v>1.7010173095821487E-9</v>
      </c>
      <c r="C37" s="14">
        <f t="shared" si="8"/>
        <v>6.2576929727203112E-10</v>
      </c>
      <c r="D37" s="14">
        <f t="shared" si="8"/>
        <v>2.3020765938268097E-10</v>
      </c>
      <c r="E37" s="14">
        <f t="shared" si="8"/>
        <v>8.4688665087086433E-11</v>
      </c>
      <c r="F37" s="14">
        <f t="shared" si="8"/>
        <v>3.115521878579279E-11</v>
      </c>
      <c r="G37" s="14">
        <f t="shared" si="8"/>
        <v>1.1461364476491473E-11</v>
      </c>
      <c r="H37" s="14">
        <f t="shared" si="8"/>
        <v>4.2164003586739038E-12</v>
      </c>
      <c r="I37" s="14">
        <f t="shared" si="8"/>
        <v>1.5511270077040247E-12</v>
      </c>
      <c r="J37" s="14">
        <f t="shared" si="8"/>
        <v>5.7062773678008818E-13</v>
      </c>
      <c r="K37" s="14">
        <f t="shared" si="8"/>
        <v>2.0992221292358372E-13</v>
      </c>
      <c r="L37" s="14">
        <f t="shared" si="9"/>
        <v>7.7226066379800507E-14</v>
      </c>
      <c r="M37" s="14">
        <f t="shared" si="9"/>
        <v>2.8409882143669672E-14</v>
      </c>
      <c r="N37" s="14">
        <f t="shared" si="9"/>
        <v>1.0451411566759735E-14</v>
      </c>
      <c r="O37" s="14">
        <f t="shared" si="9"/>
        <v>3.8448594466323197E-15</v>
      </c>
      <c r="P37" s="14">
        <f t="shared" si="9"/>
        <v>1.4144447446098388E-15</v>
      </c>
      <c r="Q37" s="14">
        <f t="shared" si="9"/>
        <v>5.2034514221495098E-16</v>
      </c>
      <c r="R37" s="14">
        <f t="shared" si="9"/>
        <v>1.9142428013431085E-16</v>
      </c>
      <c r="S37" s="14">
        <f t="shared" si="9"/>
        <v>7.0421057202455903E-17</v>
      </c>
      <c r="T37" s="14">
        <f t="shared" si="9"/>
        <v>2.590645917034165E-17</v>
      </c>
    </row>
    <row r="38" spans="1:20" x14ac:dyDescent="0.7">
      <c r="A38" s="16">
        <f t="shared" si="5"/>
        <v>29000</v>
      </c>
      <c r="B38" s="14">
        <f t="shared" si="8"/>
        <v>1.392675182872875E-9</v>
      </c>
      <c r="C38" s="14">
        <f t="shared" si="8"/>
        <v>5.1233656800860945E-10</v>
      </c>
      <c r="D38" s="14">
        <f t="shared" si="8"/>
        <v>1.8847809033070192E-10</v>
      </c>
      <c r="E38" s="14">
        <f t="shared" si="8"/>
        <v>6.9337214543919188E-11</v>
      </c>
      <c r="F38" s="14">
        <f t="shared" si="8"/>
        <v>2.5507735738801394E-11</v>
      </c>
      <c r="G38" s="14">
        <f t="shared" si="8"/>
        <v>9.3837715691390839E-12</v>
      </c>
      <c r="H38" s="14">
        <f t="shared" si="8"/>
        <v>3.4520966409353545E-12</v>
      </c>
      <c r="I38" s="14">
        <f t="shared" si="8"/>
        <v>1.2699553831371113E-12</v>
      </c>
      <c r="J38" s="14">
        <f t="shared" si="8"/>
        <v>4.671904766611455E-13</v>
      </c>
      <c r="K38" s="14">
        <f t="shared" si="8"/>
        <v>1.7186977147472195E-13</v>
      </c>
      <c r="L38" s="14">
        <f t="shared" si="9"/>
        <v>6.3227355484384213E-14</v>
      </c>
      <c r="M38" s="14">
        <f t="shared" si="9"/>
        <v>2.3260044202343392E-14</v>
      </c>
      <c r="N38" s="14">
        <f t="shared" si="9"/>
        <v>8.5568920627811352E-15</v>
      </c>
      <c r="O38" s="14">
        <f t="shared" si="9"/>
        <v>3.1479046702202741E-15</v>
      </c>
      <c r="P38" s="14">
        <f t="shared" si="9"/>
        <v>1.1580494109416079E-15</v>
      </c>
      <c r="Q38" s="14">
        <f t="shared" si="9"/>
        <v>4.2602257014611666E-16</v>
      </c>
      <c r="R38" s="14">
        <f t="shared" si="9"/>
        <v>1.5672494503177498E-16</v>
      </c>
      <c r="S38" s="14">
        <f t="shared" si="9"/>
        <v>5.7655885195914393E-17</v>
      </c>
      <c r="T38" s="14">
        <f t="shared" si="9"/>
        <v>2.1210414826117821E-17</v>
      </c>
    </row>
    <row r="39" spans="1:20" x14ac:dyDescent="0.7">
      <c r="A39" s="16">
        <f t="shared" si="5"/>
        <v>30000</v>
      </c>
      <c r="B39" s="14">
        <f t="shared" ref="B39:K49" si="10">$B$1*$B$2*EXP(-(($A39/$B$3)+(ABS(B$8)/$B$4)))</f>
        <v>1.1402260012665248E-9</v>
      </c>
      <c r="C39" s="14">
        <f t="shared" si="10"/>
        <v>4.1946570415507744E-10</v>
      </c>
      <c r="D39" s="14">
        <f t="shared" si="10"/>
        <v>1.5431280883515546E-10</v>
      </c>
      <c r="E39" s="14">
        <f t="shared" si="10"/>
        <v>5.6768509879872599E-11</v>
      </c>
      <c r="F39" s="14">
        <f t="shared" si="10"/>
        <v>2.0883967690743031E-11</v>
      </c>
      <c r="G39" s="14">
        <f t="shared" si="10"/>
        <v>7.6827823635130033E-12</v>
      </c>
      <c r="H39" s="14">
        <f t="shared" si="10"/>
        <v>2.8263376825309763E-12</v>
      </c>
      <c r="I39" s="14">
        <f t="shared" si="10"/>
        <v>1.039751527211285E-12</v>
      </c>
      <c r="J39" s="14">
        <f t="shared" si="10"/>
        <v>3.8250321078764124E-13</v>
      </c>
      <c r="K39" s="14">
        <f t="shared" si="10"/>
        <v>1.4071506743083987E-13</v>
      </c>
      <c r="L39" s="14">
        <f t="shared" ref="L39:T49" si="11">$B$1*$B$2*EXP(-(($A39/$B$3)+(ABS(L$8)/$B$4)))</f>
        <v>5.1766180370859191E-14</v>
      </c>
      <c r="M39" s="14">
        <f t="shared" si="11"/>
        <v>1.9043713506411767E-14</v>
      </c>
      <c r="N39" s="14">
        <f t="shared" si="11"/>
        <v>7.005790682567809E-15</v>
      </c>
      <c r="O39" s="14">
        <f t="shared" si="11"/>
        <v>2.5772863612671433E-15</v>
      </c>
      <c r="P39" s="14">
        <f t="shared" si="11"/>
        <v>9.4813066632173661E-16</v>
      </c>
      <c r="Q39" s="14">
        <f t="shared" si="11"/>
        <v>3.4879777968394768E-16</v>
      </c>
      <c r="R39" s="14">
        <f t="shared" si="11"/>
        <v>1.2831553227197053E-16</v>
      </c>
      <c r="S39" s="14">
        <f t="shared" si="11"/>
        <v>4.7204646305828694E-17</v>
      </c>
      <c r="T39" s="14">
        <f t="shared" si="11"/>
        <v>1.736561890368385E-17</v>
      </c>
    </row>
    <row r="40" spans="1:20" x14ac:dyDescent="0.7">
      <c r="A40" s="16">
        <f t="shared" si="5"/>
        <v>31000</v>
      </c>
      <c r="B40" s="14">
        <f t="shared" si="10"/>
        <v>9.3353809269603767E-10</v>
      </c>
      <c r="C40" s="14">
        <f t="shared" si="10"/>
        <v>3.434294718532724E-10</v>
      </c>
      <c r="D40" s="14">
        <f t="shared" si="10"/>
        <v>1.2634064218718557E-10</v>
      </c>
      <c r="E40" s="14">
        <f t="shared" si="10"/>
        <v>4.6478124845062972E-11</v>
      </c>
      <c r="F40" s="14">
        <f t="shared" si="10"/>
        <v>1.7098346594698299E-11</v>
      </c>
      <c r="G40" s="14">
        <f t="shared" si="10"/>
        <v>6.2901301902132434E-12</v>
      </c>
      <c r="H40" s="14">
        <f t="shared" si="10"/>
        <v>2.3140095792712662E-12</v>
      </c>
      <c r="I40" s="14">
        <f t="shared" si="10"/>
        <v>8.512765508876777E-13</v>
      </c>
      <c r="J40" s="14">
        <f t="shared" si="10"/>
        <v>3.1316714182291175E-13</v>
      </c>
      <c r="K40" s="14">
        <f t="shared" si="10"/>
        <v>1.1520775312707061E-13</v>
      </c>
      <c r="L40" s="14">
        <f t="shared" si="11"/>
        <v>4.2382563839004222E-14</v>
      </c>
      <c r="M40" s="14">
        <f t="shared" si="11"/>
        <v>1.559167390050585E-14</v>
      </c>
      <c r="N40" s="14">
        <f t="shared" si="11"/>
        <v>5.7358562814454543E-15</v>
      </c>
      <c r="O40" s="14">
        <f t="shared" si="11"/>
        <v>2.1101036034578608E-15</v>
      </c>
      <c r="P40" s="14">
        <f t="shared" si="11"/>
        <v>7.7626373445392468E-16</v>
      </c>
      <c r="Q40" s="14">
        <f t="shared" si="11"/>
        <v>2.8557146883256672E-16</v>
      </c>
      <c r="R40" s="14">
        <f t="shared" si="11"/>
        <v>1.0505587236863259E-16</v>
      </c>
      <c r="S40" s="14">
        <f t="shared" si="11"/>
        <v>3.8647895618750933E-17</v>
      </c>
      <c r="T40" s="14">
        <f t="shared" si="11"/>
        <v>1.4217766242678324E-17</v>
      </c>
    </row>
    <row r="41" spans="1:20" x14ac:dyDescent="0.7">
      <c r="A41" s="16">
        <f t="shared" si="5"/>
        <v>32000</v>
      </c>
      <c r="B41" s="14">
        <f t="shared" si="10"/>
        <v>7.6431634566000954E-10</v>
      </c>
      <c r="C41" s="14">
        <f t="shared" si="10"/>
        <v>2.8117627011960327E-10</v>
      </c>
      <c r="D41" s="14">
        <f t="shared" si="10"/>
        <v>1.0343896912227017E-10</v>
      </c>
      <c r="E41" s="14">
        <f t="shared" si="10"/>
        <v>3.8053070156050823E-11</v>
      </c>
      <c r="F41" s="14">
        <f t="shared" si="10"/>
        <v>1.3998942183865666E-11</v>
      </c>
      <c r="G41" s="14">
        <f t="shared" si="10"/>
        <v>5.149923027591832E-12</v>
      </c>
      <c r="H41" s="14">
        <f t="shared" si="10"/>
        <v>1.8945508054664258E-12</v>
      </c>
      <c r="I41" s="14">
        <f t="shared" si="10"/>
        <v>6.9696629158589447E-13</v>
      </c>
      <c r="J41" s="14">
        <f t="shared" si="10"/>
        <v>2.5639956986395137E-13</v>
      </c>
      <c r="K41" s="14">
        <f t="shared" si="10"/>
        <v>9.4324130478148622E-14</v>
      </c>
      <c r="L41" s="14">
        <f t="shared" si="11"/>
        <v>3.469990840928359E-14</v>
      </c>
      <c r="M41" s="14">
        <f t="shared" si="11"/>
        <v>1.2765382914307479E-14</v>
      </c>
      <c r="N41" s="14">
        <f t="shared" si="11"/>
        <v>4.6961219328549136E-15</v>
      </c>
      <c r="O41" s="14">
        <f t="shared" si="11"/>
        <v>1.7276067123316191E-15</v>
      </c>
      <c r="P41" s="14">
        <f t="shared" si="11"/>
        <v>6.3555099189658872E-16</v>
      </c>
      <c r="Q41" s="14">
        <f t="shared" si="11"/>
        <v>2.338061437348729E-16</v>
      </c>
      <c r="R41" s="14">
        <f t="shared" si="11"/>
        <v>8.6012473499634964E-17</v>
      </c>
      <c r="S41" s="14">
        <f t="shared" si="11"/>
        <v>3.1642220684819207E-17</v>
      </c>
      <c r="T41" s="14">
        <f t="shared" si="11"/>
        <v>1.1640522462954742E-17</v>
      </c>
    </row>
    <row r="42" spans="1:20" x14ac:dyDescent="0.7">
      <c r="A42" s="16">
        <f t="shared" si="5"/>
        <v>33000</v>
      </c>
      <c r="B42" s="14">
        <f t="shared" si="10"/>
        <v>6.2576929727203112E-10</v>
      </c>
      <c r="C42" s="14">
        <f t="shared" si="10"/>
        <v>2.3020765938268097E-10</v>
      </c>
      <c r="D42" s="14">
        <f t="shared" si="10"/>
        <v>8.4688665087086433E-11</v>
      </c>
      <c r="E42" s="14">
        <f t="shared" si="10"/>
        <v>3.115521878579279E-11</v>
      </c>
      <c r="F42" s="14">
        <f t="shared" si="10"/>
        <v>1.1461364476491473E-11</v>
      </c>
      <c r="G42" s="14">
        <f t="shared" si="10"/>
        <v>4.2164003586739038E-12</v>
      </c>
      <c r="H42" s="14">
        <f t="shared" si="10"/>
        <v>1.5511270077040247E-12</v>
      </c>
      <c r="I42" s="14">
        <f t="shared" si="10"/>
        <v>5.7062773678008818E-13</v>
      </c>
      <c r="J42" s="14">
        <f t="shared" si="10"/>
        <v>2.0992221292358372E-13</v>
      </c>
      <c r="K42" s="14">
        <f t="shared" si="10"/>
        <v>7.7226066379800507E-14</v>
      </c>
      <c r="L42" s="14">
        <f t="shared" si="11"/>
        <v>2.8409882143669672E-14</v>
      </c>
      <c r="M42" s="14">
        <f t="shared" si="11"/>
        <v>1.0451411566759735E-14</v>
      </c>
      <c r="N42" s="14">
        <f t="shared" si="11"/>
        <v>3.8448594466323197E-15</v>
      </c>
      <c r="O42" s="14">
        <f t="shared" si="11"/>
        <v>1.4144447446098388E-15</v>
      </c>
      <c r="P42" s="14">
        <f t="shared" si="11"/>
        <v>5.2034514221495098E-16</v>
      </c>
      <c r="Q42" s="14">
        <f t="shared" si="11"/>
        <v>1.9142428013431085E-16</v>
      </c>
      <c r="R42" s="14">
        <f t="shared" si="11"/>
        <v>7.0421057202455903E-17</v>
      </c>
      <c r="S42" s="14">
        <f t="shared" si="11"/>
        <v>2.590645917034165E-17</v>
      </c>
      <c r="T42" s="14">
        <f t="shared" si="11"/>
        <v>9.5304537223160737E-18</v>
      </c>
    </row>
    <row r="43" spans="1:20" x14ac:dyDescent="0.7">
      <c r="A43" s="16">
        <f t="shared" si="5"/>
        <v>34000</v>
      </c>
      <c r="B43" s="14">
        <f t="shared" si="10"/>
        <v>5.1233656800860945E-10</v>
      </c>
      <c r="C43" s="14">
        <f t="shared" si="10"/>
        <v>1.8847809033070192E-10</v>
      </c>
      <c r="D43" s="14">
        <f t="shared" si="10"/>
        <v>6.9337214543919188E-11</v>
      </c>
      <c r="E43" s="14">
        <f t="shared" si="10"/>
        <v>2.5507735738801394E-11</v>
      </c>
      <c r="F43" s="14">
        <f t="shared" si="10"/>
        <v>9.3837715691390839E-12</v>
      </c>
      <c r="G43" s="14">
        <f t="shared" si="10"/>
        <v>3.4520966409353545E-12</v>
      </c>
      <c r="H43" s="14">
        <f t="shared" si="10"/>
        <v>1.2699553831371113E-12</v>
      </c>
      <c r="I43" s="14">
        <f t="shared" si="10"/>
        <v>4.671904766611455E-13</v>
      </c>
      <c r="J43" s="14">
        <f t="shared" si="10"/>
        <v>1.7186977147472195E-13</v>
      </c>
      <c r="K43" s="14">
        <f t="shared" si="10"/>
        <v>6.3227355484384213E-14</v>
      </c>
      <c r="L43" s="14">
        <f t="shared" si="11"/>
        <v>2.3260044202343392E-14</v>
      </c>
      <c r="M43" s="14">
        <f t="shared" si="11"/>
        <v>8.5568920627811352E-15</v>
      </c>
      <c r="N43" s="14">
        <f t="shared" si="11"/>
        <v>3.1479046702202741E-15</v>
      </c>
      <c r="O43" s="14">
        <f t="shared" si="11"/>
        <v>1.1580494109416079E-15</v>
      </c>
      <c r="P43" s="14">
        <f t="shared" si="11"/>
        <v>4.2602257014611666E-16</v>
      </c>
      <c r="Q43" s="14">
        <f t="shared" si="11"/>
        <v>1.5672494503177498E-16</v>
      </c>
      <c r="R43" s="14">
        <f t="shared" si="11"/>
        <v>5.7655885195914393E-17</v>
      </c>
      <c r="S43" s="14">
        <f t="shared" si="11"/>
        <v>2.1210414826117821E-17</v>
      </c>
      <c r="T43" s="14">
        <f t="shared" si="11"/>
        <v>7.8028755532467005E-18</v>
      </c>
    </row>
    <row r="44" spans="1:20" x14ac:dyDescent="0.7">
      <c r="A44" s="16">
        <f t="shared" si="5"/>
        <v>35000</v>
      </c>
      <c r="B44" s="14">
        <f t="shared" si="10"/>
        <v>4.1946570415507744E-10</v>
      </c>
      <c r="C44" s="14">
        <f t="shared" si="10"/>
        <v>1.5431280883515546E-10</v>
      </c>
      <c r="D44" s="14">
        <f t="shared" si="10"/>
        <v>5.6768509879872599E-11</v>
      </c>
      <c r="E44" s="14">
        <f t="shared" si="10"/>
        <v>2.0883967690743031E-11</v>
      </c>
      <c r="F44" s="14">
        <f t="shared" si="10"/>
        <v>7.6827823635130033E-12</v>
      </c>
      <c r="G44" s="14">
        <f t="shared" si="10"/>
        <v>2.8263376825309763E-12</v>
      </c>
      <c r="H44" s="14">
        <f t="shared" si="10"/>
        <v>1.039751527211285E-12</v>
      </c>
      <c r="I44" s="14">
        <f t="shared" si="10"/>
        <v>3.8250321078764124E-13</v>
      </c>
      <c r="J44" s="14">
        <f t="shared" si="10"/>
        <v>1.4071506743083987E-13</v>
      </c>
      <c r="K44" s="14">
        <f t="shared" si="10"/>
        <v>5.1766180370859191E-14</v>
      </c>
      <c r="L44" s="14">
        <f t="shared" si="11"/>
        <v>1.9043713506411767E-14</v>
      </c>
      <c r="M44" s="14">
        <f t="shared" si="11"/>
        <v>7.005790682567809E-15</v>
      </c>
      <c r="N44" s="14">
        <f t="shared" si="11"/>
        <v>2.5772863612671433E-15</v>
      </c>
      <c r="O44" s="14">
        <f t="shared" si="11"/>
        <v>9.4813066632173661E-16</v>
      </c>
      <c r="P44" s="14">
        <f t="shared" si="11"/>
        <v>3.4879777968394768E-16</v>
      </c>
      <c r="Q44" s="14">
        <f t="shared" si="11"/>
        <v>1.2831553227197053E-16</v>
      </c>
      <c r="R44" s="14">
        <f t="shared" si="11"/>
        <v>4.7204646305828694E-17</v>
      </c>
      <c r="S44" s="14">
        <f t="shared" si="11"/>
        <v>1.736561890368385E-17</v>
      </c>
      <c r="T44" s="14">
        <f t="shared" si="11"/>
        <v>6.3884541778834492E-18</v>
      </c>
    </row>
    <row r="45" spans="1:20" x14ac:dyDescent="0.7">
      <c r="A45" s="16">
        <f t="shared" si="5"/>
        <v>36000</v>
      </c>
      <c r="B45" s="14">
        <f t="shared" si="10"/>
        <v>3.434294718532724E-10</v>
      </c>
      <c r="C45" s="14">
        <f t="shared" si="10"/>
        <v>1.2634064218718557E-10</v>
      </c>
      <c r="D45" s="14">
        <f t="shared" si="10"/>
        <v>4.6478124845062972E-11</v>
      </c>
      <c r="E45" s="14">
        <f t="shared" si="10"/>
        <v>1.7098346594698299E-11</v>
      </c>
      <c r="F45" s="14">
        <f t="shared" si="10"/>
        <v>6.2901301902132434E-12</v>
      </c>
      <c r="G45" s="14">
        <f t="shared" si="10"/>
        <v>2.3140095792712662E-12</v>
      </c>
      <c r="H45" s="14">
        <f t="shared" si="10"/>
        <v>8.512765508876777E-13</v>
      </c>
      <c r="I45" s="14">
        <f t="shared" si="10"/>
        <v>3.1316714182291175E-13</v>
      </c>
      <c r="J45" s="14">
        <f t="shared" si="10"/>
        <v>1.1520775312707061E-13</v>
      </c>
      <c r="K45" s="14">
        <f t="shared" si="10"/>
        <v>4.2382563839004222E-14</v>
      </c>
      <c r="L45" s="14">
        <f t="shared" si="11"/>
        <v>1.559167390050585E-14</v>
      </c>
      <c r="M45" s="14">
        <f t="shared" si="11"/>
        <v>5.7358562814454543E-15</v>
      </c>
      <c r="N45" s="14">
        <f t="shared" si="11"/>
        <v>2.1101036034578608E-15</v>
      </c>
      <c r="O45" s="14">
        <f t="shared" si="11"/>
        <v>7.7626373445392468E-16</v>
      </c>
      <c r="P45" s="14">
        <f t="shared" si="11"/>
        <v>2.8557146883256672E-16</v>
      </c>
      <c r="Q45" s="14">
        <f t="shared" si="11"/>
        <v>1.0505587236863259E-16</v>
      </c>
      <c r="R45" s="14">
        <f t="shared" si="11"/>
        <v>3.8647895618750933E-17</v>
      </c>
      <c r="S45" s="14">
        <f t="shared" si="11"/>
        <v>1.4217766242678324E-17</v>
      </c>
      <c r="T45" s="14">
        <f t="shared" si="11"/>
        <v>5.2304239000626995E-18</v>
      </c>
    </row>
    <row r="46" spans="1:20" x14ac:dyDescent="0.7">
      <c r="A46" s="16">
        <f t="shared" si="5"/>
        <v>37000</v>
      </c>
      <c r="B46" s="14">
        <f t="shared" si="10"/>
        <v>2.8117627011960327E-10</v>
      </c>
      <c r="C46" s="14">
        <f t="shared" si="10"/>
        <v>1.0343896912227017E-10</v>
      </c>
      <c r="D46" s="14">
        <f t="shared" si="10"/>
        <v>3.8053070156050823E-11</v>
      </c>
      <c r="E46" s="14">
        <f t="shared" si="10"/>
        <v>1.3998942183865666E-11</v>
      </c>
      <c r="F46" s="14">
        <f t="shared" si="10"/>
        <v>5.149923027591832E-12</v>
      </c>
      <c r="G46" s="14">
        <f t="shared" si="10"/>
        <v>1.8945508054664258E-12</v>
      </c>
      <c r="H46" s="14">
        <f t="shared" si="10"/>
        <v>6.9696629158589447E-13</v>
      </c>
      <c r="I46" s="14">
        <f t="shared" si="10"/>
        <v>2.5639956986395137E-13</v>
      </c>
      <c r="J46" s="14">
        <f t="shared" si="10"/>
        <v>9.4324130478148622E-14</v>
      </c>
      <c r="K46" s="14">
        <f t="shared" si="10"/>
        <v>3.469990840928359E-14</v>
      </c>
      <c r="L46" s="14">
        <f t="shared" si="11"/>
        <v>1.2765382914307479E-14</v>
      </c>
      <c r="M46" s="14">
        <f t="shared" si="11"/>
        <v>4.6961219328549136E-15</v>
      </c>
      <c r="N46" s="14">
        <f t="shared" si="11"/>
        <v>1.7276067123316191E-15</v>
      </c>
      <c r="O46" s="14">
        <f t="shared" si="11"/>
        <v>6.3555099189658872E-16</v>
      </c>
      <c r="P46" s="14">
        <f t="shared" si="11"/>
        <v>2.338061437348729E-16</v>
      </c>
      <c r="Q46" s="14">
        <f t="shared" si="11"/>
        <v>8.6012473499634964E-17</v>
      </c>
      <c r="R46" s="14">
        <f t="shared" si="11"/>
        <v>3.1642220684819207E-17</v>
      </c>
      <c r="S46" s="14">
        <f t="shared" si="11"/>
        <v>1.1640522462954742E-17</v>
      </c>
      <c r="T46" s="14">
        <f t="shared" si="11"/>
        <v>4.2823088986154125E-18</v>
      </c>
    </row>
    <row r="47" spans="1:20" x14ac:dyDescent="0.7">
      <c r="A47" s="16">
        <f t="shared" si="5"/>
        <v>38000</v>
      </c>
      <c r="B47" s="14">
        <f t="shared" si="10"/>
        <v>2.3020765938268097E-10</v>
      </c>
      <c r="C47" s="14">
        <f t="shared" si="10"/>
        <v>8.4688665087086433E-11</v>
      </c>
      <c r="D47" s="14">
        <f t="shared" si="10"/>
        <v>3.115521878579279E-11</v>
      </c>
      <c r="E47" s="14">
        <f t="shared" si="10"/>
        <v>1.1461364476491473E-11</v>
      </c>
      <c r="F47" s="14">
        <f t="shared" si="10"/>
        <v>4.2164003586739038E-12</v>
      </c>
      <c r="G47" s="14">
        <f t="shared" si="10"/>
        <v>1.5511270077040247E-12</v>
      </c>
      <c r="H47" s="14">
        <f t="shared" si="10"/>
        <v>5.7062773678008818E-13</v>
      </c>
      <c r="I47" s="14">
        <f t="shared" si="10"/>
        <v>2.0992221292358372E-13</v>
      </c>
      <c r="J47" s="14">
        <f t="shared" si="10"/>
        <v>7.7226066379800507E-14</v>
      </c>
      <c r="K47" s="14">
        <f t="shared" si="10"/>
        <v>2.8409882143669672E-14</v>
      </c>
      <c r="L47" s="14">
        <f t="shared" si="11"/>
        <v>1.0451411566759735E-14</v>
      </c>
      <c r="M47" s="14">
        <f t="shared" si="11"/>
        <v>3.8448594466323197E-15</v>
      </c>
      <c r="N47" s="14">
        <f t="shared" si="11"/>
        <v>1.4144447446098388E-15</v>
      </c>
      <c r="O47" s="14">
        <f t="shared" si="11"/>
        <v>5.2034514221495098E-16</v>
      </c>
      <c r="P47" s="14">
        <f t="shared" si="11"/>
        <v>1.9142428013431085E-16</v>
      </c>
      <c r="Q47" s="14">
        <f t="shared" si="11"/>
        <v>7.0421057202455903E-17</v>
      </c>
      <c r="R47" s="14">
        <f t="shared" si="11"/>
        <v>2.590645917034165E-17</v>
      </c>
      <c r="S47" s="14">
        <f t="shared" si="11"/>
        <v>9.5304537223160737E-18</v>
      </c>
      <c r="T47" s="14">
        <f t="shared" si="11"/>
        <v>3.5060579894759298E-18</v>
      </c>
    </row>
    <row r="48" spans="1:20" x14ac:dyDescent="0.7">
      <c r="A48" s="16">
        <f t="shared" si="5"/>
        <v>39000</v>
      </c>
      <c r="B48" s="14">
        <f t="shared" si="10"/>
        <v>1.8847809033070192E-10</v>
      </c>
      <c r="C48" s="14">
        <f t="shared" si="10"/>
        <v>6.9337214543919188E-11</v>
      </c>
      <c r="D48" s="14">
        <f t="shared" si="10"/>
        <v>2.5507735738801394E-11</v>
      </c>
      <c r="E48" s="14">
        <f t="shared" si="10"/>
        <v>9.3837715691390839E-12</v>
      </c>
      <c r="F48" s="14">
        <f t="shared" si="10"/>
        <v>3.4520966409353545E-12</v>
      </c>
      <c r="G48" s="14">
        <f t="shared" si="10"/>
        <v>1.2699553831371113E-12</v>
      </c>
      <c r="H48" s="14">
        <f t="shared" si="10"/>
        <v>4.671904766611455E-13</v>
      </c>
      <c r="I48" s="14">
        <f t="shared" si="10"/>
        <v>1.7186977147472195E-13</v>
      </c>
      <c r="J48" s="14">
        <f t="shared" si="10"/>
        <v>6.3227355484384213E-14</v>
      </c>
      <c r="K48" s="14">
        <f t="shared" si="10"/>
        <v>2.3260044202343392E-14</v>
      </c>
      <c r="L48" s="14">
        <f t="shared" si="11"/>
        <v>8.5568920627811352E-15</v>
      </c>
      <c r="M48" s="14">
        <f t="shared" si="11"/>
        <v>3.1479046702202741E-15</v>
      </c>
      <c r="N48" s="14">
        <f t="shared" si="11"/>
        <v>1.1580494109416079E-15</v>
      </c>
      <c r="O48" s="14">
        <f t="shared" si="11"/>
        <v>4.2602257014611666E-16</v>
      </c>
      <c r="P48" s="14">
        <f t="shared" si="11"/>
        <v>1.5672494503177498E-16</v>
      </c>
      <c r="Q48" s="14">
        <f t="shared" si="11"/>
        <v>5.7655885195914393E-17</v>
      </c>
      <c r="R48" s="14">
        <f t="shared" si="11"/>
        <v>2.1210414826117821E-17</v>
      </c>
      <c r="S48" s="14">
        <f t="shared" si="11"/>
        <v>7.8028755532467005E-18</v>
      </c>
      <c r="T48" s="14">
        <f t="shared" si="11"/>
        <v>2.8705174980587048E-18</v>
      </c>
    </row>
    <row r="49" spans="1:20" x14ac:dyDescent="0.7">
      <c r="A49" s="16">
        <f t="shared" si="5"/>
        <v>40000</v>
      </c>
      <c r="B49" s="14">
        <f t="shared" si="10"/>
        <v>1.5431280883515546E-10</v>
      </c>
      <c r="C49" s="14">
        <f t="shared" si="10"/>
        <v>5.6768509879872599E-11</v>
      </c>
      <c r="D49" s="14">
        <f t="shared" si="10"/>
        <v>2.0883967690743031E-11</v>
      </c>
      <c r="E49" s="14">
        <f t="shared" si="10"/>
        <v>7.6827823635130033E-12</v>
      </c>
      <c r="F49" s="14">
        <f t="shared" si="10"/>
        <v>2.8263376825309763E-12</v>
      </c>
      <c r="G49" s="14">
        <f t="shared" si="10"/>
        <v>1.039751527211285E-12</v>
      </c>
      <c r="H49" s="14">
        <f t="shared" si="10"/>
        <v>3.8250321078764124E-13</v>
      </c>
      <c r="I49" s="14">
        <f t="shared" si="10"/>
        <v>1.4071506743083987E-13</v>
      </c>
      <c r="J49" s="14">
        <f t="shared" si="10"/>
        <v>5.1766180370859191E-14</v>
      </c>
      <c r="K49" s="14">
        <f t="shared" si="10"/>
        <v>1.9043713506411767E-14</v>
      </c>
      <c r="L49" s="14">
        <f t="shared" si="11"/>
        <v>7.005790682567809E-15</v>
      </c>
      <c r="M49" s="14">
        <f t="shared" si="11"/>
        <v>2.5772863612671433E-15</v>
      </c>
      <c r="N49" s="14">
        <f t="shared" si="11"/>
        <v>9.4813066632173661E-16</v>
      </c>
      <c r="O49" s="14">
        <f t="shared" si="11"/>
        <v>3.4879777968394768E-16</v>
      </c>
      <c r="P49" s="14">
        <f t="shared" si="11"/>
        <v>1.2831553227197053E-16</v>
      </c>
      <c r="Q49" s="14">
        <f t="shared" si="11"/>
        <v>4.7204646305828694E-17</v>
      </c>
      <c r="R49" s="14">
        <f t="shared" si="11"/>
        <v>1.736561890368385E-17</v>
      </c>
      <c r="S49" s="14">
        <f t="shared" si="11"/>
        <v>6.3884541778834492E-18</v>
      </c>
      <c r="T49" s="14">
        <f t="shared" si="11"/>
        <v>2.3501809529091294E-18</v>
      </c>
    </row>
    <row r="50" spans="1:20" x14ac:dyDescent="0.7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5" spans="1:20" x14ac:dyDescent="0.7">
      <c r="A55" s="7">
        <v>1.0000000000000001E-5</v>
      </c>
      <c r="B55" s="4">
        <f>(-LN($A$55/$B$1/$B$2)-0/$B$4)*$B$3</f>
        <v>-15395.569412465211</v>
      </c>
      <c r="E55">
        <f>B4*2.5</f>
        <v>12.5</v>
      </c>
      <c r="F55">
        <f>(-LN($A$55/$B$1/$B$2)-E55/$B$4)*$B$3</f>
        <v>-27895.569412465207</v>
      </c>
      <c r="G55">
        <f>COS(RADIANS(E55))*F55</f>
        <v>-27234.333033726729</v>
      </c>
      <c r="H55">
        <f>SIN(RADIANS(E55))*F55</f>
        <v>-6037.7062742175203</v>
      </c>
    </row>
    <row r="56" spans="1:20" x14ac:dyDescent="0.7">
      <c r="A56">
        <v>12000</v>
      </c>
      <c r="B56" s="8">
        <f t="shared" ref="B56:B68" si="12">(-LN($A$55/$B$1/$B$2)-$A56/$B$3)*$B$4</f>
        <v>-27.39556941246521</v>
      </c>
      <c r="C56" s="4">
        <f>COS(RADIANS(B56))*A56</f>
        <v>10654.211627609975</v>
      </c>
      <c r="D56" s="4">
        <f>SIN(RADIANS(B56))*A56</f>
        <v>-5521.5735614134865</v>
      </c>
    </row>
    <row r="57" spans="1:20" x14ac:dyDescent="0.7">
      <c r="A57">
        <f t="shared" ref="A57:A67" si="13">A56-1000</f>
        <v>11000</v>
      </c>
      <c r="B57" s="8">
        <f t="shared" si="12"/>
        <v>-26.395569412465214</v>
      </c>
      <c r="C57" s="4">
        <f t="shared" ref="C57:C68" si="14">COS(RADIANS(B57))*A57</f>
        <v>9853.2075450796201</v>
      </c>
      <c r="D57" s="4">
        <f t="shared" ref="D57:D68" si="15">SIN(RADIANS(B57))*A57</f>
        <v>-4890.2250534700397</v>
      </c>
    </row>
    <row r="58" spans="1:20" x14ac:dyDescent="0.7">
      <c r="A58">
        <f t="shared" si="13"/>
        <v>10000</v>
      </c>
      <c r="B58" s="8">
        <f t="shared" si="12"/>
        <v>-25.395569412465207</v>
      </c>
      <c r="C58" s="4">
        <f t="shared" si="14"/>
        <v>9033.6845900439712</v>
      </c>
      <c r="D58" s="4">
        <f t="shared" si="15"/>
        <v>-4288.6527870185628</v>
      </c>
    </row>
    <row r="59" spans="1:20" x14ac:dyDescent="0.7">
      <c r="A59">
        <f t="shared" si="13"/>
        <v>9000</v>
      </c>
      <c r="B59" s="8">
        <f t="shared" si="12"/>
        <v>-24.395569412465214</v>
      </c>
      <c r="C59" s="4">
        <f t="shared" si="14"/>
        <v>8196.4404248694373</v>
      </c>
      <c r="D59" s="4">
        <f t="shared" si="15"/>
        <v>-3717.3060624013856</v>
      </c>
    </row>
    <row r="60" spans="1:20" x14ac:dyDescent="0.7">
      <c r="A60">
        <f t="shared" si="13"/>
        <v>8000</v>
      </c>
      <c r="B60" s="8">
        <f t="shared" si="12"/>
        <v>-23.39556941246521</v>
      </c>
      <c r="C60" s="4">
        <f t="shared" si="14"/>
        <v>7342.2826698179442</v>
      </c>
      <c r="D60" s="4">
        <f t="shared" si="15"/>
        <v>-3176.6153680436469</v>
      </c>
    </row>
    <row r="61" spans="1:20" x14ac:dyDescent="0.7">
      <c r="A61">
        <f t="shared" si="13"/>
        <v>7000</v>
      </c>
      <c r="B61" s="8">
        <f t="shared" si="12"/>
        <v>-22.39556941246521</v>
      </c>
      <c r="C61" s="4">
        <f t="shared" si="14"/>
        <v>6472.0284887144298</v>
      </c>
      <c r="D61" s="4">
        <f t="shared" si="15"/>
        <v>-2666.9921712050104</v>
      </c>
    </row>
    <row r="62" spans="1:20" x14ac:dyDescent="0.7">
      <c r="A62">
        <f t="shared" si="13"/>
        <v>6000</v>
      </c>
      <c r="B62" s="8">
        <f t="shared" si="12"/>
        <v>-21.39556941246521</v>
      </c>
      <c r="C62" s="4">
        <f t="shared" si="14"/>
        <v>5586.5041703696115</v>
      </c>
      <c r="D62" s="4">
        <f t="shared" si="15"/>
        <v>-2188.8287174749266</v>
      </c>
    </row>
    <row r="63" spans="1:20" x14ac:dyDescent="0.7">
      <c r="A63">
        <f t="shared" si="13"/>
        <v>5000</v>
      </c>
      <c r="B63" s="8">
        <f t="shared" si="12"/>
        <v>-20.395569412465207</v>
      </c>
      <c r="C63" s="4">
        <f t="shared" si="14"/>
        <v>4686.5447059371627</v>
      </c>
      <c r="D63" s="4">
        <f t="shared" si="15"/>
        <v>-1742.4978390954623</v>
      </c>
    </row>
    <row r="64" spans="1:20" x14ac:dyDescent="0.7">
      <c r="A64">
        <f t="shared" si="13"/>
        <v>4000</v>
      </c>
      <c r="B64" s="8">
        <f t="shared" si="12"/>
        <v>-19.395569412465214</v>
      </c>
      <c r="C64" s="4">
        <f t="shared" si="14"/>
        <v>3772.9933623861129</v>
      </c>
      <c r="D64" s="4">
        <f t="shared" si="15"/>
        <v>-1328.3527721920609</v>
      </c>
    </row>
    <row r="65" spans="1:4" x14ac:dyDescent="0.7">
      <c r="A65">
        <f t="shared" si="13"/>
        <v>3000</v>
      </c>
      <c r="B65" s="8">
        <f t="shared" si="12"/>
        <v>-18.39556941246521</v>
      </c>
      <c r="C65" s="4">
        <f t="shared" si="14"/>
        <v>2846.7012522708796</v>
      </c>
      <c r="D65" s="4">
        <f t="shared" si="15"/>
        <v>-946.72698298897456</v>
      </c>
    </row>
    <row r="66" spans="1:4" x14ac:dyDescent="0.7">
      <c r="A66">
        <f t="shared" si="13"/>
        <v>2000</v>
      </c>
      <c r="B66" s="8">
        <f t="shared" si="12"/>
        <v>-17.39556941246521</v>
      </c>
      <c r="C66" s="4">
        <f t="shared" si="14"/>
        <v>1908.5268999827456</v>
      </c>
      <c r="D66" s="4">
        <f t="shared" si="15"/>
        <v>-597.93400308248988</v>
      </c>
    </row>
    <row r="67" spans="1:4" x14ac:dyDescent="0.7">
      <c r="A67">
        <f t="shared" si="13"/>
        <v>1000</v>
      </c>
      <c r="B67" s="8">
        <f t="shared" si="12"/>
        <v>-16.39556941246521</v>
      </c>
      <c r="C67" s="4">
        <f t="shared" si="14"/>
        <v>959.33580466809406</v>
      </c>
      <c r="D67" s="4">
        <f t="shared" si="15"/>
        <v>-282.26727384133721</v>
      </c>
    </row>
    <row r="68" spans="1:4" x14ac:dyDescent="0.7">
      <c r="A68">
        <v>10</v>
      </c>
      <c r="B68" s="8">
        <f t="shared" si="12"/>
        <v>-15.40556941246521</v>
      </c>
      <c r="C68" s="4">
        <f t="shared" si="14"/>
        <v>9.6406958640723843</v>
      </c>
      <c r="D68" s="4">
        <f t="shared" si="15"/>
        <v>-2.6564983072566846</v>
      </c>
    </row>
  </sheetData>
  <mergeCells count="1">
    <mergeCell ref="B7:T7"/>
  </mergeCells>
  <conditionalFormatting sqref="B9:T49">
    <cfRule type="cellIs" dxfId="0" priority="3" operator="between">
      <formula>0.0000001</formula>
      <formula>0.000001</formula>
    </cfRule>
    <cfRule type="cellIs" dxfId="1" priority="2" operator="between">
      <formula>0.0000001</formula>
      <formula>0.00000001</formula>
    </cfRule>
    <cfRule type="cellIs" dxfId="2" priority="1" operator="lessThan">
      <formula>0.000000001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9E87-9555-4245-BB7C-3BF695A0CB52}">
  <dimension ref="A1:H20"/>
  <sheetViews>
    <sheetView workbookViewId="0">
      <selection activeCell="E9" sqref="E9"/>
    </sheetView>
  </sheetViews>
  <sheetFormatPr defaultRowHeight="25.5" x14ac:dyDescent="0.7"/>
  <cols>
    <col min="1" max="1" width="17.44140625" bestFit="1" customWidth="1"/>
  </cols>
  <sheetData>
    <row r="1" spans="1:8" x14ac:dyDescent="0.7">
      <c r="A1" t="s">
        <v>46</v>
      </c>
      <c r="B1" t="s">
        <v>47</v>
      </c>
    </row>
    <row r="2" spans="1:8" x14ac:dyDescent="0.7">
      <c r="A2" t="s">
        <v>48</v>
      </c>
      <c r="B2" s="10">
        <v>0</v>
      </c>
      <c r="C2" s="10">
        <v>0</v>
      </c>
      <c r="D2">
        <v>50.032642000000003</v>
      </c>
      <c r="E2">
        <v>8.5347240000000006</v>
      </c>
    </row>
    <row r="3" spans="1:8" x14ac:dyDescent="0.7">
      <c r="A3" t="s">
        <v>49</v>
      </c>
      <c r="B3" s="11">
        <v>68</v>
      </c>
      <c r="C3" t="s">
        <v>45</v>
      </c>
      <c r="D3" s="9">
        <f>RADIANS(B3)</f>
        <v>1.1868238913561442</v>
      </c>
      <c r="E3" t="s">
        <v>50</v>
      </c>
    </row>
    <row r="4" spans="1:8" x14ac:dyDescent="0.7">
      <c r="A4" t="s">
        <v>40</v>
      </c>
      <c r="B4">
        <f>(0.02*10^-6)*212235/8</f>
        <v>5.3058749999999996E-4</v>
      </c>
    </row>
    <row r="5" spans="1:8" x14ac:dyDescent="0.7">
      <c r="A5" t="s">
        <v>42</v>
      </c>
      <c r="B5">
        <v>0.23</v>
      </c>
    </row>
    <row r="6" spans="1:8" x14ac:dyDescent="0.7">
      <c r="A6" t="s">
        <v>43</v>
      </c>
      <c r="B6">
        <v>5000</v>
      </c>
      <c r="C6" t="s">
        <v>0</v>
      </c>
    </row>
    <row r="7" spans="1:8" x14ac:dyDescent="0.7">
      <c r="A7" t="s">
        <v>44</v>
      </c>
      <c r="B7">
        <v>5</v>
      </c>
      <c r="C7" t="s">
        <v>45</v>
      </c>
      <c r="D7" s="9">
        <f>RADIANS(B7)</f>
        <v>8.7266462599716474E-2</v>
      </c>
      <c r="E7" t="s">
        <v>50</v>
      </c>
    </row>
    <row r="8" spans="1:8" x14ac:dyDescent="0.7">
      <c r="A8" t="s">
        <v>51</v>
      </c>
      <c r="B8" s="7">
        <v>1.0000000000000001E-9</v>
      </c>
      <c r="C8">
        <v>0</v>
      </c>
      <c r="D8" t="s">
        <v>45</v>
      </c>
      <c r="E8" s="9">
        <f>(-LN($B$8/$B$4/$B$5)-0/$B$7)*$B$6</f>
        <v>58560.320960566882</v>
      </c>
      <c r="F8" t="s">
        <v>0</v>
      </c>
      <c r="G8" s="9">
        <f>COS($D$3)*$E$8</f>
        <v>21937.082344380386</v>
      </c>
      <c r="H8" s="9">
        <f>SIN($D$3)*$E$8</f>
        <v>54296.184112886636</v>
      </c>
    </row>
    <row r="9" spans="1:8" x14ac:dyDescent="0.7">
      <c r="B9" s="7"/>
      <c r="C9" s="12">
        <v>-12.5</v>
      </c>
      <c r="D9" t="s">
        <v>45</v>
      </c>
      <c r="E9" s="9">
        <f>(-LN($B$8/$B$4/$B$5)+C9/$B$7)*$B$6</f>
        <v>46060.320960566882</v>
      </c>
      <c r="F9" t="s">
        <v>0</v>
      </c>
      <c r="G9" s="9">
        <f>COS($D$3+RADIANS(C9))*$E$9</f>
        <v>26088.853066824682</v>
      </c>
      <c r="H9" s="9">
        <f>SIN($D$3+RADIANS(C9))*$E$9</f>
        <v>37959.516759938728</v>
      </c>
    </row>
    <row r="10" spans="1:8" x14ac:dyDescent="0.7">
      <c r="B10" s="7"/>
      <c r="C10" s="12">
        <v>12.5</v>
      </c>
      <c r="D10" t="s">
        <v>45</v>
      </c>
      <c r="F10" t="s">
        <v>0</v>
      </c>
      <c r="G10" s="9">
        <f>COS($D$3+RADIANS(C10))*$E$9</f>
        <v>7602.1456997159494</v>
      </c>
      <c r="H10" s="9">
        <f>SIN($D$3+RADIANS(C10))*$E$9</f>
        <v>45428.631365590656</v>
      </c>
    </row>
    <row r="11" spans="1:8" x14ac:dyDescent="0.7">
      <c r="A11" t="s">
        <v>52</v>
      </c>
      <c r="B11" s="11">
        <v>7000</v>
      </c>
      <c r="C11" t="s">
        <v>0</v>
      </c>
      <c r="D11" s="9">
        <f>COS($D$3)*$B$11</f>
        <v>2622.2461539113838</v>
      </c>
      <c r="E11" s="9">
        <f>SIN($D$3)*$B$11</f>
        <v>6490.2869819675116</v>
      </c>
      <c r="F11" t="s">
        <v>0</v>
      </c>
    </row>
    <row r="16" spans="1:8" x14ac:dyDescent="0.7">
      <c r="A16" t="s">
        <v>53</v>
      </c>
      <c r="B16">
        <v>-10</v>
      </c>
    </row>
    <row r="17" spans="1:3" x14ac:dyDescent="0.7">
      <c r="A17" t="s">
        <v>54</v>
      </c>
      <c r="B17">
        <v>10</v>
      </c>
    </row>
    <row r="18" spans="1:3" x14ac:dyDescent="0.7">
      <c r="A18" t="s">
        <v>55</v>
      </c>
      <c r="B18">
        <f>SQRT(B16^2+B17^2)</f>
        <v>14.142135623730951</v>
      </c>
    </row>
    <row r="19" spans="1:3" x14ac:dyDescent="0.7">
      <c r="A19" t="s">
        <v>56</v>
      </c>
      <c r="B19">
        <f>ACOS(B16/B18)</f>
        <v>2.3561944901923448</v>
      </c>
      <c r="C19">
        <f>DEGREES(B19)</f>
        <v>135</v>
      </c>
    </row>
    <row r="20" spans="1:3" x14ac:dyDescent="0.7">
      <c r="A20" t="s">
        <v>57</v>
      </c>
      <c r="B20">
        <f>ASIN(B17/B18)</f>
        <v>0.78539816339744828</v>
      </c>
      <c r="C20">
        <f>DEGREES(B20)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PDF</vt:lpstr>
      <vt:lpstr>Calculation of area, takeoff</vt:lpstr>
      <vt:lpstr>Calculation of area, landing</vt:lpstr>
      <vt:lpstr>Fast track risk calculation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Gramkov</dc:creator>
  <cp:keywords/>
  <dc:description/>
  <cp:lastModifiedBy>Kavyajeet Bora</cp:lastModifiedBy>
  <cp:revision/>
  <dcterms:created xsi:type="dcterms:W3CDTF">2021-07-29T13:34:08Z</dcterms:created>
  <dcterms:modified xsi:type="dcterms:W3CDTF">2022-01-25T06:51:59Z</dcterms:modified>
  <cp:category/>
  <cp:contentStatus/>
</cp:coreProperties>
</file>