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0" windowWidth="20490" windowHeight="7605"/>
  </bookViews>
  <sheets>
    <sheet name="Income Tracker" sheetId="1" r:id="rId1"/>
    <sheet name="Transaction Fee Rates" sheetId="9" r:id="rId2"/>
    <sheet name="City Tax Rates" sheetId="8" r:id="rId3"/>
    <sheet name="Sales Tax Tracker" sheetId="2" r:id="rId4"/>
    <sheet name="Transaction Fees Tracker" sheetId="4" r:id="rId5"/>
    <sheet name="Total Revenue Tracker" sheetId="10" r:id="rId6"/>
    <sheet name="Commercial Property Tracker" sheetId="5" r:id="rId7"/>
    <sheet name="Adjustments Tracker" sheetId="6" r:id="rId8"/>
    <sheet name="Dashboard" sheetId="7" r:id="rId9"/>
  </sheets>
  <definedNames>
    <definedName name="_xlnm._FilterDatabase" localSheetId="0" hidden="1">'Income Tracker'!$A$1:$V$1</definedName>
  </definedNames>
  <calcPr calcId="152511"/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2" i="1"/>
  <c r="R4" i="1"/>
  <c r="R5" i="1"/>
  <c r="R8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D3" i="6" l="1"/>
  <c r="D4" i="6"/>
  <c r="D5" i="6"/>
  <c r="D6" i="6"/>
  <c r="D7" i="6"/>
  <c r="D8" i="6"/>
  <c r="D9" i="6"/>
  <c r="D10" i="6"/>
  <c r="D11" i="6"/>
  <c r="D12" i="6"/>
  <c r="D2" i="6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O31" i="1"/>
  <c r="I31" i="1"/>
  <c r="L3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L10" i="1" l="1"/>
  <c r="M10" i="1" s="1"/>
  <c r="L11" i="1"/>
  <c r="M11" i="1" s="1"/>
  <c r="T11" i="1" s="1"/>
  <c r="L12" i="1"/>
  <c r="M12" i="1" s="1"/>
  <c r="T12" i="1" s="1"/>
  <c r="L13" i="1"/>
  <c r="M13" i="1" s="1"/>
  <c r="T13" i="1" s="1"/>
  <c r="L14" i="1"/>
  <c r="M14" i="1" s="1"/>
  <c r="T14" i="1" s="1"/>
  <c r="L15" i="1"/>
  <c r="M15" i="1" s="1"/>
  <c r="T15" i="1" s="1"/>
  <c r="L16" i="1"/>
  <c r="L17" i="1"/>
  <c r="M17" i="1" s="1"/>
  <c r="T17" i="1" s="1"/>
  <c r="L18" i="1"/>
  <c r="M18" i="1" s="1"/>
  <c r="T18" i="1" s="1"/>
  <c r="L19" i="1"/>
  <c r="M19" i="1" s="1"/>
  <c r="T19" i="1" s="1"/>
  <c r="L20" i="1"/>
  <c r="M20" i="1" s="1"/>
  <c r="T20" i="1" s="1"/>
  <c r="L21" i="1"/>
  <c r="M21" i="1" s="1"/>
  <c r="T21" i="1" s="1"/>
  <c r="L22" i="1"/>
  <c r="M22" i="1" s="1"/>
  <c r="T22" i="1" s="1"/>
  <c r="L23" i="1"/>
  <c r="M23" i="1" s="1"/>
  <c r="T23" i="1" s="1"/>
  <c r="L24" i="1"/>
  <c r="M24" i="1" s="1"/>
  <c r="T24" i="1" s="1"/>
  <c r="L25" i="1"/>
  <c r="M25" i="1" s="1"/>
  <c r="T25" i="1" s="1"/>
  <c r="L26" i="1"/>
  <c r="M26" i="1" s="1"/>
  <c r="T26" i="1" s="1"/>
  <c r="L27" i="1"/>
  <c r="M27" i="1" s="1"/>
  <c r="L28" i="1"/>
  <c r="M28" i="1" s="1"/>
  <c r="L29" i="1"/>
  <c r="M29" i="1" s="1"/>
  <c r="L30" i="1"/>
  <c r="M30" i="1" s="1"/>
  <c r="M16" i="1"/>
  <c r="T16" i="1" s="1"/>
  <c r="R29" i="1" l="1"/>
  <c r="T29" i="1" s="1"/>
  <c r="R27" i="1"/>
  <c r="T27" i="1" s="1"/>
  <c r="R30" i="1"/>
  <c r="T30" i="1" s="1"/>
  <c r="R28" i="1"/>
  <c r="T28" i="1" s="1"/>
  <c r="R10" i="1"/>
  <c r="T10" i="1" s="1"/>
  <c r="S31" i="1"/>
  <c r="L3" i="1"/>
  <c r="M3" i="1" s="1"/>
  <c r="L4" i="1"/>
  <c r="M4" i="1" s="1"/>
  <c r="T4" i="1" s="1"/>
  <c r="L5" i="1"/>
  <c r="M5" i="1" s="1"/>
  <c r="T5" i="1" s="1"/>
  <c r="L6" i="1"/>
  <c r="M6" i="1" s="1"/>
  <c r="L7" i="1"/>
  <c r="M7" i="1" s="1"/>
  <c r="L8" i="1"/>
  <c r="M8" i="1" s="1"/>
  <c r="T8" i="1" s="1"/>
  <c r="L9" i="1"/>
  <c r="M9" i="1" s="1"/>
  <c r="L32" i="1"/>
  <c r="L33" i="1"/>
  <c r="L34" i="1"/>
  <c r="L35" i="1"/>
  <c r="L36" i="1"/>
  <c r="L37" i="1"/>
  <c r="L38" i="1"/>
  <c r="L2" i="1"/>
  <c r="M2" i="1" s="1"/>
  <c r="R9" i="1" l="1"/>
  <c r="T9" i="1" s="1"/>
  <c r="R7" i="1"/>
  <c r="T7" i="1" s="1"/>
  <c r="R3" i="1"/>
  <c r="T3" i="1" s="1"/>
  <c r="R6" i="1"/>
  <c r="T6" i="1" s="1"/>
  <c r="R2" i="1"/>
  <c r="T2" i="1" s="1"/>
  <c r="M31" i="1"/>
  <c r="T31" i="1" l="1"/>
  <c r="R31" i="1"/>
</calcChain>
</file>

<file path=xl/sharedStrings.xml><?xml version="1.0" encoding="utf-8"?>
<sst xmlns="http://schemas.openxmlformats.org/spreadsheetml/2006/main" count="322" uniqueCount="149">
  <si>
    <t>Service Date</t>
  </si>
  <si>
    <t>Client Name</t>
  </si>
  <si>
    <t>Property Type</t>
  </si>
  <si>
    <t>Service Type</t>
  </si>
  <si>
    <t>Description</t>
  </si>
  <si>
    <t>Paid Amount</t>
  </si>
  <si>
    <t>Payment Date</t>
  </si>
  <si>
    <t>City</t>
  </si>
  <si>
    <t>Sales Tax %</t>
  </si>
  <si>
    <t>Sales Tax Charge</t>
  </si>
  <si>
    <t>Payment Method</t>
  </si>
  <si>
    <t>Tip Amount</t>
  </si>
  <si>
    <t>Tip Payment Method</t>
  </si>
  <si>
    <t>Transaction Fee %</t>
  </si>
  <si>
    <t>Transaction Fee Charge</t>
  </si>
  <si>
    <t>Total Revenue</t>
  </si>
  <si>
    <t>Payment Status</t>
  </si>
  <si>
    <t>Month</t>
  </si>
  <si>
    <t>Tax Collected</t>
  </si>
  <si>
    <t>Tax Authority Discount</t>
  </si>
  <si>
    <t>Taxes Paid</t>
  </si>
  <si>
    <t>Total Transaction Fees</t>
  </si>
  <si>
    <t>Sales Tax Collected</t>
  </si>
  <si>
    <t>Date</t>
  </si>
  <si>
    <t>Amount</t>
  </si>
  <si>
    <t>Impacted Revenue</t>
  </si>
  <si>
    <t>Dashboard Overview</t>
  </si>
  <si>
    <t>Invoice/Reference Numer</t>
  </si>
  <si>
    <t xml:space="preserve">Little Rock  Pulaski County </t>
  </si>
  <si>
    <t xml:space="preserve">North Little Rock  Pulaski County </t>
  </si>
  <si>
    <t xml:space="preserve">Maumelle  Pulaski County  </t>
  </si>
  <si>
    <t>Jacksonville  Pulaski County</t>
  </si>
  <si>
    <t xml:space="preserve">Sherwood  Pulaski County </t>
  </si>
  <si>
    <t>Scott (North Little Rock)  Pulaski</t>
  </si>
  <si>
    <t>Mabelvale  Pulaski County</t>
  </si>
  <si>
    <t>Roland  Pulaski County</t>
  </si>
  <si>
    <t xml:space="preserve">Alexander (Little Rock)  Pulaski County </t>
  </si>
  <si>
    <t>Alexander (Shannon Hills)  Saline County</t>
  </si>
  <si>
    <t>Alexander (Bryant)  Saline County</t>
  </si>
  <si>
    <t>Bryant  Saline County</t>
  </si>
  <si>
    <t xml:space="preserve">Benton  Saline County </t>
  </si>
  <si>
    <t>Mayflower  Faulkner County</t>
  </si>
  <si>
    <t>Redfield  Jefferson County</t>
  </si>
  <si>
    <t xml:space="preserve">Pine Bluff  Jefferson County </t>
  </si>
  <si>
    <t>Sales tax %</t>
  </si>
  <si>
    <t>Tip-Only Transaction Fee</t>
  </si>
  <si>
    <t>Month-Year</t>
  </si>
  <si>
    <t>Venmo</t>
  </si>
  <si>
    <t>Check</t>
  </si>
  <si>
    <t>ACH Direct Deposit</t>
  </si>
  <si>
    <t>Cash App</t>
  </si>
  <si>
    <t>Zelle</t>
  </si>
  <si>
    <t>Totals</t>
  </si>
  <si>
    <t>Type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</si>
  <si>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</si>
  <si>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</si>
  <si>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</si>
  <si>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</si>
  <si>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</si>
  <si>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</si>
  <si>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</si>
  <si>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</si>
  <si>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</si>
  <si>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</si>
  <si>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</si>
  <si>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</si>
  <si>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</si>
  <si>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</si>
  <si>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</si>
  <si>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</si>
  <si>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</si>
  <si>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</si>
  <si>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</si>
  <si>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</si>
  <si>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</si>
  <si>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</si>
  <si>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</si>
  <si>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</si>
  <si>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</si>
  <si>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</si>
  <si>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</si>
  <si>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</si>
  <si>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</si>
  <si>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Service for Client 1</t>
  </si>
  <si>
    <t>INV-1000</t>
  </si>
  <si>
    <t>Service for Client 2</t>
  </si>
  <si>
    <t>INV-1001</t>
  </si>
  <si>
    <t>Service for Client 3</t>
  </si>
  <si>
    <t>INV-1002</t>
  </si>
  <si>
    <t>Service for Client 4</t>
  </si>
  <si>
    <t>INV-1003</t>
  </si>
  <si>
    <t>Service for Client 5</t>
  </si>
  <si>
    <t>INV-1004</t>
  </si>
  <si>
    <t>Service for Client 6</t>
  </si>
  <si>
    <t>INV-1005</t>
  </si>
  <si>
    <t>Service for Client 7</t>
  </si>
  <si>
    <t>INV-1006</t>
  </si>
  <si>
    <t>Service for Client 8</t>
  </si>
  <si>
    <t>INV-1007</t>
  </si>
  <si>
    <t>Service for Client 9</t>
  </si>
  <si>
    <t>INV-1008</t>
  </si>
  <si>
    <t>Service for Client 10</t>
  </si>
  <si>
    <t>INV-1009</t>
  </si>
  <si>
    <t>Service for Client 11</t>
  </si>
  <si>
    <t>INV-1010</t>
  </si>
  <si>
    <t>Service for Client 12</t>
  </si>
  <si>
    <t>INV-1011</t>
  </si>
  <si>
    <t>Service for Client 13</t>
  </si>
  <si>
    <t>INV-1012</t>
  </si>
  <si>
    <t>Service for Client 14</t>
  </si>
  <si>
    <t>INV-1013</t>
  </si>
  <si>
    <t>Service for Client 15</t>
  </si>
  <si>
    <t>INV-1014</t>
  </si>
  <si>
    <t>Service for Client 16</t>
  </si>
  <si>
    <t>INV-1015</t>
  </si>
  <si>
    <t>Service for Client 17</t>
  </si>
  <si>
    <t>INV-1016</t>
  </si>
  <si>
    <t>Service for Client 18</t>
  </si>
  <si>
    <t>INV-1017</t>
  </si>
  <si>
    <t>Service for Client 19</t>
  </si>
  <si>
    <t>INV-1018</t>
  </si>
  <si>
    <t>Service for Client 20</t>
  </si>
  <si>
    <t>INV-1019</t>
  </si>
  <si>
    <t>Service for Client 21</t>
  </si>
  <si>
    <t>INV-1020</t>
  </si>
  <si>
    <t>Service for Client 22</t>
  </si>
  <si>
    <t>INV-1021</t>
  </si>
  <si>
    <t>Service for Client 23</t>
  </si>
  <si>
    <t>INV-1022</t>
  </si>
  <si>
    <t>Service for Client 24</t>
  </si>
  <si>
    <t>INV-1023</t>
  </si>
  <si>
    <t>Service for Client 25</t>
  </si>
  <si>
    <t>INV-1024</t>
  </si>
  <si>
    <t>Service for Client 26</t>
  </si>
  <si>
    <t>INV-1025</t>
  </si>
  <si>
    <t>Service for Client 27</t>
  </si>
  <si>
    <t>INV-1026</t>
  </si>
  <si>
    <t>Service for Client 28</t>
  </si>
  <si>
    <t>INV-1027</t>
  </si>
  <si>
    <t>Service for Client 29</t>
  </si>
  <si>
    <t>INV-1028</t>
  </si>
  <si>
    <t>Cash</t>
  </si>
  <si>
    <t>Transaction Fee Rates</t>
  </si>
  <si>
    <t>Residential</t>
  </si>
  <si>
    <t>Commercial</t>
  </si>
  <si>
    <t>Lawn Care</t>
  </si>
  <si>
    <t>Landscraping</t>
  </si>
  <si>
    <t>Other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</si>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</sst>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00"/>
    <numFmt numFmtId="165" formatCode="&quot;$&quot;#,##0.00"/>
    <numFmt numFmtId="166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theme="1"/>
      <name val="Arial Black"/>
      <family val="2"/>
    </font>
    <font>
      <sz val="48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164" fontId="0" fillId="0" borderId="0" xfId="0" applyNumberFormat="1" applyFont="1"/>
    <xf numFmtId="14" fontId="1" fillId="0" borderId="0" xfId="0" applyNumberFormat="1" applyFont="1"/>
    <xf numFmtId="1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vertical="center"/>
    </xf>
    <xf numFmtId="165" fontId="0" fillId="0" borderId="0" xfId="0" applyNumberFormat="1"/>
    <xf numFmtId="14" fontId="0" fillId="0" borderId="0" xfId="0" applyNumberFormat="1"/>
    <xf numFmtId="0" fontId="5" fillId="2" borderId="0" xfId="0" applyFont="1" applyFill="1"/>
    <xf numFmtId="166" fontId="2" fillId="0" borderId="0" xfId="0" applyNumberFormat="1" applyFont="1" applyAlignment="1">
      <alignment horizontal="center"/>
    </xf>
    <xf numFmtId="166" fontId="0" fillId="0" borderId="0" xfId="0" applyNumberFormat="1"/>
    <xf numFmtId="166" fontId="0" fillId="0" borderId="0" xfId="0" applyNumberFormat="1" applyFont="1"/>
    <xf numFmtId="166" fontId="1" fillId="0" borderId="0" xfId="0" applyNumberFormat="1" applyFont="1"/>
    <xf numFmtId="165" fontId="2" fillId="0" borderId="0" xfId="1" applyNumberFormat="1" applyFont="1" applyAlignment="1">
      <alignment horizontal="center"/>
    </xf>
    <xf numFmtId="0" fontId="6" fillId="3" borderId="0" xfId="0" applyFont="1" applyFill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39">
    <dxf>
      <numFmt numFmtId="165" formatCode="&quot;$&quot;#,##0.00"/>
    </dxf>
    <dxf>
      <numFmt numFmtId="19" formatCode="m/d/yyyy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&quot;$&quot;#,##0.00"/>
      <alignment horizontal="center" vertical="center" textRotation="0" wrapText="0" indent="0" justifyLastLine="0" shrinkToFit="0" readingOrder="0"/>
    </dxf>
    <dxf>
      <numFmt numFmtId="165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5" formatCode="&quot;$&quot;#,##0.00"/>
      <alignment horizontal="general" vertical="center" textRotation="0" wrapText="0" indent="0" justifyLastLine="0" shrinkToFit="0" readingOrder="0"/>
    </dxf>
    <dxf>
      <numFmt numFmtId="165" formatCode="&quot;$&quot;#,##0.00"/>
    </dxf>
    <dxf>
      <numFmt numFmtId="19" formatCode="m/d/yyyy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9" formatCode="m/d/yyyy"/>
    </dxf>
    <dxf>
      <numFmt numFmtId="165" formatCode="&quot;$&quot;#,##0.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1:U31" totalsRowShown="0" headerRowDxfId="38">
  <autoFilter ref="A1:U31"/>
  <tableColumns count="21">
    <tableColumn id="1" name="Service Date" dataDxfId="37"/>
    <tableColumn id="21" name="Month" dataDxfId="36">
      <calculatedColumnFormula>TEXT(Table2[[#This Row],[Service Date]], "MM")</calculatedColumnFormula>
    </tableColumn>
    <tableColumn id="2" name="Month-Year" dataDxfId="35">
      <calculatedColumnFormula>TEXT(A2, "MM-YYYY")</calculatedColumnFormula>
    </tableColumn>
    <tableColumn id="3" name="Client Name" dataDxfId="34"/>
    <tableColumn id="4" name="Property Type" dataDxfId="33"/>
    <tableColumn id="5" name="Service Type" dataDxfId="32"/>
    <tableColumn id="6" name="Description" dataDxfId="31"/>
    <tableColumn id="7" name="Invoice/Reference Numer" dataDxfId="5"/>
    <tableColumn id="8" name="Paid Amount" dataDxfId="3"/>
    <tableColumn id="9" name="Payment Date" dataDxfId="4"/>
    <tableColumn id="10" name="City" dataDxfId="8"/>
    <tableColumn id="11" name="Sales Tax %" dataDxfId="6">
      <calculatedColumnFormula>IFERROR(VLOOKUP(K2,'City Tax Rates'!A:B,2,FALSE),"")</calculatedColumnFormula>
    </tableColumn>
    <tableColumn id="12" name="Sales Tax Charge" dataDxfId="7">
      <calculatedColumnFormula>IFERROR(ROUND(I2*L2, 2), "")</calculatedColumnFormula>
    </tableColumn>
    <tableColumn id="13" name="Payment Method" dataDxfId="9"/>
    <tableColumn id="14" name="Tip Amount" dataDxfId="14" dataCellStyle="Currency"/>
    <tableColumn id="15" name="Tip Payment Method" dataDxfId="15"/>
    <tableColumn id="16" name="Transaction Fee %" dataDxfId="16">
      <calculatedColumnFormula>IFERROR(VLOOKUP(P2,'Transaction Fee Rates'!A$1:B$7,2,FALSE)," " )</calculatedColumnFormula>
    </tableColumn>
    <tableColumn id="17" name="Transaction Fee Charge" dataDxfId="13">
      <calculatedColumnFormula>IF(N2="Venmo", ROUND((I2 + M2 + O2)*0.019 + 0.1, 2),IF(N2="Cash App", ROUND((I2 + M2 + O2)*0.0275, 2), " "))</calculatedColumnFormula>
    </tableColumn>
    <tableColumn id="18" name="Tip-Only Transaction Fee" dataDxfId="12">
      <calculatedColumnFormula>IF(AND(I2=0,O2&gt;0,N2="Venmo"), ROUND(O2*0.019+0.1,2),IF(AND(I2=0,O2&gt;0,N2="Cash App"), ROUND(O2*0.0275,2), " "))</calculatedColumnFormula>
    </tableColumn>
    <tableColumn id="19" name="Total Revenue" dataDxfId="10">
      <calculatedColumnFormula>IFERROR( ROUND(I2+O2-M2-R2, 2), " ")</calculatedColumnFormula>
    </tableColumn>
    <tableColumn id="20" name="Payment Status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7" totalsRowShown="0" headerRowDxfId="30">
  <autoFilter ref="A1:B7"/>
  <tableColumns count="2">
    <tableColumn id="1" name="Payment Method" dataDxfId="29"/>
    <tableColumn id="2" name="Transaction Fee Ra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B17" totalsRowShown="0" headerRowDxfId="28">
  <autoFilter ref="A1:B17"/>
  <tableColumns count="2">
    <tableColumn id="1" name="City" dataDxfId="27"/>
    <tableColumn id="2" name="Sales tax %" dataDxfId="2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E12" totalsRowShown="0">
  <autoFilter ref="A1:E12"/>
  <tableColumns count="5">
    <tableColumn id="1" name="Month" dataDxfId="25"/>
    <tableColumn id="2" name="City"/>
    <tableColumn id="3" name="Tax Collected" dataDxfId="24"/>
    <tableColumn id="4" name="Tax Authority Discount"/>
    <tableColumn id="5" name="Taxes Paid" dataDxfId="2">
      <calculatedColumnFormula>IFERROR(Table6[[#This Row],[Tax Collected]]-Table6[[#This Row],[Tax Authority Discount]], "-")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2" totalsRowShown="0">
  <autoFilter ref="A1:C12"/>
  <tableColumns count="3">
    <tableColumn id="1" name="Month" dataDxfId="23"/>
    <tableColumn id="2" name="Payment Method"/>
    <tableColumn id="3" name="Total Transaction Fees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59" displayName="Table59" ref="A1:C12" totalsRowShown="0">
  <autoFilter ref="A1:C12"/>
  <tableColumns count="3">
    <tableColumn id="1" name="Month" dataDxfId="1"/>
    <tableColumn id="2" name="Payment Method"/>
    <tableColumn id="3" name="Total Revenue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:D12" totalsRowShown="0">
  <autoFilter ref="A1:D12"/>
  <tableColumns count="4">
    <tableColumn id="1" name="Month"/>
    <tableColumn id="2" name="Client Name"/>
    <tableColumn id="3" name="Paid Amount" dataDxfId="21"/>
    <tableColumn id="4" name="Sales Tax Collected" dataDxfId="2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A1:D12" totalsRowShown="0">
  <autoFilter ref="A1:D12"/>
  <tableColumns count="4">
    <tableColumn id="1" name="Date" dataDxfId="19"/>
    <tableColumn id="2" name="Type"/>
    <tableColumn id="3" name="Amount" dataDxfId="18"/>
    <tableColumn id="4" name="Impacted Revenue" dataDxfId="17">
      <calculatedColumnFormula>IF(B2="Other Income", C2+GETPIVOTDATA("Total Revenue",#REF!,"Month","01"), IF(OR(B2="Adjustment to Income", B2="Client Refund"), C2-GETPIVOTDATA("Total Revenue",#REF!,"Month","01"), 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L1" workbookViewId="0">
      <pane ySplit="1" topLeftCell="A2" activePane="bottomLeft" state="frozen"/>
      <selection pane="bottomLeft" activeCell="U15" sqref="U15"/>
    </sheetView>
  </sheetViews>
  <sheetFormatPr defaultRowHeight="15" x14ac:dyDescent="0.25"/>
  <cols>
    <col min="1" max="1" width="28.28515625" style="18" bestFit="1" customWidth="1"/>
    <col min="2" max="2" width="14.140625" style="3" customWidth="1"/>
    <col min="3" max="3" width="16.28515625" style="3" bestFit="1" customWidth="1"/>
    <col min="4" max="4" width="16.5703125" style="2" bestFit="1" customWidth="1"/>
    <col min="5" max="5" width="18.140625" style="2" bestFit="1" customWidth="1"/>
    <col min="6" max="6" width="16.7109375" style="2" bestFit="1" customWidth="1"/>
    <col min="7" max="7" width="18.85546875" style="2" bestFit="1" customWidth="1"/>
    <col min="8" max="8" width="17.140625" style="2" customWidth="1"/>
    <col min="9" max="9" width="15.42578125" style="23" customWidth="1"/>
    <col min="10" max="10" width="28.28515625" style="3" bestFit="1" customWidth="1"/>
    <col min="11" max="11" width="33.42578125" style="2" bestFit="1" customWidth="1"/>
    <col min="12" max="12" width="13.140625" style="24" customWidth="1"/>
    <col min="13" max="13" width="17.7109375" style="23" customWidth="1"/>
    <col min="14" max="14" width="18.5703125" style="2" customWidth="1"/>
    <col min="15" max="15" width="13.42578125" style="26" customWidth="1"/>
    <col min="16" max="16" width="21.7109375" style="2" customWidth="1"/>
    <col min="17" max="17" width="21.5703125" style="24" bestFit="1" customWidth="1"/>
    <col min="18" max="18" width="23.5703125" style="23" customWidth="1"/>
    <col min="19" max="19" width="25" style="23" customWidth="1"/>
    <col min="20" max="20" width="15.85546875" style="23" customWidth="1"/>
    <col min="21" max="21" width="16.85546875" style="2" customWidth="1"/>
    <col min="22" max="16384" width="9.140625" style="2"/>
  </cols>
  <sheetData>
    <row r="1" spans="1:22" x14ac:dyDescent="0.25">
      <c r="A1" s="16" t="s">
        <v>0</v>
      </c>
      <c r="B1" s="5" t="s">
        <v>17</v>
      </c>
      <c r="C1" s="5" t="s">
        <v>46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27</v>
      </c>
      <c r="I1" s="11" t="s">
        <v>5</v>
      </c>
      <c r="J1" s="5" t="s">
        <v>6</v>
      </c>
      <c r="K1" s="4" t="s">
        <v>7</v>
      </c>
      <c r="L1" s="10" t="s">
        <v>8</v>
      </c>
      <c r="M1" s="11" t="s">
        <v>9</v>
      </c>
      <c r="N1" s="4" t="s">
        <v>10</v>
      </c>
      <c r="O1" s="20" t="s">
        <v>11</v>
      </c>
      <c r="P1" s="4" t="s">
        <v>12</v>
      </c>
      <c r="Q1" s="10" t="s">
        <v>13</v>
      </c>
      <c r="R1" s="11" t="s">
        <v>14</v>
      </c>
      <c r="S1" s="11" t="s">
        <v>45</v>
      </c>
      <c r="T1" s="11" t="s">
        <v>15</v>
      </c>
      <c r="U1" s="4" t="s">
        <v>16</v>
      </c>
      <c r="V1" s="4"/>
    </row>
    <row r="2" spans="1:22" x14ac:dyDescent="0.25">
      <c r="A2" s="17">
        <v>45671</v>
      </c>
      <c r="B2" s="3" t="str">
        <f>TEXT(Table2[[#This Row],[Service Date]], "MM")</f>
        <v>01</v>
      </c>
      <c r="C2" s="3" t="str">
        <f t="shared" ref="C2:C30" si="0">TEXT(A2, "MM-YYYY")</f>
        <v>01-2025</v>
      </c>
      <c r="D2" t="s">
        <v>54</v>
      </c>
      <c r="E2" s="2" t="s">
        <v>143</v>
      </c>
      <c r="F2" s="2" t="s">
        <v>146</v>
      </c>
      <c r="G2" t="s">
        <v>83</v>
      </c>
      <c r="H2" t="s">
        <v>84</v>
      </c>
      <c r="I2" s="25">
        <v>260.48</v>
      </c>
      <c r="J2" s="17">
        <v>45671</v>
      </c>
      <c r="K2" s="2" t="s">
        <v>28</v>
      </c>
      <c r="L2" s="24">
        <f>IFERROR(VLOOKUP(K2,'City Tax Rates'!A:B,2,FALSE),"")</f>
        <v>8.6249999999999993E-2</v>
      </c>
      <c r="M2" s="23">
        <f t="shared" ref="M2:M30" si="1">IFERROR(ROUND(I2*L2, 2), "")</f>
        <v>22.47</v>
      </c>
      <c r="N2" s="2" t="s">
        <v>47</v>
      </c>
      <c r="O2" s="25">
        <v>19.38</v>
      </c>
      <c r="P2" s="2" t="s">
        <v>47</v>
      </c>
      <c r="Q2" s="24">
        <f>IFERROR(VLOOKUP(P2,'Transaction Fee Rates'!A$1:B$7,2,FALSE)," " )</f>
        <v>1.9E-2</v>
      </c>
      <c r="R2" s="22">
        <f>IF(N2="Venmo", ROUND((I2 + M2 + O2)*0.019 + 0.1, 2),IF(N2="Cash App", ROUND((I2 + M2 + O2)*0.0275, 2), "-"))</f>
        <v>5.84</v>
      </c>
      <c r="S2" s="22" t="str">
        <f>IF(AND(I2=0,O2&gt;0,N2="Venmo"), ROUND(O2*0.019+0.1,2),IF(AND(I2=0,O2&gt;0,N2="Cash App"), ROUND(O2*0.0275,2), "-"))</f>
        <v>-</v>
      </c>
      <c r="T2" s="23">
        <f>IFERROR( ROUND(I2+O2-M2-R2, 2), "-")</f>
        <v>251.55</v>
      </c>
    </row>
    <row r="3" spans="1:22" x14ac:dyDescent="0.25">
      <c r="A3" s="17">
        <v>45700</v>
      </c>
      <c r="B3" s="3" t="str">
        <f>TEXT(Table2[[#This Row],[Service Date]], "MM")</f>
        <v>02</v>
      </c>
      <c r="C3" s="3" t="str">
        <f t="shared" si="0"/>
        <v>02-2025</v>
      </c>
      <c r="D3" t="s">
        <v>55</v>
      </c>
      <c r="E3" s="2" t="s">
        <v>144</v>
      </c>
      <c r="F3" s="2" t="s">
        <v>145</v>
      </c>
      <c r="G3" t="s">
        <v>85</v>
      </c>
      <c r="H3" t="s">
        <v>86</v>
      </c>
      <c r="I3" s="25">
        <v>366.11</v>
      </c>
      <c r="J3" s="17">
        <v>45700</v>
      </c>
      <c r="K3" s="2" t="s">
        <v>31</v>
      </c>
      <c r="L3" s="24">
        <f>IFERROR(VLOOKUP(K3,'City Tax Rates'!A:B,2,FALSE),"")</f>
        <v>9.5000000000000001E-2</v>
      </c>
      <c r="M3" s="23">
        <f t="shared" si="1"/>
        <v>34.78</v>
      </c>
      <c r="N3" s="2" t="s">
        <v>50</v>
      </c>
      <c r="O3" s="25">
        <v>17.98</v>
      </c>
      <c r="P3" s="2" t="s">
        <v>50</v>
      </c>
      <c r="Q3" s="24">
        <f>IFERROR(VLOOKUP(P3,'Transaction Fee Rates'!A$1:B$7,2,FALSE)," " )</f>
        <v>2.75E-2</v>
      </c>
      <c r="R3" s="22">
        <f t="shared" ref="R3:R30" si="2">IF(N3="Venmo", ROUND((I3 + M3 + O3)*0.019 + 0.1, 2),IF(N3="Cash App", ROUND((I3 + M3 + O3)*0.0275, 2), "-"))</f>
        <v>11.52</v>
      </c>
      <c r="S3" s="22" t="str">
        <f t="shared" ref="S3:S30" si="3">IF(AND(I3=0,O3&gt;0,N3="Venmo"), ROUND(O3*0.019+0.1,2),IF(AND(I3=0,O3&gt;0,N3="Cash App"), ROUND(O3*0.0275,2), "-"))</f>
        <v>-</v>
      </c>
      <c r="T3" s="23">
        <f t="shared" ref="T3:T30" si="4">IFERROR( ROUND(I3+O3-M3-R3, 2), "-")</f>
        <v>337.79</v>
      </c>
    </row>
    <row r="4" spans="1:22" x14ac:dyDescent="0.25">
      <c r="A4" s="17">
        <v>45742</v>
      </c>
      <c r="B4" s="3" t="str">
        <f>TEXT(Table2[[#This Row],[Service Date]], "MM")</f>
        <v>03</v>
      </c>
      <c r="C4" s="3" t="str">
        <f t="shared" si="0"/>
        <v>03-2025</v>
      </c>
      <c r="D4" t="s">
        <v>56</v>
      </c>
      <c r="E4" s="2" t="s">
        <v>144</v>
      </c>
      <c r="F4" s="2" t="s">
        <v>145</v>
      </c>
      <c r="G4" t="s">
        <v>87</v>
      </c>
      <c r="H4" t="s">
        <v>88</v>
      </c>
      <c r="I4" s="25">
        <v>259.88</v>
      </c>
      <c r="J4" s="17">
        <v>45742</v>
      </c>
      <c r="K4" s="2" t="s">
        <v>30</v>
      </c>
      <c r="L4" s="24">
        <f>IFERROR(VLOOKUP(K4,'City Tax Rates'!A:B,2,FALSE),"")</f>
        <v>9.5000000000000001E-2</v>
      </c>
      <c r="M4" s="23">
        <f t="shared" si="1"/>
        <v>24.69</v>
      </c>
      <c r="N4" s="2" t="s">
        <v>48</v>
      </c>
      <c r="O4" s="25">
        <v>8.64</v>
      </c>
      <c r="P4" s="2" t="s">
        <v>48</v>
      </c>
      <c r="Q4" s="24">
        <f>IFERROR(VLOOKUP(P4,'Transaction Fee Rates'!A$1:B$7,2,FALSE)," " )</f>
        <v>0</v>
      </c>
      <c r="R4" s="22" t="str">
        <f t="shared" si="2"/>
        <v>-</v>
      </c>
      <c r="S4" s="22" t="str">
        <f t="shared" si="3"/>
        <v>-</v>
      </c>
      <c r="T4" s="23" t="str">
        <f t="shared" si="4"/>
        <v>-</v>
      </c>
    </row>
    <row r="5" spans="1:22" x14ac:dyDescent="0.25">
      <c r="A5" s="17">
        <v>45745</v>
      </c>
      <c r="B5" s="3" t="str">
        <f>TEXT(Table2[[#This Row],[Service Date]], "MM")</f>
        <v>03</v>
      </c>
      <c r="C5" s="3" t="str">
        <f t="shared" si="0"/>
        <v>03-2025</v>
      </c>
      <c r="D5" t="s">
        <v>57</v>
      </c>
      <c r="E5" s="2" t="s">
        <v>143</v>
      </c>
      <c r="F5" s="2" t="s">
        <v>146</v>
      </c>
      <c r="G5" t="s">
        <v>89</v>
      </c>
      <c r="H5" t="s">
        <v>90</v>
      </c>
      <c r="I5" s="25">
        <v>440.87</v>
      </c>
      <c r="J5" s="17">
        <v>45745</v>
      </c>
      <c r="K5" s="2" t="s">
        <v>31</v>
      </c>
      <c r="L5" s="24">
        <f>IFERROR(VLOOKUP(K5,'City Tax Rates'!A:B,2,FALSE),"")</f>
        <v>9.5000000000000001E-2</v>
      </c>
      <c r="M5" s="23">
        <f t="shared" si="1"/>
        <v>41.88</v>
      </c>
      <c r="N5" s="2" t="s">
        <v>49</v>
      </c>
      <c r="O5" s="25">
        <v>7.47</v>
      </c>
      <c r="P5" s="2" t="s">
        <v>49</v>
      </c>
      <c r="Q5" s="24">
        <f>IFERROR(VLOOKUP(P5,'Transaction Fee Rates'!A$1:B$7,2,FALSE)," " )</f>
        <v>0</v>
      </c>
      <c r="R5" s="22" t="str">
        <f t="shared" si="2"/>
        <v>-</v>
      </c>
      <c r="S5" s="22" t="str">
        <f t="shared" si="3"/>
        <v>-</v>
      </c>
      <c r="T5" s="23" t="str">
        <f t="shared" si="4"/>
        <v>-</v>
      </c>
    </row>
    <row r="6" spans="1:22" x14ac:dyDescent="0.25">
      <c r="A6" s="17">
        <v>45729</v>
      </c>
      <c r="B6" s="3" t="str">
        <f>TEXT(Table2[[#This Row],[Service Date]], "MM")</f>
        <v>03</v>
      </c>
      <c r="C6" s="3" t="str">
        <f t="shared" si="0"/>
        <v>03-2025</v>
      </c>
      <c r="D6" t="s">
        <v>58</v>
      </c>
      <c r="E6" s="2" t="s">
        <v>143</v>
      </c>
      <c r="F6" s="2" t="s">
        <v>147</v>
      </c>
      <c r="G6" t="s">
        <v>91</v>
      </c>
      <c r="H6" t="s">
        <v>92</v>
      </c>
      <c r="I6" s="25">
        <v>176.8</v>
      </c>
      <c r="J6" s="17">
        <v>45729</v>
      </c>
      <c r="K6" s="2" t="s">
        <v>32</v>
      </c>
      <c r="L6" s="24">
        <f>IFERROR(VLOOKUP(K6,'City Tax Rates'!A:B,2,FALSE),"")</f>
        <v>9.5000000000000001E-2</v>
      </c>
      <c r="M6" s="23">
        <f t="shared" si="1"/>
        <v>16.8</v>
      </c>
      <c r="N6" s="2" t="s">
        <v>50</v>
      </c>
      <c r="O6" s="25">
        <v>0.17</v>
      </c>
      <c r="P6" s="2" t="s">
        <v>50</v>
      </c>
      <c r="Q6" s="24">
        <f>IFERROR(VLOOKUP(P6,'Transaction Fee Rates'!A$1:B$7,2,FALSE)," " )</f>
        <v>2.75E-2</v>
      </c>
      <c r="R6" s="22">
        <f t="shared" si="2"/>
        <v>5.33</v>
      </c>
      <c r="S6" s="22" t="str">
        <f t="shared" si="3"/>
        <v>-</v>
      </c>
      <c r="T6" s="23">
        <f t="shared" si="4"/>
        <v>154.84</v>
      </c>
    </row>
    <row r="7" spans="1:22" x14ac:dyDescent="0.25">
      <c r="A7" s="17">
        <v>45693</v>
      </c>
      <c r="B7" s="3" t="str">
        <f>TEXT(Table2[[#This Row],[Service Date]], "MM")</f>
        <v>02</v>
      </c>
      <c r="C7" s="3" t="str">
        <f t="shared" si="0"/>
        <v>02-2025</v>
      </c>
      <c r="D7" t="s">
        <v>59</v>
      </c>
      <c r="E7" s="2" t="s">
        <v>143</v>
      </c>
      <c r="F7" s="2" t="s">
        <v>147</v>
      </c>
      <c r="G7" t="s">
        <v>93</v>
      </c>
      <c r="H7" t="s">
        <v>94</v>
      </c>
      <c r="I7" s="25">
        <v>458.47</v>
      </c>
      <c r="J7" s="17">
        <v>45693</v>
      </c>
      <c r="K7" s="2" t="s">
        <v>34</v>
      </c>
      <c r="L7" s="24">
        <f>IFERROR(VLOOKUP(K7,'City Tax Rates'!A:B,2,FALSE),"")</f>
        <v>8.6249999999999993E-2</v>
      </c>
      <c r="M7" s="23">
        <f t="shared" si="1"/>
        <v>39.54</v>
      </c>
      <c r="N7" s="2" t="s">
        <v>47</v>
      </c>
      <c r="O7" s="25">
        <v>10.06</v>
      </c>
      <c r="P7" s="2" t="s">
        <v>47</v>
      </c>
      <c r="Q7" s="24">
        <f>IFERROR(VLOOKUP(P7,'Transaction Fee Rates'!A$1:B$7,2,FALSE)," " )</f>
        <v>1.9E-2</v>
      </c>
      <c r="R7" s="22">
        <f t="shared" si="2"/>
        <v>9.75</v>
      </c>
      <c r="S7" s="22" t="str">
        <f t="shared" si="3"/>
        <v>-</v>
      </c>
      <c r="T7" s="23">
        <f t="shared" si="4"/>
        <v>419.24</v>
      </c>
    </row>
    <row r="8" spans="1:22" x14ac:dyDescent="0.25">
      <c r="A8" s="17">
        <v>45711</v>
      </c>
      <c r="B8" s="3" t="str">
        <f>TEXT(Table2[[#This Row],[Service Date]], "MM")</f>
        <v>02</v>
      </c>
      <c r="C8" s="3" t="str">
        <f t="shared" si="0"/>
        <v>02-2025</v>
      </c>
      <c r="D8" t="s">
        <v>60</v>
      </c>
      <c r="E8" s="2" t="s">
        <v>143</v>
      </c>
      <c r="F8" s="2" t="s">
        <v>148</v>
      </c>
      <c r="G8" t="s">
        <v>95</v>
      </c>
      <c r="H8" t="s">
        <v>96</v>
      </c>
      <c r="I8" s="25">
        <v>287.83999999999997</v>
      </c>
      <c r="J8" s="17">
        <v>45711</v>
      </c>
      <c r="K8" s="2" t="s">
        <v>29</v>
      </c>
      <c r="L8" s="24">
        <f>IFERROR(VLOOKUP(K8,'City Tax Rates'!A:B,2,FALSE),"")</f>
        <v>9.5000000000000001E-2</v>
      </c>
      <c r="M8" s="23">
        <f t="shared" si="1"/>
        <v>27.34</v>
      </c>
      <c r="N8" s="2" t="s">
        <v>51</v>
      </c>
      <c r="O8" s="25">
        <v>18.86</v>
      </c>
      <c r="P8" s="2" t="s">
        <v>51</v>
      </c>
      <c r="Q8" s="24">
        <f>IFERROR(VLOOKUP(P8,'Transaction Fee Rates'!A$1:B$7,2,FALSE)," " )</f>
        <v>0</v>
      </c>
      <c r="R8" s="22" t="str">
        <f t="shared" si="2"/>
        <v>-</v>
      </c>
      <c r="S8" s="22" t="str">
        <f t="shared" si="3"/>
        <v>-</v>
      </c>
      <c r="T8" s="23" t="str">
        <f t="shared" si="4"/>
        <v>-</v>
      </c>
    </row>
    <row r="9" spans="1:22" x14ac:dyDescent="0.25">
      <c r="A9" s="17">
        <v>45696</v>
      </c>
      <c r="B9" s="3" t="str">
        <f>TEXT(Table2[[#This Row],[Service Date]], "MM")</f>
        <v>02</v>
      </c>
      <c r="C9" s="3" t="str">
        <f t="shared" si="0"/>
        <v>02-2025</v>
      </c>
      <c r="D9" t="s">
        <v>61</v>
      </c>
      <c r="E9" s="2" t="s">
        <v>144</v>
      </c>
      <c r="F9" s="2" t="s">
        <v>148</v>
      </c>
      <c r="G9" t="s">
        <v>97</v>
      </c>
      <c r="H9" t="s">
        <v>98</v>
      </c>
      <c r="I9" s="25">
        <v>253.91</v>
      </c>
      <c r="J9" s="17">
        <v>45696</v>
      </c>
      <c r="K9" s="2" t="s">
        <v>35</v>
      </c>
      <c r="L9" s="24">
        <f>IFERROR(VLOOKUP(K9,'City Tax Rates'!A:B,2,FALSE),"")</f>
        <v>7.4999999999999997E-2</v>
      </c>
      <c r="M9" s="23">
        <f t="shared" si="1"/>
        <v>19.04</v>
      </c>
      <c r="N9" s="2" t="s">
        <v>47</v>
      </c>
      <c r="O9" s="25">
        <v>27.42</v>
      </c>
      <c r="P9" s="2" t="s">
        <v>47</v>
      </c>
      <c r="Q9" s="24">
        <f>IFERROR(VLOOKUP(P9,'Transaction Fee Rates'!A$1:B$7,2,FALSE)," " )</f>
        <v>1.9E-2</v>
      </c>
      <c r="R9" s="22">
        <f t="shared" si="2"/>
        <v>5.81</v>
      </c>
      <c r="S9" s="22" t="str">
        <f t="shared" si="3"/>
        <v>-</v>
      </c>
      <c r="T9" s="23">
        <f t="shared" si="4"/>
        <v>256.48</v>
      </c>
    </row>
    <row r="10" spans="1:22" x14ac:dyDescent="0.25">
      <c r="A10" s="17">
        <v>45718</v>
      </c>
      <c r="B10" s="3" t="str">
        <f>TEXT(Table2[[#This Row],[Service Date]], "MM")</f>
        <v>03</v>
      </c>
      <c r="C10" s="3" t="str">
        <f t="shared" si="0"/>
        <v>03-2025</v>
      </c>
      <c r="D10" t="s">
        <v>62</v>
      </c>
      <c r="E10" s="2" t="s">
        <v>144</v>
      </c>
      <c r="F10" s="2" t="s">
        <v>145</v>
      </c>
      <c r="G10" t="s">
        <v>99</v>
      </c>
      <c r="H10" t="s">
        <v>100</v>
      </c>
      <c r="I10" s="25">
        <v>410.41</v>
      </c>
      <c r="J10" s="17">
        <v>45718</v>
      </c>
      <c r="K10" s="2" t="s">
        <v>33</v>
      </c>
      <c r="L10" s="24">
        <f>IFERROR(VLOOKUP(K10,'City Tax Rates'!A:B,2,FALSE),"")</f>
        <v>9.5000000000000001E-2</v>
      </c>
      <c r="M10" s="23">
        <f t="shared" si="1"/>
        <v>38.99</v>
      </c>
      <c r="N10" s="2" t="s">
        <v>50</v>
      </c>
      <c r="O10" s="25">
        <v>24.6</v>
      </c>
      <c r="P10" s="2" t="s">
        <v>50</v>
      </c>
      <c r="Q10" s="24">
        <f>IFERROR(VLOOKUP(P10,'Transaction Fee Rates'!A$1:B$7,2,FALSE)," " )</f>
        <v>2.75E-2</v>
      </c>
      <c r="R10" s="22">
        <f t="shared" si="2"/>
        <v>13.04</v>
      </c>
      <c r="S10" s="22" t="str">
        <f t="shared" si="3"/>
        <v>-</v>
      </c>
      <c r="T10" s="23">
        <f t="shared" si="4"/>
        <v>382.98</v>
      </c>
    </row>
    <row r="11" spans="1:22" x14ac:dyDescent="0.25">
      <c r="A11" s="17">
        <v>45708</v>
      </c>
      <c r="B11" s="3" t="str">
        <f>TEXT(Table2[[#This Row],[Service Date]], "MM")</f>
        <v>02</v>
      </c>
      <c r="C11" s="3" t="str">
        <f t="shared" si="0"/>
        <v>02-2025</v>
      </c>
      <c r="D11" t="s">
        <v>63</v>
      </c>
      <c r="E11" s="2" t="s">
        <v>143</v>
      </c>
      <c r="F11" s="2" t="s">
        <v>146</v>
      </c>
      <c r="G11" t="s">
        <v>101</v>
      </c>
      <c r="H11" t="s">
        <v>102</v>
      </c>
      <c r="I11" s="25">
        <v>219.19</v>
      </c>
      <c r="J11" s="17">
        <v>45708</v>
      </c>
      <c r="K11" s="2" t="s">
        <v>36</v>
      </c>
      <c r="L11" s="24">
        <f>IFERROR(VLOOKUP(K11,'City Tax Rates'!A:B,2,FALSE),"")</f>
        <v>8.6249999999999993E-2</v>
      </c>
      <c r="M11" s="23">
        <f t="shared" si="1"/>
        <v>18.91</v>
      </c>
      <c r="N11" s="2" t="s">
        <v>51</v>
      </c>
      <c r="O11" s="25">
        <v>17.59</v>
      </c>
      <c r="P11" s="2" t="s">
        <v>51</v>
      </c>
      <c r="Q11" s="24">
        <f>IFERROR(VLOOKUP(P11,'Transaction Fee Rates'!A$1:B$7,2,FALSE)," " )</f>
        <v>0</v>
      </c>
      <c r="R11" s="22" t="str">
        <f t="shared" si="2"/>
        <v>-</v>
      </c>
      <c r="S11" s="22" t="str">
        <f t="shared" si="3"/>
        <v>-</v>
      </c>
      <c r="T11" s="23" t="str">
        <f t="shared" si="4"/>
        <v>-</v>
      </c>
    </row>
    <row r="12" spans="1:22" x14ac:dyDescent="0.25">
      <c r="A12" s="17">
        <v>45674</v>
      </c>
      <c r="B12" s="3" t="str">
        <f>TEXT(Table2[[#This Row],[Service Date]], "MM")</f>
        <v>01</v>
      </c>
      <c r="C12" s="3" t="str">
        <f t="shared" si="0"/>
        <v>01-2025</v>
      </c>
      <c r="D12" t="s">
        <v>64</v>
      </c>
      <c r="E12" s="2" t="s">
        <v>143</v>
      </c>
      <c r="F12" s="2" t="s">
        <v>147</v>
      </c>
      <c r="G12" t="s">
        <v>103</v>
      </c>
      <c r="H12" t="s">
        <v>104</v>
      </c>
      <c r="I12" s="25">
        <v>236.51</v>
      </c>
      <c r="J12" s="17">
        <v>45674</v>
      </c>
      <c r="K12" s="2" t="s">
        <v>37</v>
      </c>
      <c r="L12" s="24">
        <f>IFERROR(VLOOKUP(K12,'City Tax Rates'!A:B,2,FALSE),"")</f>
        <v>7.8750000000000001E-2</v>
      </c>
      <c r="M12" s="23">
        <f t="shared" si="1"/>
        <v>18.63</v>
      </c>
      <c r="N12" s="2" t="s">
        <v>48</v>
      </c>
      <c r="O12" s="25">
        <v>21.13</v>
      </c>
      <c r="P12" s="2" t="s">
        <v>48</v>
      </c>
      <c r="Q12" s="24">
        <f>IFERROR(VLOOKUP(P12,'Transaction Fee Rates'!A$1:B$7,2,FALSE)," " )</f>
        <v>0</v>
      </c>
      <c r="R12" s="22" t="str">
        <f t="shared" si="2"/>
        <v>-</v>
      </c>
      <c r="S12" s="22" t="str">
        <f t="shared" si="3"/>
        <v>-</v>
      </c>
      <c r="T12" s="23" t="str">
        <f t="shared" si="4"/>
        <v>-</v>
      </c>
    </row>
    <row r="13" spans="1:22" x14ac:dyDescent="0.25">
      <c r="A13" s="17">
        <v>45708</v>
      </c>
      <c r="B13" s="3" t="str">
        <f>TEXT(Table2[[#This Row],[Service Date]], "MM")</f>
        <v>02</v>
      </c>
      <c r="C13" s="3" t="str">
        <f t="shared" si="0"/>
        <v>02-2025</v>
      </c>
      <c r="D13" t="s">
        <v>65</v>
      </c>
      <c r="E13" s="2" t="s">
        <v>144</v>
      </c>
      <c r="F13" s="2" t="s">
        <v>147</v>
      </c>
      <c r="G13" t="s">
        <v>105</v>
      </c>
      <c r="H13" t="s">
        <v>106</v>
      </c>
      <c r="I13" s="25">
        <v>144.69</v>
      </c>
      <c r="J13" s="17">
        <v>45708</v>
      </c>
      <c r="K13" s="2" t="s">
        <v>38</v>
      </c>
      <c r="L13" s="24">
        <f>IFERROR(VLOOKUP(K13,'City Tax Rates'!A:B,2,FALSE),"")</f>
        <v>9.8750000000000004E-2</v>
      </c>
      <c r="M13" s="23">
        <f t="shared" si="1"/>
        <v>14.29</v>
      </c>
      <c r="N13" s="2" t="s">
        <v>49</v>
      </c>
      <c r="O13" s="25">
        <v>11.79</v>
      </c>
      <c r="P13" s="2" t="s">
        <v>49</v>
      </c>
      <c r="Q13" s="24">
        <f>IFERROR(VLOOKUP(P13,'Transaction Fee Rates'!A$1:B$7,2,FALSE)," " )</f>
        <v>0</v>
      </c>
      <c r="R13" s="22" t="str">
        <f t="shared" si="2"/>
        <v>-</v>
      </c>
      <c r="S13" s="22" t="str">
        <f t="shared" si="3"/>
        <v>-</v>
      </c>
      <c r="T13" s="23" t="str">
        <f t="shared" si="4"/>
        <v>-</v>
      </c>
    </row>
    <row r="14" spans="1:22" x14ac:dyDescent="0.25">
      <c r="A14" s="17">
        <v>45723</v>
      </c>
      <c r="B14" s="3" t="str">
        <f>TEXT(Table2[[#This Row],[Service Date]], "MM")</f>
        <v>03</v>
      </c>
      <c r="C14" s="3" t="str">
        <f t="shared" si="0"/>
        <v>03-2025</v>
      </c>
      <c r="D14" t="s">
        <v>66</v>
      </c>
      <c r="E14" s="2" t="s">
        <v>144</v>
      </c>
      <c r="F14" s="2" t="s">
        <v>147</v>
      </c>
      <c r="G14" t="s">
        <v>107</v>
      </c>
      <c r="H14" t="s">
        <v>108</v>
      </c>
      <c r="I14" s="25">
        <v>135.01</v>
      </c>
      <c r="J14" s="17">
        <v>45723</v>
      </c>
      <c r="K14" s="2" t="s">
        <v>39</v>
      </c>
      <c r="L14" s="24">
        <f>IFERROR(VLOOKUP(K14,'City Tax Rates'!A:B,2,FALSE),"")</f>
        <v>9.8750000000000004E-2</v>
      </c>
      <c r="M14" s="23">
        <f t="shared" si="1"/>
        <v>13.33</v>
      </c>
      <c r="N14" s="2" t="s">
        <v>141</v>
      </c>
      <c r="O14" s="25">
        <v>25.72</v>
      </c>
      <c r="P14" s="2" t="s">
        <v>141</v>
      </c>
      <c r="Q14" s="24">
        <f>IFERROR(VLOOKUP(P14,'Transaction Fee Rates'!A$1:B$7,2,FALSE)," " )</f>
        <v>0</v>
      </c>
      <c r="R14" s="22" t="str">
        <f t="shared" si="2"/>
        <v>-</v>
      </c>
      <c r="S14" s="22" t="str">
        <f t="shared" si="3"/>
        <v>-</v>
      </c>
      <c r="T14" s="23" t="str">
        <f t="shared" si="4"/>
        <v>-</v>
      </c>
    </row>
    <row r="15" spans="1:22" x14ac:dyDescent="0.25">
      <c r="A15" s="17">
        <v>45701</v>
      </c>
      <c r="B15" s="3" t="str">
        <f>TEXT(Table2[[#This Row],[Service Date]], "MM")</f>
        <v>02</v>
      </c>
      <c r="C15" s="3" t="str">
        <f t="shared" si="0"/>
        <v>02-2025</v>
      </c>
      <c r="D15" t="s">
        <v>67</v>
      </c>
      <c r="E15" s="2" t="s">
        <v>144</v>
      </c>
      <c r="F15" s="2" t="s">
        <v>148</v>
      </c>
      <c r="G15" t="s">
        <v>109</v>
      </c>
      <c r="H15" t="s">
        <v>110</v>
      </c>
      <c r="I15" s="25">
        <v>295.07</v>
      </c>
      <c r="J15" s="17">
        <v>45701</v>
      </c>
      <c r="K15" s="2" t="s">
        <v>40</v>
      </c>
      <c r="L15" s="24">
        <f>IFERROR(VLOOKUP(K15,'City Tax Rates'!A:B,2,FALSE),"")</f>
        <v>9.375E-2</v>
      </c>
      <c r="M15" s="23">
        <f t="shared" si="1"/>
        <v>27.66</v>
      </c>
      <c r="N15" s="2" t="s">
        <v>141</v>
      </c>
      <c r="O15" s="25">
        <v>6.99</v>
      </c>
      <c r="P15" s="2" t="s">
        <v>141</v>
      </c>
      <c r="Q15" s="24">
        <f>IFERROR(VLOOKUP(P15,'Transaction Fee Rates'!A$1:B$7,2,FALSE)," " )</f>
        <v>0</v>
      </c>
      <c r="R15" s="22" t="str">
        <f t="shared" si="2"/>
        <v>-</v>
      </c>
      <c r="S15" s="22" t="str">
        <f t="shared" si="3"/>
        <v>-</v>
      </c>
      <c r="T15" s="23" t="str">
        <f t="shared" si="4"/>
        <v>-</v>
      </c>
    </row>
    <row r="16" spans="1:22" x14ac:dyDescent="0.25">
      <c r="A16" s="17">
        <v>45736</v>
      </c>
      <c r="B16" s="3" t="str">
        <f>TEXT(Table2[[#This Row],[Service Date]], "MM")</f>
        <v>03</v>
      </c>
      <c r="C16" s="3" t="str">
        <f t="shared" si="0"/>
        <v>03-2025</v>
      </c>
      <c r="D16" t="s">
        <v>68</v>
      </c>
      <c r="E16" s="2" t="s">
        <v>144</v>
      </c>
      <c r="F16" s="2" t="s">
        <v>146</v>
      </c>
      <c r="G16" t="s">
        <v>111</v>
      </c>
      <c r="H16" t="s">
        <v>112</v>
      </c>
      <c r="I16" s="25">
        <v>333.33</v>
      </c>
      <c r="J16" s="17">
        <v>45736</v>
      </c>
      <c r="K16" s="2" t="s">
        <v>41</v>
      </c>
      <c r="L16" s="24">
        <f>IFERROR(VLOOKUP(K16,'City Tax Rates'!A:B,2,FALSE),"")</f>
        <v>7.0000000000000007E-2</v>
      </c>
      <c r="M16" s="23">
        <f t="shared" si="1"/>
        <v>23.33</v>
      </c>
      <c r="N16" s="2" t="s">
        <v>141</v>
      </c>
      <c r="O16" s="25">
        <v>18</v>
      </c>
      <c r="P16" s="2" t="s">
        <v>141</v>
      </c>
      <c r="Q16" s="24">
        <f>IFERROR(VLOOKUP(P16,'Transaction Fee Rates'!A$1:B$7,2,FALSE)," " )</f>
        <v>0</v>
      </c>
      <c r="R16" s="22" t="str">
        <f t="shared" si="2"/>
        <v>-</v>
      </c>
      <c r="S16" s="22" t="str">
        <f t="shared" si="3"/>
        <v>-</v>
      </c>
      <c r="T16" s="23" t="str">
        <f t="shared" si="4"/>
        <v>-</v>
      </c>
    </row>
    <row r="17" spans="1:20" x14ac:dyDescent="0.25">
      <c r="A17" s="17">
        <v>45701</v>
      </c>
      <c r="B17" s="3" t="str">
        <f>TEXT(Table2[[#This Row],[Service Date]], "MM")</f>
        <v>02</v>
      </c>
      <c r="C17" s="3" t="str">
        <f t="shared" si="0"/>
        <v>02-2025</v>
      </c>
      <c r="D17" t="s">
        <v>69</v>
      </c>
      <c r="E17" s="2" t="s">
        <v>143</v>
      </c>
      <c r="F17" s="2" t="s">
        <v>145</v>
      </c>
      <c r="G17" t="s">
        <v>113</v>
      </c>
      <c r="H17" t="s">
        <v>114</v>
      </c>
      <c r="I17" s="25">
        <v>341.27</v>
      </c>
      <c r="J17" s="17">
        <v>45701</v>
      </c>
      <c r="K17" s="2" t="s">
        <v>42</v>
      </c>
      <c r="L17" s="24">
        <f>IFERROR(VLOOKUP(K17,'City Tax Rates'!A:B,2,FALSE),"")</f>
        <v>9.7500000000000003E-2</v>
      </c>
      <c r="M17" s="23">
        <f t="shared" si="1"/>
        <v>33.270000000000003</v>
      </c>
      <c r="N17" s="2" t="s">
        <v>49</v>
      </c>
      <c r="O17" s="25">
        <v>23.59</v>
      </c>
      <c r="P17" s="2" t="s">
        <v>49</v>
      </c>
      <c r="Q17" s="24">
        <f>IFERROR(VLOOKUP(P17,'Transaction Fee Rates'!A$1:B$7,2,FALSE)," " )</f>
        <v>0</v>
      </c>
      <c r="R17" s="22" t="str">
        <f t="shared" si="2"/>
        <v>-</v>
      </c>
      <c r="S17" s="22" t="str">
        <f t="shared" si="3"/>
        <v>-</v>
      </c>
      <c r="T17" s="23" t="str">
        <f t="shared" si="4"/>
        <v>-</v>
      </c>
    </row>
    <row r="18" spans="1:20" x14ac:dyDescent="0.25">
      <c r="A18" s="17">
        <v>45683</v>
      </c>
      <c r="B18" s="3" t="str">
        <f>TEXT(Table2[[#This Row],[Service Date]], "MM")</f>
        <v>01</v>
      </c>
      <c r="C18" s="3" t="str">
        <f t="shared" si="0"/>
        <v>01-2025</v>
      </c>
      <c r="D18" t="s">
        <v>70</v>
      </c>
      <c r="E18" s="2" t="s">
        <v>143</v>
      </c>
      <c r="F18" s="2" t="s">
        <v>145</v>
      </c>
      <c r="G18" t="s">
        <v>115</v>
      </c>
      <c r="H18" t="s">
        <v>116</v>
      </c>
      <c r="I18" s="25">
        <v>122.98</v>
      </c>
      <c r="J18" s="17">
        <v>45683</v>
      </c>
      <c r="K18" s="2" t="s">
        <v>43</v>
      </c>
      <c r="L18" s="24">
        <f>IFERROR(VLOOKUP(K18,'City Tax Rates'!A:B,2,FALSE),"")</f>
        <v>9.375E-2</v>
      </c>
      <c r="M18" s="23">
        <f t="shared" si="1"/>
        <v>11.53</v>
      </c>
      <c r="N18" s="2" t="s">
        <v>51</v>
      </c>
      <c r="O18" s="25">
        <v>19.75</v>
      </c>
      <c r="P18" s="2" t="s">
        <v>51</v>
      </c>
      <c r="Q18" s="24">
        <f>IFERROR(VLOOKUP(P18,'Transaction Fee Rates'!A$1:B$7,2,FALSE)," " )</f>
        <v>0</v>
      </c>
      <c r="R18" s="22" t="str">
        <f t="shared" si="2"/>
        <v>-</v>
      </c>
      <c r="S18" s="22" t="str">
        <f t="shared" si="3"/>
        <v>-</v>
      </c>
      <c r="T18" s="23" t="str">
        <f t="shared" si="4"/>
        <v>-</v>
      </c>
    </row>
    <row r="19" spans="1:20" x14ac:dyDescent="0.25">
      <c r="A19" s="17">
        <v>45658</v>
      </c>
      <c r="B19" s="3" t="str">
        <f>TEXT(Table2[[#This Row],[Service Date]], "MM")</f>
        <v>01</v>
      </c>
      <c r="C19" s="3" t="str">
        <f t="shared" si="0"/>
        <v>01-2025</v>
      </c>
      <c r="D19" t="s">
        <v>71</v>
      </c>
      <c r="E19" s="2" t="s">
        <v>144</v>
      </c>
      <c r="F19" s="2" t="s">
        <v>146</v>
      </c>
      <c r="G19" t="s">
        <v>117</v>
      </c>
      <c r="H19" t="s">
        <v>118</v>
      </c>
      <c r="I19" s="25">
        <v>481.4</v>
      </c>
      <c r="J19" s="17">
        <v>45658</v>
      </c>
      <c r="K19" s="2" t="s">
        <v>43</v>
      </c>
      <c r="L19" s="24">
        <f>IFERROR(VLOOKUP(K19,'City Tax Rates'!A:B,2,FALSE),"")</f>
        <v>9.375E-2</v>
      </c>
      <c r="M19" s="23">
        <f t="shared" si="1"/>
        <v>45.13</v>
      </c>
      <c r="N19" s="2" t="s">
        <v>141</v>
      </c>
      <c r="O19" s="25">
        <v>0.71</v>
      </c>
      <c r="P19" s="2" t="s">
        <v>141</v>
      </c>
      <c r="Q19" s="24">
        <f>IFERROR(VLOOKUP(P19,'Transaction Fee Rates'!A$1:B$7,2,FALSE)," " )</f>
        <v>0</v>
      </c>
      <c r="R19" s="22" t="str">
        <f t="shared" si="2"/>
        <v>-</v>
      </c>
      <c r="S19" s="22" t="str">
        <f t="shared" si="3"/>
        <v>-</v>
      </c>
      <c r="T19" s="23" t="str">
        <f t="shared" si="4"/>
        <v>-</v>
      </c>
    </row>
    <row r="20" spans="1:20" x14ac:dyDescent="0.25">
      <c r="A20" s="17">
        <v>45712</v>
      </c>
      <c r="B20" s="3" t="str">
        <f>TEXT(Table2[[#This Row],[Service Date]], "MM")</f>
        <v>02</v>
      </c>
      <c r="C20" s="3" t="str">
        <f t="shared" si="0"/>
        <v>02-2025</v>
      </c>
      <c r="D20" t="s">
        <v>72</v>
      </c>
      <c r="E20" s="2" t="s">
        <v>143</v>
      </c>
      <c r="F20" s="2" t="s">
        <v>146</v>
      </c>
      <c r="G20" t="s">
        <v>119</v>
      </c>
      <c r="H20" t="s">
        <v>120</v>
      </c>
      <c r="I20" s="25">
        <v>422.06</v>
      </c>
      <c r="J20" s="17">
        <v>45712</v>
      </c>
      <c r="K20" s="2" t="s">
        <v>40</v>
      </c>
      <c r="L20" s="24">
        <f>IFERROR(VLOOKUP(K20,'City Tax Rates'!A:B,2,FALSE),"")</f>
        <v>9.375E-2</v>
      </c>
      <c r="M20" s="23">
        <f t="shared" si="1"/>
        <v>39.57</v>
      </c>
      <c r="N20" s="2" t="s">
        <v>141</v>
      </c>
      <c r="O20" s="25">
        <v>0.55000000000000004</v>
      </c>
      <c r="P20" s="2" t="s">
        <v>141</v>
      </c>
      <c r="Q20" s="24">
        <f>IFERROR(VLOOKUP(P20,'Transaction Fee Rates'!A$1:B$7,2,FALSE)," " )</f>
        <v>0</v>
      </c>
      <c r="R20" s="22" t="str">
        <f t="shared" si="2"/>
        <v>-</v>
      </c>
      <c r="S20" s="22" t="str">
        <f t="shared" si="3"/>
        <v>-</v>
      </c>
      <c r="T20" s="23" t="str">
        <f t="shared" si="4"/>
        <v>-</v>
      </c>
    </row>
    <row r="21" spans="1:20" x14ac:dyDescent="0.25">
      <c r="A21" s="17">
        <v>45660</v>
      </c>
      <c r="B21" s="3" t="str">
        <f>TEXT(Table2[[#This Row],[Service Date]], "MM")</f>
        <v>01</v>
      </c>
      <c r="C21" s="3" t="str">
        <f t="shared" si="0"/>
        <v>01-2025</v>
      </c>
      <c r="D21" t="s">
        <v>73</v>
      </c>
      <c r="E21" s="2" t="s">
        <v>143</v>
      </c>
      <c r="F21" s="2" t="s">
        <v>145</v>
      </c>
      <c r="G21" t="s">
        <v>121</v>
      </c>
      <c r="H21" t="s">
        <v>122</v>
      </c>
      <c r="I21" s="25">
        <v>93.69</v>
      </c>
      <c r="J21" s="17">
        <v>45660</v>
      </c>
      <c r="K21" s="2" t="s">
        <v>38</v>
      </c>
      <c r="L21" s="24">
        <f>IFERROR(VLOOKUP(K21,'City Tax Rates'!A:B,2,FALSE),"")</f>
        <v>9.8750000000000004E-2</v>
      </c>
      <c r="M21" s="23">
        <f t="shared" si="1"/>
        <v>9.25</v>
      </c>
      <c r="N21" s="2" t="s">
        <v>48</v>
      </c>
      <c r="O21" s="25">
        <v>11.93</v>
      </c>
      <c r="P21" s="2" t="s">
        <v>48</v>
      </c>
      <c r="Q21" s="24">
        <f>IFERROR(VLOOKUP(P21,'Transaction Fee Rates'!A$1:B$7,2,FALSE)," " )</f>
        <v>0</v>
      </c>
      <c r="R21" s="22" t="str">
        <f t="shared" si="2"/>
        <v>-</v>
      </c>
      <c r="S21" s="22" t="str">
        <f t="shared" si="3"/>
        <v>-</v>
      </c>
      <c r="T21" s="23" t="str">
        <f t="shared" si="4"/>
        <v>-</v>
      </c>
    </row>
    <row r="22" spans="1:20" x14ac:dyDescent="0.25">
      <c r="A22" s="17">
        <v>45661</v>
      </c>
      <c r="B22" s="3" t="str">
        <f>TEXT(Table2[[#This Row],[Service Date]], "MM")</f>
        <v>01</v>
      </c>
      <c r="C22" s="3" t="str">
        <f t="shared" si="0"/>
        <v>01-2025</v>
      </c>
      <c r="D22" t="s">
        <v>74</v>
      </c>
      <c r="E22" s="2" t="s">
        <v>144</v>
      </c>
      <c r="F22" s="2" t="s">
        <v>145</v>
      </c>
      <c r="G22" t="s">
        <v>123</v>
      </c>
      <c r="H22" t="s">
        <v>124</v>
      </c>
      <c r="I22" s="25">
        <v>258.037052631579</v>
      </c>
      <c r="J22" s="17">
        <v>45661</v>
      </c>
      <c r="K22" s="2" t="s">
        <v>33</v>
      </c>
      <c r="L22" s="24">
        <f>IFERROR(VLOOKUP(K22,'City Tax Rates'!A:B,2,FALSE),"")</f>
        <v>9.5000000000000001E-2</v>
      </c>
      <c r="M22" s="23">
        <f t="shared" si="1"/>
        <v>24.51</v>
      </c>
      <c r="N22" s="2" t="s">
        <v>49</v>
      </c>
      <c r="O22" s="25">
        <v>13.0804210526316</v>
      </c>
      <c r="P22" s="2" t="s">
        <v>49</v>
      </c>
      <c r="Q22" s="24">
        <f>IFERROR(VLOOKUP(P22,'Transaction Fee Rates'!A$1:B$7,2,FALSE)," " )</f>
        <v>0</v>
      </c>
      <c r="R22" s="22" t="str">
        <f t="shared" si="2"/>
        <v>-</v>
      </c>
      <c r="S22" s="22" t="str">
        <f t="shared" si="3"/>
        <v>-</v>
      </c>
      <c r="T22" s="23" t="str">
        <f t="shared" si="4"/>
        <v>-</v>
      </c>
    </row>
    <row r="23" spans="1:20" x14ac:dyDescent="0.25">
      <c r="A23" s="17">
        <v>45662</v>
      </c>
      <c r="B23" s="3" t="str">
        <f>TEXT(Table2[[#This Row],[Service Date]], "MM")</f>
        <v>01</v>
      </c>
      <c r="C23" s="3" t="str">
        <f t="shared" si="0"/>
        <v>01-2025</v>
      </c>
      <c r="D23" t="s">
        <v>75</v>
      </c>
      <c r="E23" s="2" t="s">
        <v>144</v>
      </c>
      <c r="F23" s="2" t="s">
        <v>146</v>
      </c>
      <c r="G23" t="s">
        <v>125</v>
      </c>
      <c r="H23" t="s">
        <v>126</v>
      </c>
      <c r="I23" s="25">
        <v>255.27881954887201</v>
      </c>
      <c r="J23" s="17">
        <v>45662</v>
      </c>
      <c r="K23" s="2" t="s">
        <v>29</v>
      </c>
      <c r="L23" s="24">
        <f>IFERROR(VLOOKUP(K23,'City Tax Rates'!A:B,2,FALSE),"")</f>
        <v>9.5000000000000001E-2</v>
      </c>
      <c r="M23" s="23">
        <f t="shared" si="1"/>
        <v>24.25</v>
      </c>
      <c r="N23" s="2" t="s">
        <v>51</v>
      </c>
      <c r="O23" s="25">
        <v>12.9341278195489</v>
      </c>
      <c r="P23" s="2" t="s">
        <v>51</v>
      </c>
      <c r="Q23" s="24">
        <f>IFERROR(VLOOKUP(P23,'Transaction Fee Rates'!A$1:B$7,2,FALSE)," " )</f>
        <v>0</v>
      </c>
      <c r="R23" s="22" t="str">
        <f t="shared" si="2"/>
        <v>-</v>
      </c>
      <c r="S23" s="22" t="str">
        <f t="shared" si="3"/>
        <v>-</v>
      </c>
      <c r="T23" s="23" t="str">
        <f t="shared" si="4"/>
        <v>-</v>
      </c>
    </row>
    <row r="24" spans="1:20" x14ac:dyDescent="0.25">
      <c r="A24" s="17">
        <v>45663</v>
      </c>
      <c r="B24" s="3" t="str">
        <f>TEXT(Table2[[#This Row],[Service Date]], "MM")</f>
        <v>01</v>
      </c>
      <c r="C24" s="3" t="str">
        <f t="shared" si="0"/>
        <v>01-2025</v>
      </c>
      <c r="D24" t="s">
        <v>76</v>
      </c>
      <c r="E24" s="2" t="s">
        <v>143</v>
      </c>
      <c r="F24" s="2" t="s">
        <v>146</v>
      </c>
      <c r="G24" t="s">
        <v>127</v>
      </c>
      <c r="H24" t="s">
        <v>128</v>
      </c>
      <c r="I24" s="25">
        <v>252.52058646616501</v>
      </c>
      <c r="J24" s="17">
        <v>45663</v>
      </c>
      <c r="K24" s="2" t="s">
        <v>31</v>
      </c>
      <c r="L24" s="24">
        <f>IFERROR(VLOOKUP(K24,'City Tax Rates'!A:B,2,FALSE),"")</f>
        <v>9.5000000000000001E-2</v>
      </c>
      <c r="M24" s="23">
        <f t="shared" si="1"/>
        <v>23.99</v>
      </c>
      <c r="N24" s="2" t="s">
        <v>51</v>
      </c>
      <c r="O24" s="25">
        <v>12.7878345864662</v>
      </c>
      <c r="P24" s="2" t="s">
        <v>51</v>
      </c>
      <c r="Q24" s="24">
        <f>IFERROR(VLOOKUP(P24,'Transaction Fee Rates'!A$1:B$7,2,FALSE)," " )</f>
        <v>0</v>
      </c>
      <c r="R24" s="22" t="str">
        <f t="shared" si="2"/>
        <v>-</v>
      </c>
      <c r="S24" s="22" t="str">
        <f t="shared" si="3"/>
        <v>-</v>
      </c>
      <c r="T24" s="23" t="str">
        <f t="shared" si="4"/>
        <v>-</v>
      </c>
    </row>
    <row r="25" spans="1:20" x14ac:dyDescent="0.25">
      <c r="A25" s="17">
        <v>45664</v>
      </c>
      <c r="B25" s="3" t="str">
        <f>TEXT(Table2[[#This Row],[Service Date]], "MM")</f>
        <v>01</v>
      </c>
      <c r="C25" s="3" t="str">
        <f t="shared" si="0"/>
        <v>01-2025</v>
      </c>
      <c r="D25" t="s">
        <v>77</v>
      </c>
      <c r="E25" s="2" t="s">
        <v>143</v>
      </c>
      <c r="F25" s="2" t="s">
        <v>148</v>
      </c>
      <c r="G25" t="s">
        <v>129</v>
      </c>
      <c r="H25" t="s">
        <v>130</v>
      </c>
      <c r="I25" s="25">
        <v>249.76235338345899</v>
      </c>
      <c r="J25" s="17">
        <v>45664</v>
      </c>
      <c r="K25" s="2" t="s">
        <v>34</v>
      </c>
      <c r="L25" s="24">
        <f>IFERROR(VLOOKUP(K25,'City Tax Rates'!A:B,2,FALSE),"")</f>
        <v>8.6249999999999993E-2</v>
      </c>
      <c r="M25" s="23">
        <f t="shared" si="1"/>
        <v>21.54</v>
      </c>
      <c r="N25" s="2" t="s">
        <v>49</v>
      </c>
      <c r="O25" s="25">
        <v>12.6415413533835</v>
      </c>
      <c r="P25" s="2" t="s">
        <v>49</v>
      </c>
      <c r="Q25" s="24">
        <f>IFERROR(VLOOKUP(P25,'Transaction Fee Rates'!A$1:B$7,2,FALSE)," " )</f>
        <v>0</v>
      </c>
      <c r="R25" s="22" t="str">
        <f t="shared" si="2"/>
        <v>-</v>
      </c>
      <c r="S25" s="22" t="str">
        <f t="shared" si="3"/>
        <v>-</v>
      </c>
      <c r="T25" s="23" t="str">
        <f t="shared" si="4"/>
        <v>-</v>
      </c>
    </row>
    <row r="26" spans="1:20" x14ac:dyDescent="0.25">
      <c r="A26" s="17">
        <v>45665</v>
      </c>
      <c r="B26" s="3" t="str">
        <f>TEXT(Table2[[#This Row],[Service Date]], "MM")</f>
        <v>01</v>
      </c>
      <c r="C26" s="3" t="str">
        <f t="shared" si="0"/>
        <v>01-2025</v>
      </c>
      <c r="D26" t="s">
        <v>78</v>
      </c>
      <c r="E26" s="2" t="s">
        <v>144</v>
      </c>
      <c r="F26" s="2" t="s">
        <v>146</v>
      </c>
      <c r="G26" t="s">
        <v>131</v>
      </c>
      <c r="H26" t="s">
        <v>132</v>
      </c>
      <c r="I26" s="25">
        <v>247.00412030075199</v>
      </c>
      <c r="J26" s="17">
        <v>45665</v>
      </c>
      <c r="K26" s="2" t="s">
        <v>37</v>
      </c>
      <c r="L26" s="24">
        <f>IFERROR(VLOOKUP(K26,'City Tax Rates'!A:B,2,FALSE),"")</f>
        <v>7.8750000000000001E-2</v>
      </c>
      <c r="M26" s="23">
        <f t="shared" si="1"/>
        <v>19.45</v>
      </c>
      <c r="N26" s="2" t="s">
        <v>48</v>
      </c>
      <c r="O26" s="25">
        <v>12.495248120300801</v>
      </c>
      <c r="P26" s="2" t="s">
        <v>48</v>
      </c>
      <c r="Q26" s="24">
        <f>IFERROR(VLOOKUP(P26,'Transaction Fee Rates'!A$1:B$7,2,FALSE)," " )</f>
        <v>0</v>
      </c>
      <c r="R26" s="22" t="str">
        <f t="shared" si="2"/>
        <v>-</v>
      </c>
      <c r="S26" s="22" t="str">
        <f t="shared" si="3"/>
        <v>-</v>
      </c>
      <c r="T26" s="23" t="str">
        <f t="shared" si="4"/>
        <v>-</v>
      </c>
    </row>
    <row r="27" spans="1:20" x14ac:dyDescent="0.25">
      <c r="A27" s="17">
        <v>45666</v>
      </c>
      <c r="B27" s="3" t="str">
        <f>TEXT(Table2[[#This Row],[Service Date]], "MM")</f>
        <v>01</v>
      </c>
      <c r="C27" s="3" t="str">
        <f t="shared" si="0"/>
        <v>01-2025</v>
      </c>
      <c r="D27" t="s">
        <v>79</v>
      </c>
      <c r="E27" s="2" t="s">
        <v>143</v>
      </c>
      <c r="F27" s="2" t="s">
        <v>147</v>
      </c>
      <c r="G27" t="s">
        <v>133</v>
      </c>
      <c r="H27" t="s">
        <v>134</v>
      </c>
      <c r="I27" s="25">
        <v>244.245887218045</v>
      </c>
      <c r="J27" s="17">
        <v>45666</v>
      </c>
      <c r="K27" s="2" t="s">
        <v>41</v>
      </c>
      <c r="L27" s="24">
        <f>IFERROR(VLOOKUP(K27,'City Tax Rates'!A:B,2,FALSE),"")</f>
        <v>7.0000000000000007E-2</v>
      </c>
      <c r="M27" s="23">
        <f t="shared" si="1"/>
        <v>17.100000000000001</v>
      </c>
      <c r="N27" s="2" t="s">
        <v>50</v>
      </c>
      <c r="O27" s="25">
        <v>12.348954887217999</v>
      </c>
      <c r="P27" s="2" t="s">
        <v>50</v>
      </c>
      <c r="Q27" s="24">
        <f>IFERROR(VLOOKUP(P27,'Transaction Fee Rates'!A$1:B$7,2,FALSE)," " )</f>
        <v>2.75E-2</v>
      </c>
      <c r="R27" s="22">
        <f t="shared" si="2"/>
        <v>7.53</v>
      </c>
      <c r="S27" s="22" t="str">
        <f t="shared" si="3"/>
        <v>-</v>
      </c>
      <c r="T27" s="23">
        <f t="shared" si="4"/>
        <v>231.96</v>
      </c>
    </row>
    <row r="28" spans="1:20" x14ac:dyDescent="0.25">
      <c r="A28" s="17">
        <v>45667</v>
      </c>
      <c r="B28" s="3" t="str">
        <f>TEXT(Table2[[#This Row],[Service Date]], "MM")</f>
        <v>01</v>
      </c>
      <c r="C28" s="3" t="str">
        <f t="shared" si="0"/>
        <v>01-2025</v>
      </c>
      <c r="D28" t="s">
        <v>80</v>
      </c>
      <c r="E28" s="2" t="s">
        <v>143</v>
      </c>
      <c r="F28" s="2" t="s">
        <v>146</v>
      </c>
      <c r="G28" t="s">
        <v>135</v>
      </c>
      <c r="H28" t="s">
        <v>136</v>
      </c>
      <c r="I28" s="25">
        <v>241.487654135338</v>
      </c>
      <c r="J28" s="17">
        <v>45667</v>
      </c>
      <c r="K28" s="2" t="s">
        <v>32</v>
      </c>
      <c r="L28" s="24">
        <f>IFERROR(VLOOKUP(K28,'City Tax Rates'!A:B,2,FALSE),"")</f>
        <v>9.5000000000000001E-2</v>
      </c>
      <c r="M28" s="23">
        <f t="shared" si="1"/>
        <v>22.94</v>
      </c>
      <c r="N28" s="2" t="s">
        <v>50</v>
      </c>
      <c r="O28" s="25">
        <v>12.2026616541353</v>
      </c>
      <c r="P28" s="2" t="s">
        <v>50</v>
      </c>
      <c r="Q28" s="24">
        <f>IFERROR(VLOOKUP(P28,'Transaction Fee Rates'!A$1:B$7,2,FALSE)," " )</f>
        <v>2.75E-2</v>
      </c>
      <c r="R28" s="22">
        <f t="shared" si="2"/>
        <v>7.61</v>
      </c>
      <c r="S28" s="22" t="str">
        <f t="shared" si="3"/>
        <v>-</v>
      </c>
      <c r="T28" s="23">
        <f t="shared" si="4"/>
        <v>223.14</v>
      </c>
    </row>
    <row r="29" spans="1:20" x14ac:dyDescent="0.25">
      <c r="A29" s="17">
        <v>45668</v>
      </c>
      <c r="B29" s="3" t="str">
        <f>TEXT(Table2[[#This Row],[Service Date]], "MM")</f>
        <v>01</v>
      </c>
      <c r="C29" s="3" t="str">
        <f t="shared" si="0"/>
        <v>01-2025</v>
      </c>
      <c r="D29" t="s">
        <v>81</v>
      </c>
      <c r="E29" s="2" t="s">
        <v>144</v>
      </c>
      <c r="F29" s="2" t="s">
        <v>146</v>
      </c>
      <c r="G29" t="s">
        <v>137</v>
      </c>
      <c r="H29" t="s">
        <v>138</v>
      </c>
      <c r="I29" s="25">
        <v>238.72942105263201</v>
      </c>
      <c r="J29" s="17">
        <v>45668</v>
      </c>
      <c r="K29" s="2" t="s">
        <v>41</v>
      </c>
      <c r="L29" s="24">
        <f>IFERROR(VLOOKUP(K29,'City Tax Rates'!A:B,2,FALSE),"")</f>
        <v>7.0000000000000007E-2</v>
      </c>
      <c r="M29" s="23">
        <f t="shared" si="1"/>
        <v>16.71</v>
      </c>
      <c r="N29" s="2" t="s">
        <v>47</v>
      </c>
      <c r="O29" s="25">
        <v>12.0563684210526</v>
      </c>
      <c r="P29" s="2" t="s">
        <v>47</v>
      </c>
      <c r="Q29" s="24">
        <f>IFERROR(VLOOKUP(P29,'Transaction Fee Rates'!A$1:B$7,2,FALSE)," " )</f>
        <v>1.9E-2</v>
      </c>
      <c r="R29" s="22">
        <f t="shared" si="2"/>
        <v>5.18</v>
      </c>
      <c r="S29" s="22" t="str">
        <f t="shared" si="3"/>
        <v>-</v>
      </c>
      <c r="T29" s="23">
        <f t="shared" si="4"/>
        <v>228.9</v>
      </c>
    </row>
    <row r="30" spans="1:20" x14ac:dyDescent="0.25">
      <c r="A30" s="17">
        <v>45669</v>
      </c>
      <c r="B30" s="3" t="str">
        <f>TEXT(Table2[[#This Row],[Service Date]], "MM")</f>
        <v>01</v>
      </c>
      <c r="C30" s="3" t="str">
        <f t="shared" si="0"/>
        <v>01-2025</v>
      </c>
      <c r="D30" t="s">
        <v>82</v>
      </c>
      <c r="E30" s="2" t="s">
        <v>143</v>
      </c>
      <c r="F30" s="2" t="s">
        <v>145</v>
      </c>
      <c r="G30" t="s">
        <v>139</v>
      </c>
      <c r="H30" t="s">
        <v>140</v>
      </c>
      <c r="I30" s="25">
        <v>235.97118796992501</v>
      </c>
      <c r="J30" s="17">
        <v>45669</v>
      </c>
      <c r="K30" s="2" t="s">
        <v>35</v>
      </c>
      <c r="L30" s="24">
        <f>IFERROR(VLOOKUP(K30,'City Tax Rates'!A:B,2,FALSE),"")</f>
        <v>7.4999999999999997E-2</v>
      </c>
      <c r="M30" s="23">
        <f t="shared" si="1"/>
        <v>17.7</v>
      </c>
      <c r="N30" s="2" t="s">
        <v>47</v>
      </c>
      <c r="O30" s="25">
        <v>11.9100751879699</v>
      </c>
      <c r="P30" s="2" t="s">
        <v>47</v>
      </c>
      <c r="Q30" s="24">
        <f>IFERROR(VLOOKUP(P30,'Transaction Fee Rates'!A$1:B$7,2,FALSE)," " )</f>
        <v>1.9E-2</v>
      </c>
      <c r="R30" s="22">
        <f t="shared" si="2"/>
        <v>5.15</v>
      </c>
      <c r="S30" s="22" t="str">
        <f t="shared" si="3"/>
        <v>-</v>
      </c>
      <c r="T30" s="23">
        <f t="shared" si="4"/>
        <v>225.03</v>
      </c>
    </row>
    <row r="31" spans="1:20" x14ac:dyDescent="0.25">
      <c r="A31" s="19" t="s">
        <v>52</v>
      </c>
      <c r="B31" s="9"/>
      <c r="I31" s="23">
        <f>SUM(I2:I30)</f>
        <v>7963.0070827067675</v>
      </c>
      <c r="L31" s="24" t="str">
        <f>IFERROR(VLOOKUP(K31,'City Tax Rates'!A:B,2,FALSE),"")</f>
        <v/>
      </c>
      <c r="M31" s="23">
        <f>SUM(M2:M30)</f>
        <v>708.62000000000012</v>
      </c>
      <c r="O31" s="26">
        <f>SUM(O2:O30)</f>
        <v>404.78723308270673</v>
      </c>
      <c r="Q31" s="24" t="str">
        <f>IFERROR(VLOOKUP(P31,'Transaction Fee Rates'!A$1:B$7,2,FALSE)," " )</f>
        <v xml:space="preserve"> </v>
      </c>
      <c r="R31" s="23">
        <f>SUM(R2:R30)</f>
        <v>76.760000000000019</v>
      </c>
      <c r="S31" s="23">
        <f>SUM(S2:S30)</f>
        <v>0</v>
      </c>
      <c r="T31" s="23">
        <f>SUM(T2:T30)</f>
        <v>2711.9100000000003</v>
      </c>
    </row>
    <row r="32" spans="1:20" x14ac:dyDescent="0.25">
      <c r="L32" s="24" t="str">
        <f>IFERROR(VLOOKUP(K32,'City Tax Rates'!A:B,2,FALSE),"")</f>
        <v/>
      </c>
    </row>
    <row r="33" spans="12:12" x14ac:dyDescent="0.25">
      <c r="L33" s="24" t="str">
        <f>IFERROR(VLOOKUP(K33,'City Tax Rates'!A:B,2,FALSE),"")</f>
        <v/>
      </c>
    </row>
    <row r="34" spans="12:12" x14ac:dyDescent="0.25">
      <c r="L34" s="24" t="str">
        <f>IFERROR(VLOOKUP(K34,'City Tax Rates'!A:B,2,FALSE),"")</f>
        <v/>
      </c>
    </row>
    <row r="35" spans="12:12" x14ac:dyDescent="0.25">
      <c r="L35" s="24" t="str">
        <f>IFERROR(VLOOKUP(K35,'City Tax Rates'!A:B,2,FALSE),"")</f>
        <v/>
      </c>
    </row>
    <row r="36" spans="12:12" x14ac:dyDescent="0.25">
      <c r="L36" s="24" t="str">
        <f>IFERROR(VLOOKUP(K36,'City Tax Rates'!A:B,2,FALSE),"")</f>
        <v/>
      </c>
    </row>
    <row r="37" spans="12:12" x14ac:dyDescent="0.25">
      <c r="L37" s="24" t="str">
        <f>IFERROR(VLOOKUP(K37,'City Tax Rates'!A:B,2,FALSE),"")</f>
        <v/>
      </c>
    </row>
    <row r="38" spans="12:12" x14ac:dyDescent="0.25">
      <c r="L38" s="24" t="str">
        <f>IFERROR(VLOOKUP(K38,'City Tax Rates'!A:B,2,FALSE),"")</f>
        <v/>
      </c>
    </row>
  </sheetData>
  <dataValidations count="4">
    <dataValidation type="list" allowBlank="1" showInputMessage="1" showErrorMessage="1" sqref="E1:E1048576">
      <formula1>"Residential, Commercial"</formula1>
    </dataValidation>
    <dataValidation type="list" allowBlank="1" showInputMessage="1" showErrorMessage="1" sqref="F1:F1048576">
      <formula1>"Lawn Care, Landscraping, Other, Combination"</formula1>
    </dataValidation>
    <dataValidation type="list" allowBlank="1" showInputMessage="1" showErrorMessage="1" sqref="N1:N1048576 P1:P1048576">
      <formula1>"Cash, Check, Venmo, Cash App, Zelle, ACH Direct Deposit"</formula1>
    </dataValidation>
    <dataValidation type="list" allowBlank="1" showInputMessage="1" showErrorMessage="1" sqref="U1:U1048576">
      <formula1>"Paid, Not Paid, Partial Payment/Still Owe, Advanced Payment"</formula1>
    </dataValidation>
  </dataValidations>
  <pageMargins left="0.75" right="0.75" top="1" bottom="1" header="0.5" footer="0.5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'City Tax Rates'!$A$2:$A$17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22.28515625" customWidth="1"/>
  </cols>
  <sheetData>
    <row r="1" spans="1:2" x14ac:dyDescent="0.25">
      <c r="A1" s="1" t="s">
        <v>10</v>
      </c>
      <c r="B1" s="1" t="s">
        <v>142</v>
      </c>
    </row>
    <row r="2" spans="1:2" x14ac:dyDescent="0.25">
      <c r="A2" s="2" t="s">
        <v>141</v>
      </c>
      <c r="B2">
        <v>0</v>
      </c>
    </row>
    <row r="3" spans="1:2" x14ac:dyDescent="0.25">
      <c r="A3" s="2" t="s">
        <v>48</v>
      </c>
      <c r="B3">
        <v>0</v>
      </c>
    </row>
    <row r="4" spans="1:2" x14ac:dyDescent="0.25">
      <c r="A4" s="2" t="s">
        <v>47</v>
      </c>
      <c r="B4">
        <v>1.9E-2</v>
      </c>
    </row>
    <row r="5" spans="1:2" x14ac:dyDescent="0.25">
      <c r="A5" s="2" t="s">
        <v>50</v>
      </c>
      <c r="B5">
        <v>2.75E-2</v>
      </c>
    </row>
    <row r="6" spans="1:2" x14ac:dyDescent="0.25">
      <c r="A6" s="2" t="s">
        <v>51</v>
      </c>
      <c r="B6">
        <v>0</v>
      </c>
    </row>
    <row r="7" spans="1:2" x14ac:dyDescent="0.25">
      <c r="A7" s="2" t="s">
        <v>49</v>
      </c>
      <c r="B7">
        <v>0</v>
      </c>
    </row>
  </sheetData>
  <dataValidations count="1">
    <dataValidation type="list" allowBlank="1" showInputMessage="1" showErrorMessage="1" sqref="A2:A7">
      <formula1>"Cash, Check, Venmo, Cash App, Zelle, ACH Direct Deposit"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9" sqref="E9"/>
    </sheetView>
  </sheetViews>
  <sheetFormatPr defaultRowHeight="15" x14ac:dyDescent="0.25"/>
  <cols>
    <col min="1" max="1" width="39.5703125" style="2" bestFit="1" customWidth="1"/>
    <col min="2" max="2" width="12.85546875" style="2" customWidth="1"/>
    <col min="3" max="16384" width="9.140625" style="2"/>
  </cols>
  <sheetData>
    <row r="1" spans="1:2" x14ac:dyDescent="0.25">
      <c r="A1" s="1" t="s">
        <v>7</v>
      </c>
      <c r="B1" s="1" t="s">
        <v>44</v>
      </c>
    </row>
    <row r="2" spans="1:2" ht="15.75" x14ac:dyDescent="0.25">
      <c r="A2" s="6" t="s">
        <v>28</v>
      </c>
      <c r="B2" s="8">
        <v>8.6249999999999993E-2</v>
      </c>
    </row>
    <row r="3" spans="1:2" ht="15.75" x14ac:dyDescent="0.25">
      <c r="A3" s="6" t="s">
        <v>29</v>
      </c>
      <c r="B3" s="8">
        <v>9.5000000000000001E-2</v>
      </c>
    </row>
    <row r="4" spans="1:2" ht="15.75" x14ac:dyDescent="0.25">
      <c r="A4" s="6" t="s">
        <v>30</v>
      </c>
      <c r="B4" s="8">
        <v>9.5000000000000001E-2</v>
      </c>
    </row>
    <row r="5" spans="1:2" ht="15.75" x14ac:dyDescent="0.25">
      <c r="A5" s="6" t="s">
        <v>31</v>
      </c>
      <c r="B5" s="8">
        <v>9.5000000000000001E-2</v>
      </c>
    </row>
    <row r="6" spans="1:2" ht="15.75" x14ac:dyDescent="0.25">
      <c r="A6" s="6" t="s">
        <v>32</v>
      </c>
      <c r="B6" s="8">
        <v>9.5000000000000001E-2</v>
      </c>
    </row>
    <row r="7" spans="1:2" ht="15.75" x14ac:dyDescent="0.25">
      <c r="A7" s="6" t="s">
        <v>33</v>
      </c>
      <c r="B7" s="8">
        <v>9.5000000000000001E-2</v>
      </c>
    </row>
    <row r="8" spans="1:2" ht="15.75" x14ac:dyDescent="0.25">
      <c r="A8" s="6" t="s">
        <v>34</v>
      </c>
      <c r="B8" s="8">
        <v>8.6249999999999993E-2</v>
      </c>
    </row>
    <row r="9" spans="1:2" ht="15.75" x14ac:dyDescent="0.25">
      <c r="A9" s="6" t="s">
        <v>35</v>
      </c>
      <c r="B9" s="8">
        <v>7.4999999999999997E-2</v>
      </c>
    </row>
    <row r="10" spans="1:2" ht="15.75" x14ac:dyDescent="0.25">
      <c r="A10" s="6" t="s">
        <v>36</v>
      </c>
      <c r="B10" s="8">
        <v>8.6249999999999993E-2</v>
      </c>
    </row>
    <row r="11" spans="1:2" ht="15.75" x14ac:dyDescent="0.25">
      <c r="A11" s="6" t="s">
        <v>37</v>
      </c>
      <c r="B11" s="8">
        <v>7.8750000000000001E-2</v>
      </c>
    </row>
    <row r="12" spans="1:2" ht="15.75" x14ac:dyDescent="0.25">
      <c r="A12" s="6" t="s">
        <v>38</v>
      </c>
      <c r="B12" s="8">
        <v>9.8750000000000004E-2</v>
      </c>
    </row>
    <row r="13" spans="1:2" ht="15.75" x14ac:dyDescent="0.25">
      <c r="A13" s="6" t="s">
        <v>39</v>
      </c>
      <c r="B13" s="8">
        <v>9.8750000000000004E-2</v>
      </c>
    </row>
    <row r="14" spans="1:2" ht="15.75" x14ac:dyDescent="0.25">
      <c r="A14" s="6" t="s">
        <v>40</v>
      </c>
      <c r="B14" s="8">
        <v>9.375E-2</v>
      </c>
    </row>
    <row r="15" spans="1:2" ht="15.75" x14ac:dyDescent="0.25">
      <c r="A15" s="6" t="s">
        <v>41</v>
      </c>
      <c r="B15" s="8">
        <v>7.0000000000000007E-2</v>
      </c>
    </row>
    <row r="16" spans="1:2" ht="15.75" x14ac:dyDescent="0.25">
      <c r="A16" s="6" t="s">
        <v>42</v>
      </c>
      <c r="B16" s="8">
        <v>9.7500000000000003E-2</v>
      </c>
    </row>
    <row r="17" spans="1:2" ht="15.75" x14ac:dyDescent="0.25">
      <c r="A17" s="7" t="s">
        <v>43</v>
      </c>
      <c r="B17" s="8">
        <v>9.375E-2</v>
      </c>
    </row>
  </sheetData>
  <dataValidations count="1">
    <dataValidation type="list" allowBlank="1" showInputMessage="1" showErrorMessage="1" sqref="D2 A2 E8">
      <formula1>$A$2:$A$17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E2"/>
    </sheetView>
  </sheetViews>
  <sheetFormatPr defaultRowHeight="15" x14ac:dyDescent="0.25"/>
  <cols>
    <col min="1" max="1" width="9.140625" style="14"/>
    <col min="3" max="3" width="15" style="13" customWidth="1"/>
    <col min="4" max="4" width="23.140625" customWidth="1"/>
    <col min="5" max="5" width="12.42578125" style="13" customWidth="1"/>
  </cols>
  <sheetData>
    <row r="1" spans="1:5" x14ac:dyDescent="0.25">
      <c r="A1" s="14" t="s">
        <v>17</v>
      </c>
      <c r="B1" t="s">
        <v>7</v>
      </c>
      <c r="C1" s="13" t="s">
        <v>18</v>
      </c>
      <c r="D1" t="s">
        <v>19</v>
      </c>
      <c r="E1" s="13" t="s">
        <v>20</v>
      </c>
    </row>
    <row r="2" spans="1:5" x14ac:dyDescent="0.25">
      <c r="E2" s="13">
        <f>IFERROR(Table6[[#This Row],[Tax Collected]]-Table6[[#This Row],[Tax Authority Discount]], "-")</f>
        <v>0</v>
      </c>
    </row>
    <row r="3" spans="1:5" x14ac:dyDescent="0.25">
      <c r="E3" s="13">
        <f>IFERROR(Table6[[#This Row],[Tax Collected]]-Table6[[#This Row],[Tax Authority Discount]], "-")</f>
        <v>0</v>
      </c>
    </row>
    <row r="4" spans="1:5" x14ac:dyDescent="0.25">
      <c r="E4" s="13">
        <f>IFERROR(Table6[[#This Row],[Tax Collected]]-Table6[[#This Row],[Tax Authority Discount]], "-")</f>
        <v>0</v>
      </c>
    </row>
    <row r="5" spans="1:5" x14ac:dyDescent="0.25">
      <c r="E5" s="13">
        <f>IFERROR(Table6[[#This Row],[Tax Collected]]-Table6[[#This Row],[Tax Authority Discount]], "-")</f>
        <v>0</v>
      </c>
    </row>
    <row r="6" spans="1:5" x14ac:dyDescent="0.25">
      <c r="E6" s="13">
        <f>IFERROR(Table6[[#This Row],[Tax Collected]]-Table6[[#This Row],[Tax Authority Discount]], "-")</f>
        <v>0</v>
      </c>
    </row>
    <row r="7" spans="1:5" x14ac:dyDescent="0.25">
      <c r="E7" s="13">
        <f>IFERROR(Table6[[#This Row],[Tax Collected]]-Table6[[#This Row],[Tax Authority Discount]], "-")</f>
        <v>0</v>
      </c>
    </row>
    <row r="8" spans="1:5" x14ac:dyDescent="0.25">
      <c r="E8" s="13">
        <f>IFERROR(Table6[[#This Row],[Tax Collected]]-Table6[[#This Row],[Tax Authority Discount]], "-")</f>
        <v>0</v>
      </c>
    </row>
    <row r="9" spans="1:5" x14ac:dyDescent="0.25">
      <c r="E9" s="13">
        <f>IFERROR(Table6[[#This Row],[Tax Collected]]-Table6[[#This Row],[Tax Authority Discount]], "-")</f>
        <v>0</v>
      </c>
    </row>
    <row r="10" spans="1:5" x14ac:dyDescent="0.25">
      <c r="E10" s="13">
        <f>IFERROR(Table6[[#This Row],[Tax Collected]]-Table6[[#This Row],[Tax Authority Discount]], "-")</f>
        <v>0</v>
      </c>
    </row>
    <row r="11" spans="1:5" x14ac:dyDescent="0.25">
      <c r="E11" s="13">
        <f>IFERROR(Table6[[#This Row],[Tax Collected]]-Table6[[#This Row],[Tax Authority Discount]], "-")</f>
        <v>0</v>
      </c>
    </row>
    <row r="12" spans="1:5" x14ac:dyDescent="0.25">
      <c r="E12" s="13">
        <f>IFERROR(Table6[[#This Row],[Tax Collected]]-Table6[[#This Row],[Tax Authority Discount]], "-")</f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8" sqref="B8"/>
    </sheetView>
  </sheetViews>
  <sheetFormatPr defaultRowHeight="15" x14ac:dyDescent="0.25"/>
  <cols>
    <col min="1" max="1" width="9.140625" style="14"/>
    <col min="2" max="2" width="18.5703125" customWidth="1"/>
    <col min="3" max="3" width="22.7109375" style="13" customWidth="1"/>
  </cols>
  <sheetData>
    <row r="1" spans="1:3" x14ac:dyDescent="0.25">
      <c r="A1" s="14" t="s">
        <v>17</v>
      </c>
      <c r="B1" t="s">
        <v>10</v>
      </c>
      <c r="C1" s="13" t="s">
        <v>21</v>
      </c>
    </row>
    <row r="2" spans="1:3" x14ac:dyDescent="0.25">
      <c r="B2" s="2" t="s">
        <v>141</v>
      </c>
    </row>
    <row r="3" spans="1:3" x14ac:dyDescent="0.25">
      <c r="B3" s="2" t="s">
        <v>141</v>
      </c>
    </row>
    <row r="4" spans="1:3" x14ac:dyDescent="0.25">
      <c r="B4" s="2" t="s">
        <v>141</v>
      </c>
    </row>
    <row r="5" spans="1:3" x14ac:dyDescent="0.25">
      <c r="B5" s="2" t="s">
        <v>141</v>
      </c>
    </row>
    <row r="6" spans="1:3" x14ac:dyDescent="0.25">
      <c r="B6" s="2" t="s">
        <v>141</v>
      </c>
    </row>
    <row r="7" spans="1:3" x14ac:dyDescent="0.25">
      <c r="B7" s="2" t="s">
        <v>141</v>
      </c>
    </row>
    <row r="8" spans="1:3" x14ac:dyDescent="0.25">
      <c r="B8" s="2" t="s">
        <v>141</v>
      </c>
    </row>
    <row r="9" spans="1:3" x14ac:dyDescent="0.25">
      <c r="B9" s="2" t="s">
        <v>141</v>
      </c>
    </row>
    <row r="10" spans="1:3" x14ac:dyDescent="0.25">
      <c r="B10" s="2" t="s">
        <v>141</v>
      </c>
    </row>
    <row r="11" spans="1:3" x14ac:dyDescent="0.25">
      <c r="B11" s="2" t="s">
        <v>141</v>
      </c>
    </row>
    <row r="12" spans="1:3" x14ac:dyDescent="0.25">
      <c r="B12" s="2" t="s">
        <v>141</v>
      </c>
    </row>
  </sheetData>
  <dataValidations count="1">
    <dataValidation type="list" allowBlank="1" showInputMessage="1" showErrorMessage="1" sqref="B2:B12">
      <formula1>"Cash, Check, Venmo, Cash App, Zelle, ACH Direct Deposit"</formula1>
    </dataValidation>
  </dataValidation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0" sqref="B10"/>
    </sheetView>
  </sheetViews>
  <sheetFormatPr defaultRowHeight="15" x14ac:dyDescent="0.25"/>
  <cols>
    <col min="1" max="1" width="9.28515625" bestFit="1" customWidth="1"/>
    <col min="2" max="2" width="18.85546875" bestFit="1" customWidth="1"/>
    <col min="3" max="3" width="23.140625" bestFit="1" customWidth="1"/>
  </cols>
  <sheetData>
    <row r="1" spans="1:3" x14ac:dyDescent="0.25">
      <c r="A1" s="14" t="s">
        <v>17</v>
      </c>
      <c r="B1" t="s">
        <v>10</v>
      </c>
      <c r="C1" s="13" t="s">
        <v>15</v>
      </c>
    </row>
    <row r="2" spans="1:3" x14ac:dyDescent="0.25">
      <c r="A2" s="14"/>
      <c r="B2" s="2" t="s">
        <v>141</v>
      </c>
      <c r="C2" s="13"/>
    </row>
    <row r="3" spans="1:3" x14ac:dyDescent="0.25">
      <c r="A3" s="14"/>
      <c r="B3" s="2" t="s">
        <v>141</v>
      </c>
      <c r="C3" s="13"/>
    </row>
    <row r="4" spans="1:3" x14ac:dyDescent="0.25">
      <c r="A4" s="14"/>
      <c r="B4" s="2" t="s">
        <v>141</v>
      </c>
      <c r="C4" s="13"/>
    </row>
    <row r="5" spans="1:3" x14ac:dyDescent="0.25">
      <c r="A5" s="14"/>
      <c r="B5" s="2" t="s">
        <v>141</v>
      </c>
      <c r="C5" s="13"/>
    </row>
    <row r="6" spans="1:3" x14ac:dyDescent="0.25">
      <c r="A6" s="14"/>
      <c r="B6" s="2" t="s">
        <v>141</v>
      </c>
      <c r="C6" s="13"/>
    </row>
    <row r="7" spans="1:3" x14ac:dyDescent="0.25">
      <c r="A7" s="14"/>
      <c r="B7" s="2" t="s">
        <v>141</v>
      </c>
      <c r="C7" s="13"/>
    </row>
    <row r="8" spans="1:3" x14ac:dyDescent="0.25">
      <c r="A8" s="14"/>
      <c r="B8" s="2" t="s">
        <v>141</v>
      </c>
      <c r="C8" s="13"/>
    </row>
    <row r="9" spans="1:3" x14ac:dyDescent="0.25">
      <c r="A9" s="14"/>
      <c r="B9" s="2" t="s">
        <v>141</v>
      </c>
      <c r="C9" s="13"/>
    </row>
    <row r="10" spans="1:3" x14ac:dyDescent="0.25">
      <c r="A10" s="14"/>
      <c r="B10" s="2" t="s">
        <v>141</v>
      </c>
      <c r="C10" s="13"/>
    </row>
    <row r="11" spans="1:3" x14ac:dyDescent="0.25">
      <c r="A11" s="14"/>
      <c r="B11" s="2" t="s">
        <v>141</v>
      </c>
      <c r="C11" s="13"/>
    </row>
    <row r="12" spans="1:3" x14ac:dyDescent="0.25">
      <c r="A12" s="14"/>
      <c r="B12" s="2" t="s">
        <v>141</v>
      </c>
      <c r="C12" s="13"/>
    </row>
  </sheetData>
  <dataValidations count="1">
    <dataValidation type="list" allowBlank="1" showInputMessage="1" showErrorMessage="1" sqref="B2:B12">
      <formula1>"Cash, Check, Venmo, Cash App, Zelle, ACH Direct Deposit"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2" max="2" width="14.140625" customWidth="1"/>
    <col min="3" max="3" width="14.5703125" style="13" customWidth="1"/>
    <col min="4" max="4" width="20" style="13" customWidth="1"/>
  </cols>
  <sheetData>
    <row r="1" spans="1:4" x14ac:dyDescent="0.25">
      <c r="A1" t="s">
        <v>17</v>
      </c>
      <c r="B1" t="s">
        <v>1</v>
      </c>
      <c r="C1" s="13" t="s">
        <v>5</v>
      </c>
      <c r="D1" s="13" t="s">
        <v>22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5" sqref="B5"/>
    </sheetView>
  </sheetViews>
  <sheetFormatPr defaultRowHeight="15" x14ac:dyDescent="0.25"/>
  <cols>
    <col min="1" max="1" width="9.140625" style="14"/>
    <col min="2" max="2" width="19.28515625" customWidth="1"/>
    <col min="3" max="3" width="10.28515625" style="13" customWidth="1"/>
    <col min="4" max="4" width="19.7109375" style="13" customWidth="1"/>
  </cols>
  <sheetData>
    <row r="1" spans="1:4" x14ac:dyDescent="0.25">
      <c r="A1" s="14" t="s">
        <v>23</v>
      </c>
      <c r="B1" t="s">
        <v>53</v>
      </c>
      <c r="C1" s="13" t="s">
        <v>24</v>
      </c>
      <c r="D1" s="13" t="s">
        <v>25</v>
      </c>
    </row>
    <row r="2" spans="1:4" x14ac:dyDescent="0.25">
      <c r="D2" s="12">
        <f>IF(B2="Other Income", C2+GETPIVOTDATA("Total Revenue",#REF!,"Month","01"), IF(OR(B2="Adjustment to Income", B2="Client Refund"), C2-GETPIVOTDATA("Total Revenue",#REF!,"Month","01"), 0))</f>
        <v>0</v>
      </c>
    </row>
    <row r="3" spans="1:4" x14ac:dyDescent="0.25">
      <c r="D3" s="12">
        <f>IF(B3="Other Income", C3+GETPIVOTDATA("Total Revenue",#REF!,"Month","01"), IF(OR(B3="Adjustment to Income", B3="Client Refund"), C3-GETPIVOTDATA("Total Revenue",#REF!,"Month","01"), 0))</f>
        <v>0</v>
      </c>
    </row>
    <row r="4" spans="1:4" x14ac:dyDescent="0.25">
      <c r="D4" s="12">
        <f>IF(B4="Other Income", C4+GETPIVOTDATA("Total Revenue",#REF!,"Month","01"), IF(OR(B4="Adjustment to Income", B4="Client Refund"), C4-GETPIVOTDATA("Total Revenue",#REF!,"Month","01"), 0))</f>
        <v>0</v>
      </c>
    </row>
    <row r="5" spans="1:4" x14ac:dyDescent="0.25">
      <c r="D5" s="12">
        <f>IF(B5="Other Income", C5+GETPIVOTDATA("Total Revenue",#REF!,"Month","01"), IF(OR(B5="Adjustment to Income", B5="Client Refund"), C5-GETPIVOTDATA("Total Revenue",#REF!,"Month","01"), 0))</f>
        <v>0</v>
      </c>
    </row>
    <row r="6" spans="1:4" x14ac:dyDescent="0.25">
      <c r="D6" s="12">
        <f>IF(B6="Other Income", C6+GETPIVOTDATA("Total Revenue",#REF!,"Month","01"), IF(OR(B6="Adjustment to Income", B6="Client Refund"), C6-GETPIVOTDATA("Total Revenue",#REF!,"Month","01"), 0))</f>
        <v>0</v>
      </c>
    </row>
    <row r="7" spans="1:4" x14ac:dyDescent="0.25">
      <c r="D7" s="12">
        <f>IF(B7="Other Income", C7+GETPIVOTDATA("Total Revenue",#REF!,"Month","01"), IF(OR(B7="Adjustment to Income", B7="Client Refund"), C7-GETPIVOTDATA("Total Revenue",#REF!,"Month","01"), 0))</f>
        <v>0</v>
      </c>
    </row>
    <row r="8" spans="1:4" x14ac:dyDescent="0.25">
      <c r="D8" s="12">
        <f>IF(B8="Other Income", C8+GETPIVOTDATA("Total Revenue",#REF!,"Month","01"), IF(OR(B8="Adjustment to Income", B8="Client Refund"), C8-GETPIVOTDATA("Total Revenue",#REF!,"Month","01"), 0))</f>
        <v>0</v>
      </c>
    </row>
    <row r="9" spans="1:4" x14ac:dyDescent="0.25">
      <c r="D9" s="12">
        <f>IF(B9="Other Income", C9+GETPIVOTDATA("Total Revenue",#REF!,"Month","01"), IF(OR(B9="Adjustment to Income", B9="Client Refund"), C9-GETPIVOTDATA("Total Revenue",#REF!,"Month","01"), 0))</f>
        <v>0</v>
      </c>
    </row>
    <row r="10" spans="1:4" x14ac:dyDescent="0.25">
      <c r="D10" s="12">
        <f>IF(B10="Other Income", C10+GETPIVOTDATA("Total Revenue",#REF!,"Month","01"), IF(OR(B10="Adjustment to Income", B10="Client Refund"), C10-GETPIVOTDATA("Total Revenue",#REF!,"Month","01"), 0))</f>
        <v>0</v>
      </c>
    </row>
    <row r="11" spans="1:4" x14ac:dyDescent="0.25">
      <c r="D11" s="12">
        <f>IF(B11="Other Income", C11+GETPIVOTDATA("Total Revenue",#REF!,"Month","01"), IF(OR(B11="Adjustment to Income", B11="Client Refund"), C11-GETPIVOTDATA("Total Revenue",#REF!,"Month","01"), 0))</f>
        <v>0</v>
      </c>
    </row>
    <row r="12" spans="1:4" x14ac:dyDescent="0.25">
      <c r="D12" s="12">
        <f>IF(B12="Other Income", C12+GETPIVOTDATA("Total Revenue",#REF!,"Month","01"), IF(OR(B12="Adjustment to Income", B12="Client Refund"), C12-GETPIVOTDATA("Total Revenue",#REF!,"Month","01"), 0))</f>
        <v>0</v>
      </c>
    </row>
  </sheetData>
  <dataValidations count="1">
    <dataValidation type="list" allowBlank="1" showInputMessage="1" showErrorMessage="1" sqref="B1:B1048576">
      <formula1>"Other Income, Adjustment to Income, Client Refund"</formula1>
    </dataValidation>
  </dataValidation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showRowColHeaders="0" workbookViewId="0">
      <selection activeCell="A2" sqref="A2"/>
    </sheetView>
  </sheetViews>
  <sheetFormatPr defaultRowHeight="15" x14ac:dyDescent="0.25"/>
  <cols>
    <col min="1" max="1" width="19.7109375" bestFit="1" customWidth="1"/>
  </cols>
  <sheetData>
    <row r="1" spans="1:20" ht="72.75" x14ac:dyDescent="1.35">
      <c r="A1" s="21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72.75" x14ac:dyDescent="1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72.75" x14ac:dyDescent="1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72.75" x14ac:dyDescent="1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72.75" x14ac:dyDescent="1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72.75" x14ac:dyDescent="1.3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72.75" x14ac:dyDescent="1.3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72.75" x14ac:dyDescent="1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72.75" x14ac:dyDescent="1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72.75" x14ac:dyDescent="1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72.75" x14ac:dyDescent="1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72.75" x14ac:dyDescent="1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72.75" x14ac:dyDescent="1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72.75" x14ac:dyDescent="1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72.75" x14ac:dyDescent="1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72.75" x14ac:dyDescent="1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72.75" x14ac:dyDescent="1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72.75" x14ac:dyDescent="1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72.75" x14ac:dyDescent="1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72.75" x14ac:dyDescent="1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72.75" x14ac:dyDescent="1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72.75" x14ac:dyDescent="1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72.75" x14ac:dyDescent="1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72.75" x14ac:dyDescent="1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72.75" x14ac:dyDescent="1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72.75" x14ac:dyDescent="1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72.75" x14ac:dyDescent="1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72.75" x14ac:dyDescent="1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72.75" x14ac:dyDescent="1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72.75" x14ac:dyDescent="1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72.75" x14ac:dyDescent="1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72.75" x14ac:dyDescent="1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72.75" x14ac:dyDescent="1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ht="72.75" x14ac:dyDescent="1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72.75" x14ac:dyDescent="1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72.75" x14ac:dyDescent="1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72.75" x14ac:dyDescent="1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72.75" x14ac:dyDescent="1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72.75" x14ac:dyDescent="1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72.75" x14ac:dyDescent="1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72.75" x14ac:dyDescent="1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ht="72.75" x14ac:dyDescent="1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72.75" x14ac:dyDescent="1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Tracker</vt:lpstr>
      <vt:lpstr>Transaction Fee Rates</vt:lpstr>
      <vt:lpstr>City Tax Rates</vt:lpstr>
      <vt:lpstr>Sales Tax Tracker</vt:lpstr>
      <vt:lpstr>Transaction Fees Tracker</vt:lpstr>
      <vt:lpstr>Total Revenue Tracker</vt:lpstr>
      <vt:lpstr>Commercial Property Tracker</vt:lpstr>
      <vt:lpstr>Adjustments Tracker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2025-04-19T16:15:20Z</dcterms:created>
  <dcterms:modified xsi:type="dcterms:W3CDTF">2025-04-20T09:04:23Z</dcterms:modified>
</cp:coreProperties>
</file>